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ortal\2024\ANNUAL REPORT\"/>
    </mc:Choice>
  </mc:AlternateContent>
  <bookViews>
    <workbookView xWindow="0" yWindow="0" windowWidth="28800" windowHeight="12030"/>
  </bookViews>
  <sheets>
    <sheet name="Form 1a-ABR Office" sheetId="63" r:id="rId1"/>
    <sheet name="Form 1b-ABR Summary-1" sheetId="74" r:id="rId2"/>
    <sheet name="Summary" sheetId="69" r:id="rId3"/>
  </sheets>
  <externalReferences>
    <externalReference r:id="rId4"/>
  </externalReferences>
  <definedNames>
    <definedName name="_xlnm.Print_Area" localSheetId="0">'Form 1a-ABR Office'!$A$1:$M$77</definedName>
    <definedName name="_xlnm.Print_Area" localSheetId="1">'Form 1b-ABR Summary-1'!$A$185:$N$314</definedName>
    <definedName name="_xlnm.Print_Area" localSheetId="2">Summary!$A$14:$K$34</definedName>
    <definedName name="_xlnm.Print_Titles" localSheetId="1">'Form 1b-ABR Summary-1'!$223:$228</definedName>
  </definedNames>
  <calcPr calcId="181029"/>
</workbook>
</file>

<file path=xl/calcChain.xml><?xml version="1.0" encoding="utf-8"?>
<calcChain xmlns="http://schemas.openxmlformats.org/spreadsheetml/2006/main">
  <c r="J150" i="63" l="1"/>
  <c r="J90" i="74"/>
  <c r="L154" i="74"/>
  <c r="M154" i="74"/>
  <c r="N154" i="74"/>
  <c r="L160" i="74"/>
  <c r="M160" i="74"/>
  <c r="L159" i="74"/>
  <c r="M159" i="74"/>
  <c r="N159" i="74"/>
  <c r="K160" i="74"/>
  <c r="K159" i="74"/>
  <c r="K154" i="74"/>
  <c r="N123" i="74"/>
  <c r="L123" i="74"/>
  <c r="M123" i="74"/>
  <c r="K123" i="74"/>
  <c r="M118" i="74"/>
  <c r="M117" i="74"/>
  <c r="M115" i="74"/>
  <c r="M114" i="74"/>
  <c r="M113" i="74"/>
  <c r="M112" i="74"/>
  <c r="M111" i="74"/>
  <c r="M110" i="74"/>
  <c r="M109" i="74"/>
  <c r="M108" i="74"/>
  <c r="M107" i="74"/>
  <c r="M106" i="74"/>
  <c r="M104" i="74"/>
  <c r="M103" i="74"/>
  <c r="M102" i="74"/>
  <c r="M101" i="74"/>
  <c r="M100" i="74"/>
  <c r="M99" i="74"/>
  <c r="M98" i="74"/>
  <c r="M97" i="74"/>
  <c r="M96" i="74"/>
  <c r="M95" i="74"/>
  <c r="M94" i="74"/>
  <c r="M93" i="74"/>
  <c r="M91" i="74"/>
  <c r="M90" i="74"/>
  <c r="L102" i="74"/>
  <c r="K102" i="74"/>
  <c r="L118" i="74"/>
  <c r="K118" i="74"/>
  <c r="L117" i="74"/>
  <c r="L115" i="74"/>
  <c r="K115" i="74"/>
  <c r="L113" i="74"/>
  <c r="K113" i="74"/>
  <c r="L112" i="74"/>
  <c r="N112" i="74"/>
  <c r="K112" i="74"/>
  <c r="L250" i="74"/>
  <c r="M250" i="74"/>
  <c r="L111" i="74"/>
  <c r="K111" i="74"/>
  <c r="L110" i="74"/>
  <c r="K110" i="74"/>
  <c r="K114" i="74"/>
  <c r="L109" i="74"/>
  <c r="K109" i="74"/>
  <c r="L108" i="74"/>
  <c r="K108" i="74"/>
  <c r="L107" i="74"/>
  <c r="K107" i="74"/>
  <c r="L106" i="74"/>
  <c r="K106" i="74"/>
  <c r="L104" i="74"/>
  <c r="K104" i="74"/>
  <c r="L100" i="74"/>
  <c r="K100" i="74"/>
  <c r="L99" i="74"/>
  <c r="K99" i="74"/>
  <c r="L98" i="74"/>
  <c r="K98" i="74"/>
  <c r="K117" i="74"/>
  <c r="J116" i="74"/>
  <c r="K97" i="74"/>
  <c r="L96" i="74"/>
  <c r="K96" i="74"/>
  <c r="L95" i="74"/>
  <c r="K95" i="74"/>
  <c r="L94" i="74"/>
  <c r="K94" i="74"/>
  <c r="L93" i="74"/>
  <c r="K93" i="74"/>
  <c r="L90" i="74"/>
  <c r="K232" i="74"/>
  <c r="L255" i="74"/>
  <c r="M255" i="74"/>
  <c r="N255" i="74"/>
  <c r="K255" i="74"/>
  <c r="N118" i="74"/>
  <c r="L91" i="74"/>
  <c r="K91" i="74"/>
  <c r="K90" i="74"/>
  <c r="N90" i="74"/>
  <c r="I1091" i="63"/>
  <c r="K384" i="63"/>
  <c r="L384" i="63" s="1"/>
  <c r="I1013" i="63"/>
  <c r="K952" i="63"/>
  <c r="K103" i="63"/>
  <c r="K127" i="63"/>
  <c r="J127" i="63"/>
  <c r="J190" i="63"/>
  <c r="L120" i="63"/>
  <c r="J117" i="63"/>
  <c r="K100" i="63"/>
  <c r="K99" i="63"/>
  <c r="J99" i="63"/>
  <c r="K822" i="63"/>
  <c r="K821" i="63"/>
  <c r="K823" i="63"/>
  <c r="L823" i="63" s="1"/>
  <c r="J824" i="63"/>
  <c r="M119" i="74" l="1"/>
  <c r="K119" i="74"/>
  <c r="K824" i="63"/>
  <c r="L822" i="63" l="1"/>
  <c r="L821" i="63"/>
  <c r="K424" i="63"/>
  <c r="L424" i="63" s="1"/>
  <c r="J437" i="63"/>
  <c r="J429" i="63"/>
  <c r="M429" i="63"/>
  <c r="I429" i="63"/>
  <c r="K418" i="63"/>
  <c r="K1065" i="63"/>
  <c r="J1068" i="63"/>
  <c r="J1057" i="63"/>
  <c r="M1057" i="63"/>
  <c r="I1057" i="63"/>
  <c r="K1056" i="63"/>
  <c r="L1056" i="63" s="1"/>
  <c r="K980" i="63"/>
  <c r="J995" i="63"/>
  <c r="M995" i="63"/>
  <c r="I995" i="63"/>
  <c r="K994" i="63"/>
  <c r="L994" i="63" s="1"/>
  <c r="K993" i="63"/>
  <c r="K991" i="63"/>
  <c r="K990" i="63"/>
  <c r="K989" i="63"/>
  <c r="K988" i="63"/>
  <c r="K987" i="63"/>
  <c r="K984" i="63"/>
  <c r="K983" i="63"/>
  <c r="K981" i="63"/>
  <c r="K979" i="63"/>
  <c r="L979" i="63" s="1"/>
  <c r="K978" i="63"/>
  <c r="L978" i="63" s="1"/>
  <c r="K977" i="63"/>
  <c r="K975" i="63"/>
  <c r="J936" i="63"/>
  <c r="M936" i="63"/>
  <c r="I936" i="63"/>
  <c r="K935" i="63"/>
  <c r="L935" i="63" s="1"/>
  <c r="K934" i="63"/>
  <c r="K932" i="63"/>
  <c r="K921" i="63"/>
  <c r="J872" i="63"/>
  <c r="L824" i="63" l="1"/>
  <c r="K867" i="63" l="1"/>
  <c r="K866" i="63"/>
  <c r="K865" i="63"/>
  <c r="K864" i="63"/>
  <c r="K863" i="63"/>
  <c r="K862" i="63"/>
  <c r="K861" i="63"/>
  <c r="K857" i="63"/>
  <c r="K856" i="63"/>
  <c r="K855" i="63"/>
  <c r="K854" i="63"/>
  <c r="K851" i="63"/>
  <c r="K849" i="63"/>
  <c r="K871" i="63"/>
  <c r="L871" i="63" s="1"/>
  <c r="K869" i="63"/>
  <c r="M872" i="63"/>
  <c r="I872" i="63"/>
  <c r="K812" i="63"/>
  <c r="K810" i="63"/>
  <c r="K807" i="63"/>
  <c r="K806" i="63"/>
  <c r="K805" i="63"/>
  <c r="J803" i="63"/>
  <c r="M803" i="63"/>
  <c r="I803" i="63"/>
  <c r="K782" i="63"/>
  <c r="K802" i="63"/>
  <c r="L802" i="63" s="1"/>
  <c r="K801" i="63"/>
  <c r="K799" i="63"/>
  <c r="K752" i="63"/>
  <c r="K747" i="63"/>
  <c r="J738" i="63"/>
  <c r="M738" i="63"/>
  <c r="I738" i="63"/>
  <c r="K737" i="63"/>
  <c r="L737" i="63" s="1"/>
  <c r="K736" i="63"/>
  <c r="K682" i="63"/>
  <c r="K681" i="63"/>
  <c r="K678" i="63"/>
  <c r="K677" i="63"/>
  <c r="K676" i="63"/>
  <c r="J674" i="63"/>
  <c r="M674" i="63"/>
  <c r="I674" i="63"/>
  <c r="K673" i="63"/>
  <c r="L673" i="63" s="1"/>
  <c r="K672" i="63"/>
  <c r="K605" i="63"/>
  <c r="J612" i="63"/>
  <c r="M612" i="63"/>
  <c r="I612" i="63"/>
  <c r="K610" i="63"/>
  <c r="K611" i="63"/>
  <c r="L611" i="63" s="1"/>
  <c r="K559" i="63"/>
  <c r="K555" i="63"/>
  <c r="K553" i="63"/>
  <c r="J551" i="63"/>
  <c r="M551" i="63"/>
  <c r="I551" i="63"/>
  <c r="K547" i="63"/>
  <c r="L547" i="63" s="1"/>
  <c r="K539" i="63"/>
  <c r="K529" i="63"/>
  <c r="K550" i="63"/>
  <c r="L550" i="63" s="1"/>
  <c r="K549" i="63"/>
  <c r="K493" i="63"/>
  <c r="K491" i="63"/>
  <c r="K484" i="63"/>
  <c r="K483" i="63"/>
  <c r="K482" i="63"/>
  <c r="K481" i="63"/>
  <c r="K478" i="63"/>
  <c r="K473" i="63"/>
  <c r="K469" i="63"/>
  <c r="J489" i="63"/>
  <c r="M489" i="63"/>
  <c r="I489" i="63"/>
  <c r="K488" i="63"/>
  <c r="L488" i="63" s="1"/>
  <c r="K487" i="63"/>
  <c r="K486" i="63"/>
  <c r="K467" i="63"/>
  <c r="K427" i="63"/>
  <c r="K428" i="63"/>
  <c r="L428" i="63" s="1"/>
  <c r="J367" i="63"/>
  <c r="K362" i="63"/>
  <c r="K361" i="63"/>
  <c r="K360" i="63"/>
  <c r="K359" i="63"/>
  <c r="K356" i="63"/>
  <c r="K352" i="63"/>
  <c r="K349" i="63"/>
  <c r="K348" i="63"/>
  <c r="K346" i="63"/>
  <c r="K366" i="63"/>
  <c r="L366" i="63" s="1"/>
  <c r="K365" i="63"/>
  <c r="K307" i="63"/>
  <c r="K306" i="63"/>
  <c r="L306" i="63" s="1"/>
  <c r="K304" i="63"/>
  <c r="K303" i="63"/>
  <c r="K302" i="63"/>
  <c r="K301" i="63"/>
  <c r="K300" i="63"/>
  <c r="L300" i="63" s="1"/>
  <c r="K293" i="63"/>
  <c r="K289" i="63"/>
  <c r="K287" i="63"/>
  <c r="K23" i="63"/>
  <c r="K252" i="63" l="1"/>
  <c r="K251" i="63"/>
  <c r="K250" i="63"/>
  <c r="K249" i="63"/>
  <c r="K244" i="63"/>
  <c r="K243" i="63"/>
  <c r="K242" i="63"/>
  <c r="K241" i="63"/>
  <c r="L241" i="63" s="1"/>
  <c r="K240" i="63"/>
  <c r="K237" i="63"/>
  <c r="L237" i="63" s="1"/>
  <c r="K232" i="63"/>
  <c r="K231" i="63"/>
  <c r="K230" i="63"/>
  <c r="K229" i="63"/>
  <c r="K228" i="63"/>
  <c r="K227" i="63"/>
  <c r="K226" i="63"/>
  <c r="K222" i="63"/>
  <c r="K221" i="63"/>
  <c r="K220" i="63"/>
  <c r="K218" i="63"/>
  <c r="K216" i="63"/>
  <c r="K236" i="63"/>
  <c r="L236" i="63" s="1"/>
  <c r="M59" i="63"/>
  <c r="L185" i="63"/>
  <c r="K188" i="63"/>
  <c r="K187" i="63"/>
  <c r="L187" i="63" s="1"/>
  <c r="K186" i="63"/>
  <c r="L186" i="63" s="1"/>
  <c r="K183" i="63"/>
  <c r="J169" i="63"/>
  <c r="K166" i="63"/>
  <c r="J163" i="63"/>
  <c r="K163" i="63" s="1"/>
  <c r="K162" i="63"/>
  <c r="K161" i="63"/>
  <c r="K159" i="63"/>
  <c r="K157" i="63"/>
  <c r="K156" i="63"/>
  <c r="K155" i="63"/>
  <c r="K154" i="63"/>
  <c r="K153" i="63"/>
  <c r="K152" i="63"/>
  <c r="K150" i="63"/>
  <c r="J149" i="63"/>
  <c r="K149" i="63" s="1"/>
  <c r="K125" i="63"/>
  <c r="J118" i="63"/>
  <c r="K118" i="63" s="1"/>
  <c r="K117" i="63"/>
  <c r="J120" i="63"/>
  <c r="K120" i="63" s="1"/>
  <c r="K114" i="63"/>
  <c r="K111" i="63"/>
  <c r="K110" i="63"/>
  <c r="K108" i="63"/>
  <c r="K107" i="63"/>
  <c r="K106" i="63"/>
  <c r="K104" i="63"/>
  <c r="J101" i="63"/>
  <c r="J91" i="63" l="1"/>
  <c r="K58" i="63"/>
  <c r="K54" i="63"/>
  <c r="K51" i="63"/>
  <c r="K50" i="63"/>
  <c r="K48" i="63"/>
  <c r="K47" i="63"/>
  <c r="K46" i="63"/>
  <c r="K20" i="63"/>
  <c r="L20" i="63" s="1"/>
  <c r="K25" i="63"/>
  <c r="K42" i="63"/>
  <c r="K43" i="63"/>
  <c r="I281" i="74" l="1"/>
  <c r="N270" i="74"/>
  <c r="K270" i="74"/>
  <c r="N269" i="74"/>
  <c r="K269" i="74"/>
  <c r="N268" i="74"/>
  <c r="K268" i="74"/>
  <c r="J270" i="74"/>
  <c r="J269" i="74"/>
  <c r="J268" i="74"/>
  <c r="K264" i="74"/>
  <c r="N264" i="74"/>
  <c r="J264" i="74"/>
  <c r="N263" i="74"/>
  <c r="K263" i="74"/>
  <c r="N262" i="74"/>
  <c r="K262" i="74"/>
  <c r="N261" i="74"/>
  <c r="K261" i="74"/>
  <c r="N260" i="74"/>
  <c r="K260" i="74"/>
  <c r="N259" i="74"/>
  <c r="K259" i="74"/>
  <c r="N258" i="74"/>
  <c r="K258" i="74"/>
  <c r="J263" i="74"/>
  <c r="J262" i="74"/>
  <c r="J261" i="74"/>
  <c r="J260" i="74"/>
  <c r="J259" i="74"/>
  <c r="J258" i="74"/>
  <c r="N254" i="74"/>
  <c r="K254" i="74"/>
  <c r="N253" i="74"/>
  <c r="K253" i="74"/>
  <c r="N252" i="74"/>
  <c r="K252" i="74"/>
  <c r="N251" i="74"/>
  <c r="K251" i="74"/>
  <c r="N250" i="74"/>
  <c r="K250" i="74"/>
  <c r="N249" i="74"/>
  <c r="K249" i="74"/>
  <c r="N248" i="74"/>
  <c r="K248" i="74"/>
  <c r="N247" i="74"/>
  <c r="K247" i="74"/>
  <c r="N246" i="74"/>
  <c r="K246" i="74"/>
  <c r="N245" i="74"/>
  <c r="K245" i="74"/>
  <c r="N244" i="74"/>
  <c r="K244" i="74"/>
  <c r="N243" i="74"/>
  <c r="K243" i="74"/>
  <c r="N242" i="74"/>
  <c r="K242" i="74"/>
  <c r="N241" i="74"/>
  <c r="K241" i="74"/>
  <c r="N240" i="74"/>
  <c r="K240" i="74"/>
  <c r="N239" i="74"/>
  <c r="K239" i="74"/>
  <c r="N238" i="74"/>
  <c r="K238" i="74"/>
  <c r="K237" i="74"/>
  <c r="N237" i="74"/>
  <c r="J254" i="74"/>
  <c r="J253" i="74"/>
  <c r="J252" i="74"/>
  <c r="J251" i="74"/>
  <c r="J250" i="74"/>
  <c r="J249" i="74"/>
  <c r="J248" i="74"/>
  <c r="J247" i="74"/>
  <c r="J246" i="74"/>
  <c r="J245" i="74"/>
  <c r="J244" i="74"/>
  <c r="J243" i="74"/>
  <c r="J242" i="74"/>
  <c r="J241" i="74"/>
  <c r="J240" i="74"/>
  <c r="J239" i="74"/>
  <c r="J238" i="74"/>
  <c r="J237" i="74"/>
  <c r="J236" i="74"/>
  <c r="J235" i="74"/>
  <c r="K233" i="74"/>
  <c r="N233" i="74"/>
  <c r="N232" i="74"/>
  <c r="J233" i="74"/>
  <c r="J232" i="74"/>
  <c r="K169" i="74"/>
  <c r="N169" i="74"/>
  <c r="N168" i="74"/>
  <c r="N167" i="74"/>
  <c r="J168" i="74"/>
  <c r="J167" i="74"/>
  <c r="K156" i="74"/>
  <c r="N156" i="74"/>
  <c r="J156" i="74"/>
  <c r="K161" i="74"/>
  <c r="N161" i="74"/>
  <c r="J161" i="74"/>
  <c r="K155" i="74"/>
  <c r="N155" i="74"/>
  <c r="O155" i="74"/>
  <c r="J155" i="74"/>
  <c r="K152" i="74"/>
  <c r="N152" i="74"/>
  <c r="J152" i="74"/>
  <c r="K151" i="74"/>
  <c r="N151" i="74"/>
  <c r="J151" i="74"/>
  <c r="K150" i="74"/>
  <c r="N150" i="74"/>
  <c r="K153" i="74"/>
  <c r="N153" i="74"/>
  <c r="J153" i="74"/>
  <c r="K158" i="74"/>
  <c r="N158" i="74"/>
  <c r="J158" i="74"/>
  <c r="K157" i="74"/>
  <c r="N157" i="74"/>
  <c r="J157" i="74"/>
  <c r="K146" i="74"/>
  <c r="N146" i="74"/>
  <c r="J146" i="74"/>
  <c r="K145" i="74"/>
  <c r="N145" i="74"/>
  <c r="J145" i="74"/>
  <c r="K144" i="74"/>
  <c r="N144" i="74"/>
  <c r="J144" i="74"/>
  <c r="K143" i="74"/>
  <c r="N143" i="74"/>
  <c r="J143" i="74"/>
  <c r="K142" i="74"/>
  <c r="N142" i="74"/>
  <c r="J142" i="74"/>
  <c r="K141" i="74"/>
  <c r="N141" i="74"/>
  <c r="J141" i="74"/>
  <c r="K138" i="74"/>
  <c r="N138" i="74"/>
  <c r="J138" i="74"/>
  <c r="K136" i="74"/>
  <c r="N136" i="74"/>
  <c r="J136" i="74"/>
  <c r="K134" i="74"/>
  <c r="N134" i="74"/>
  <c r="J134" i="74"/>
  <c r="K132" i="74"/>
  <c r="N132" i="74"/>
  <c r="J132" i="74"/>
  <c r="K130" i="74"/>
  <c r="N130" i="74"/>
  <c r="J130" i="74"/>
  <c r="J256" i="74" l="1"/>
  <c r="K265" i="74"/>
  <c r="N265" i="74"/>
  <c r="J265" i="74"/>
  <c r="K163" i="74"/>
  <c r="N163" i="74"/>
  <c r="K126" i="74"/>
  <c r="N126" i="74"/>
  <c r="J126" i="74"/>
  <c r="N125" i="74"/>
  <c r="K125" i="74"/>
  <c r="J125" i="74"/>
  <c r="K124" i="74"/>
  <c r="N124" i="74"/>
  <c r="J124" i="74"/>
  <c r="N122" i="74"/>
  <c r="K122" i="74"/>
  <c r="J122" i="74"/>
  <c r="N93" i="74"/>
  <c r="J93" i="74"/>
  <c r="H34" i="69"/>
  <c r="J21" i="69"/>
  <c r="N117" i="74"/>
  <c r="J117" i="74"/>
  <c r="N116" i="74"/>
  <c r="N115" i="74"/>
  <c r="J115" i="74"/>
  <c r="N113" i="74"/>
  <c r="J113" i="74"/>
  <c r="J112" i="74"/>
  <c r="N111" i="74"/>
  <c r="J111" i="74"/>
  <c r="N110" i="74"/>
  <c r="J110" i="74"/>
  <c r="N109" i="74"/>
  <c r="J109" i="74"/>
  <c r="N108" i="74"/>
  <c r="J108" i="74"/>
  <c r="N107" i="74"/>
  <c r="N106" i="74"/>
  <c r="J106" i="74"/>
  <c r="N104" i="74"/>
  <c r="J104" i="74"/>
  <c r="N103" i="74"/>
  <c r="J103" i="74"/>
  <c r="N101" i="74"/>
  <c r="J101" i="74"/>
  <c r="N100" i="74"/>
  <c r="J100" i="74"/>
  <c r="N99" i="74"/>
  <c r="J99" i="74"/>
  <c r="N98" i="74"/>
  <c r="J98" i="74"/>
  <c r="N97" i="74"/>
  <c r="J97" i="74"/>
  <c r="N96" i="74"/>
  <c r="J96" i="74"/>
  <c r="N95" i="74"/>
  <c r="J95" i="74"/>
  <c r="N94" i="74"/>
  <c r="J94" i="74"/>
  <c r="M190" i="63"/>
  <c r="I190" i="63"/>
  <c r="M127" i="63"/>
  <c r="N91" i="74"/>
  <c r="J91" i="74"/>
  <c r="J18" i="69" l="1"/>
  <c r="J34" i="69" s="1"/>
  <c r="N170" i="74"/>
  <c r="J169" i="74"/>
  <c r="J170" i="74" s="1"/>
  <c r="M66" i="63" l="1"/>
  <c r="J66" i="63"/>
  <c r="I66" i="63"/>
  <c r="K65" i="63"/>
  <c r="K64" i="63"/>
  <c r="K63" i="63"/>
  <c r="K62" i="63"/>
  <c r="K61" i="63"/>
  <c r="G18" i="69"/>
  <c r="J59" i="63"/>
  <c r="I59" i="63"/>
  <c r="K57" i="63"/>
  <c r="K56" i="63"/>
  <c r="K55" i="63"/>
  <c r="L53" i="63"/>
  <c r="K52" i="63"/>
  <c r="L51" i="63"/>
  <c r="K49" i="63"/>
  <c r="M44" i="63"/>
  <c r="F18" i="69" s="1"/>
  <c r="J44" i="63"/>
  <c r="I44" i="63"/>
  <c r="K41" i="63"/>
  <c r="K40" i="63"/>
  <c r="K39" i="63"/>
  <c r="K38" i="63"/>
  <c r="K37" i="63"/>
  <c r="K36" i="63"/>
  <c r="K35" i="63"/>
  <c r="K34" i="63"/>
  <c r="K33" i="63"/>
  <c r="K32" i="63"/>
  <c r="K31" i="63"/>
  <c r="K30" i="63"/>
  <c r="K29" i="63"/>
  <c r="K28" i="63"/>
  <c r="K27" i="63"/>
  <c r="K26" i="63"/>
  <c r="K24" i="63"/>
  <c r="K21" i="63"/>
  <c r="M257" i="63"/>
  <c r="I19" i="69" s="1"/>
  <c r="L257" i="63"/>
  <c r="J257" i="63"/>
  <c r="I257" i="63"/>
  <c r="K256" i="63"/>
  <c r="K257" i="63" s="1"/>
  <c r="M254" i="63"/>
  <c r="G19" i="69" s="1"/>
  <c r="J254" i="63"/>
  <c r="I254" i="63"/>
  <c r="K253" i="63"/>
  <c r="L253" i="63" s="1"/>
  <c r="L252" i="63"/>
  <c r="L251" i="63"/>
  <c r="L250" i="63"/>
  <c r="K248" i="63"/>
  <c r="L248" i="63" s="1"/>
  <c r="K247" i="63"/>
  <c r="L247" i="63" s="1"/>
  <c r="K246" i="63"/>
  <c r="L246" i="63" s="1"/>
  <c r="K245" i="63"/>
  <c r="L245" i="63" s="1"/>
  <c r="L244" i="63"/>
  <c r="L243" i="63"/>
  <c r="L242" i="63"/>
  <c r="M238" i="63"/>
  <c r="F19" i="69" s="1"/>
  <c r="J238" i="63"/>
  <c r="I238" i="63"/>
  <c r="K234" i="63"/>
  <c r="L234" i="63" s="1"/>
  <c r="K233" i="63"/>
  <c r="L233" i="63" s="1"/>
  <c r="L232" i="63"/>
  <c r="L231" i="63"/>
  <c r="L230" i="63"/>
  <c r="L229" i="63"/>
  <c r="L228" i="63"/>
  <c r="L227" i="63"/>
  <c r="L226" i="63"/>
  <c r="K225" i="63"/>
  <c r="L225" i="63" s="1"/>
  <c r="K224" i="63"/>
  <c r="L224" i="63" s="1"/>
  <c r="K223" i="63"/>
  <c r="L223" i="63" s="1"/>
  <c r="L222" i="63"/>
  <c r="L221" i="63"/>
  <c r="L220" i="63"/>
  <c r="K219" i="63"/>
  <c r="L219" i="63" s="1"/>
  <c r="L218" i="63"/>
  <c r="K189" i="63"/>
  <c r="L189" i="63" s="1"/>
  <c r="L188" i="63"/>
  <c r="L183" i="63"/>
  <c r="K182" i="63"/>
  <c r="L182" i="63" s="1"/>
  <c r="K181" i="63"/>
  <c r="L181" i="63" s="1"/>
  <c r="K180" i="63"/>
  <c r="L180" i="63" s="1"/>
  <c r="K179" i="63"/>
  <c r="L179" i="63" s="1"/>
  <c r="K178" i="63"/>
  <c r="L178" i="63" s="1"/>
  <c r="K177" i="63"/>
  <c r="L177" i="63" s="1"/>
  <c r="K176" i="63"/>
  <c r="L176" i="63" s="1"/>
  <c r="K175" i="63"/>
  <c r="L175" i="63" s="1"/>
  <c r="K174" i="63"/>
  <c r="L174" i="63" s="1"/>
  <c r="K173" i="63"/>
  <c r="L173" i="63" s="1"/>
  <c r="K172" i="63"/>
  <c r="L172" i="63" s="1"/>
  <c r="K171" i="63"/>
  <c r="L171" i="63" s="1"/>
  <c r="K170" i="63"/>
  <c r="L170" i="63" s="1"/>
  <c r="K169" i="63"/>
  <c r="L169" i="63" s="1"/>
  <c r="K168" i="63"/>
  <c r="L168" i="63" s="1"/>
  <c r="K167" i="63"/>
  <c r="L167" i="63" s="1"/>
  <c r="L166" i="63"/>
  <c r="K165" i="63"/>
  <c r="L165" i="63" s="1"/>
  <c r="K164" i="63"/>
  <c r="L164" i="63" s="1"/>
  <c r="L162" i="63"/>
  <c r="L161" i="63"/>
  <c r="K160" i="63"/>
  <c r="L160" i="63" s="1"/>
  <c r="L159" i="63"/>
  <c r="K158" i="63"/>
  <c r="L158" i="63" s="1"/>
  <c r="L156" i="63"/>
  <c r="L155" i="63"/>
  <c r="L154" i="63"/>
  <c r="L153" i="63"/>
  <c r="L152" i="63"/>
  <c r="K151" i="63"/>
  <c r="L151" i="63" s="1"/>
  <c r="L150" i="63"/>
  <c r="I127" i="63"/>
  <c r="L125" i="63"/>
  <c r="K124" i="63"/>
  <c r="L124" i="63" s="1"/>
  <c r="K123" i="63"/>
  <c r="L123" i="63" s="1"/>
  <c r="K122" i="63"/>
  <c r="L122" i="63" s="1"/>
  <c r="K119" i="63"/>
  <c r="K167" i="74"/>
  <c r="K116" i="63"/>
  <c r="L116" i="63" s="1"/>
  <c r="K115" i="63"/>
  <c r="L115" i="63" s="1"/>
  <c r="L114" i="63"/>
  <c r="K113" i="63"/>
  <c r="L113" i="63" s="1"/>
  <c r="K112" i="63"/>
  <c r="L112" i="63" s="1"/>
  <c r="L111" i="63"/>
  <c r="L110" i="63"/>
  <c r="K109" i="63"/>
  <c r="L109" i="63" s="1"/>
  <c r="L108" i="63"/>
  <c r="L107" i="63"/>
  <c r="L106" i="63"/>
  <c r="K105" i="63"/>
  <c r="L105" i="63" s="1"/>
  <c r="L104" i="63"/>
  <c r="L103" i="63"/>
  <c r="L127" i="63" s="1"/>
  <c r="K102" i="63"/>
  <c r="L102" i="63" s="1"/>
  <c r="K101" i="63"/>
  <c r="L101" i="63" s="1"/>
  <c r="L100" i="63"/>
  <c r="L99" i="63"/>
  <c r="K98" i="63"/>
  <c r="L98" i="63" s="1"/>
  <c r="K97" i="63"/>
  <c r="L97" i="63" s="1"/>
  <c r="K96" i="63"/>
  <c r="L96" i="63" s="1"/>
  <c r="K95" i="63"/>
  <c r="L95" i="63" s="1"/>
  <c r="K94" i="63"/>
  <c r="L94" i="63" s="1"/>
  <c r="K93" i="63"/>
  <c r="L93" i="63" s="1"/>
  <c r="K92" i="63"/>
  <c r="L92" i="63" s="1"/>
  <c r="K91" i="63"/>
  <c r="L91" i="63" s="1"/>
  <c r="K90" i="63"/>
  <c r="K1077" i="63"/>
  <c r="L1077" i="63" s="1"/>
  <c r="M1075" i="63"/>
  <c r="I32" i="69" s="1"/>
  <c r="J1075" i="63"/>
  <c r="I1075" i="63"/>
  <c r="K1074" i="63"/>
  <c r="L1074" i="63" s="1"/>
  <c r="K1073" i="63"/>
  <c r="L1073" i="63" s="1"/>
  <c r="K1072" i="63"/>
  <c r="K1071" i="63"/>
  <c r="K1070" i="63"/>
  <c r="M1068" i="63"/>
  <c r="G32" i="69" s="1"/>
  <c r="I1068" i="63"/>
  <c r="K1067" i="63"/>
  <c r="K1066" i="63"/>
  <c r="K1064" i="63"/>
  <c r="L1064" i="63" s="1"/>
  <c r="K1063" i="63"/>
  <c r="K1062" i="63"/>
  <c r="L1062" i="63" s="1"/>
  <c r="K1061" i="63"/>
  <c r="K1060" i="63"/>
  <c r="K1059" i="63"/>
  <c r="L258" i="74" s="1"/>
  <c r="F32" i="69"/>
  <c r="K1055" i="63"/>
  <c r="L1055" i="63" s="1"/>
  <c r="K1054" i="63"/>
  <c r="K1053" i="63"/>
  <c r="K1052" i="63"/>
  <c r="K1051" i="63"/>
  <c r="K1050" i="63"/>
  <c r="K1049" i="63"/>
  <c r="K1048" i="63"/>
  <c r="K1047" i="63"/>
  <c r="K1046" i="63"/>
  <c r="K1045" i="63"/>
  <c r="K1044" i="63"/>
  <c r="K1043" i="63"/>
  <c r="K1042" i="63"/>
  <c r="K1041" i="63"/>
  <c r="K1040" i="63"/>
  <c r="K1039" i="63"/>
  <c r="K1038" i="63"/>
  <c r="K1037" i="63"/>
  <c r="K1036" i="63"/>
  <c r="L1036" i="63" s="1"/>
  <c r="K1035" i="63"/>
  <c r="L1035" i="63" s="1"/>
  <c r="K1033" i="63"/>
  <c r="K1032" i="63"/>
  <c r="M1009" i="63"/>
  <c r="I31" i="69" s="1"/>
  <c r="J1009" i="63"/>
  <c r="I1009" i="63"/>
  <c r="K1008" i="63"/>
  <c r="L1008" i="63" s="1"/>
  <c r="K1007" i="63"/>
  <c r="L1007" i="63" s="1"/>
  <c r="K1006" i="63"/>
  <c r="L1006" i="63" s="1"/>
  <c r="M1004" i="63"/>
  <c r="G31" i="69" s="1"/>
  <c r="J1004" i="63"/>
  <c r="I1004" i="63"/>
  <c r="K1003" i="63"/>
  <c r="L1003" i="63" s="1"/>
  <c r="K1002" i="63"/>
  <c r="L1002" i="63" s="1"/>
  <c r="K1001" i="63"/>
  <c r="L1001" i="63" s="1"/>
  <c r="K1000" i="63"/>
  <c r="L1000" i="63" s="1"/>
  <c r="K999" i="63"/>
  <c r="L999" i="63" s="1"/>
  <c r="K998" i="63"/>
  <c r="L998" i="63" s="1"/>
  <c r="K997" i="63"/>
  <c r="L997" i="63" s="1"/>
  <c r="F31" i="69"/>
  <c r="L993" i="63"/>
  <c r="K992" i="63"/>
  <c r="L992" i="63" s="1"/>
  <c r="L991" i="63"/>
  <c r="L990" i="63"/>
  <c r="L989" i="63"/>
  <c r="L988" i="63"/>
  <c r="L987" i="63"/>
  <c r="K986" i="63"/>
  <c r="L986" i="63" s="1"/>
  <c r="K985" i="63"/>
  <c r="L985" i="63" s="1"/>
  <c r="L984" i="63"/>
  <c r="L983" i="63"/>
  <c r="K982" i="63"/>
  <c r="L981" i="63"/>
  <c r="L980" i="63"/>
  <c r="L977" i="63"/>
  <c r="L975" i="63"/>
  <c r="M950" i="63"/>
  <c r="I30" i="69" s="1"/>
  <c r="J950" i="63"/>
  <c r="I950" i="63"/>
  <c r="K949" i="63"/>
  <c r="L949" i="63" s="1"/>
  <c r="K948" i="63"/>
  <c r="L948" i="63" s="1"/>
  <c r="K947" i="63"/>
  <c r="L947" i="63" s="1"/>
  <c r="M945" i="63"/>
  <c r="G30" i="69" s="1"/>
  <c r="J945" i="63"/>
  <c r="I945" i="63"/>
  <c r="K944" i="63"/>
  <c r="L944" i="63" s="1"/>
  <c r="K943" i="63"/>
  <c r="L943" i="63" s="1"/>
  <c r="K942" i="63"/>
  <c r="L942" i="63" s="1"/>
  <c r="K941" i="63"/>
  <c r="L941" i="63" s="1"/>
  <c r="K940" i="63"/>
  <c r="L940" i="63" s="1"/>
  <c r="K939" i="63"/>
  <c r="L939" i="63" s="1"/>
  <c r="K938" i="63"/>
  <c r="L938" i="63" s="1"/>
  <c r="F30" i="69"/>
  <c r="L934" i="63"/>
  <c r="K933" i="63"/>
  <c r="L933" i="63" s="1"/>
  <c r="L932" i="63"/>
  <c r="K931" i="63"/>
  <c r="L931" i="63" s="1"/>
  <c r="K930" i="63"/>
  <c r="L930" i="63" s="1"/>
  <c r="K929" i="63"/>
  <c r="L929" i="63" s="1"/>
  <c r="K928" i="63"/>
  <c r="L928" i="63" s="1"/>
  <c r="K927" i="63"/>
  <c r="L927" i="63" s="1"/>
  <c r="K926" i="63"/>
  <c r="L926" i="63" s="1"/>
  <c r="K925" i="63"/>
  <c r="L925" i="63" s="1"/>
  <c r="K924" i="63"/>
  <c r="L924" i="63" s="1"/>
  <c r="K923" i="63"/>
  <c r="L923" i="63" s="1"/>
  <c r="K922" i="63"/>
  <c r="L922" i="63" s="1"/>
  <c r="L921" i="63"/>
  <c r="K920" i="63"/>
  <c r="L920" i="63" s="1"/>
  <c r="K919" i="63"/>
  <c r="L919" i="63" s="1"/>
  <c r="K918" i="63"/>
  <c r="L918" i="63" s="1"/>
  <c r="K917" i="63"/>
  <c r="L917" i="63" s="1"/>
  <c r="K915" i="63"/>
  <c r="M890" i="63"/>
  <c r="I29" i="69" s="1"/>
  <c r="J890" i="63"/>
  <c r="I890" i="63"/>
  <c r="K889" i="63"/>
  <c r="L889" i="63" s="1"/>
  <c r="K888" i="63"/>
  <c r="L888" i="63" s="1"/>
  <c r="K887" i="63"/>
  <c r="L887" i="63" s="1"/>
  <c r="K886" i="63"/>
  <c r="L886" i="63" s="1"/>
  <c r="M884" i="63"/>
  <c r="G29" i="69" s="1"/>
  <c r="J884" i="63"/>
  <c r="I884" i="63"/>
  <c r="K883" i="63"/>
  <c r="L883" i="63" s="1"/>
  <c r="K882" i="63"/>
  <c r="L882" i="63" s="1"/>
  <c r="K881" i="63"/>
  <c r="L881" i="63" s="1"/>
  <c r="K880" i="63"/>
  <c r="L880" i="63" s="1"/>
  <c r="K879" i="63"/>
  <c r="L879" i="63" s="1"/>
  <c r="K878" i="63"/>
  <c r="L878" i="63" s="1"/>
  <c r="K877" i="63"/>
  <c r="L877" i="63" s="1"/>
  <c r="K876" i="63"/>
  <c r="L876" i="63" s="1"/>
  <c r="K875" i="63"/>
  <c r="L875" i="63" s="1"/>
  <c r="K874" i="63"/>
  <c r="F29" i="69"/>
  <c r="K870" i="63"/>
  <c r="L870" i="63" s="1"/>
  <c r="L869" i="63"/>
  <c r="K868" i="63"/>
  <c r="L868" i="63" s="1"/>
  <c r="L867" i="63"/>
  <c r="L866" i="63"/>
  <c r="L865" i="63"/>
  <c r="L864" i="63"/>
  <c r="L863" i="63"/>
  <c r="L862" i="63"/>
  <c r="L861" i="63"/>
  <c r="K860" i="63"/>
  <c r="L860" i="63" s="1"/>
  <c r="K859" i="63"/>
  <c r="L859" i="63" s="1"/>
  <c r="K858" i="63"/>
  <c r="L858" i="63" s="1"/>
  <c r="L857" i="63"/>
  <c r="L856" i="63"/>
  <c r="L855" i="63"/>
  <c r="L854" i="63"/>
  <c r="K853" i="63"/>
  <c r="L853" i="63" s="1"/>
  <c r="K852" i="63"/>
  <c r="L851" i="63"/>
  <c r="M824" i="63"/>
  <c r="I28" i="69" s="1"/>
  <c r="I824" i="63"/>
  <c r="K820" i="63"/>
  <c r="K819" i="63"/>
  <c r="K818" i="63"/>
  <c r="L818" i="63" s="1"/>
  <c r="K817" i="63"/>
  <c r="J815" i="63"/>
  <c r="I815" i="63"/>
  <c r="K814" i="63"/>
  <c r="L814" i="63" s="1"/>
  <c r="K813" i="63"/>
  <c r="L813" i="63" s="1"/>
  <c r="M812" i="63"/>
  <c r="M815" i="63" s="1"/>
  <c r="G28" i="69" s="1"/>
  <c r="L812" i="63"/>
  <c r="K811" i="63"/>
  <c r="L811" i="63" s="1"/>
  <c r="L810" i="63"/>
  <c r="K809" i="63"/>
  <c r="L809" i="63" s="1"/>
  <c r="K808" i="63"/>
  <c r="L808" i="63" s="1"/>
  <c r="L807" i="63"/>
  <c r="L806" i="63"/>
  <c r="F28" i="69"/>
  <c r="L801" i="63"/>
  <c r="K800" i="63"/>
  <c r="L800" i="63" s="1"/>
  <c r="L799" i="63"/>
  <c r="K798" i="63"/>
  <c r="L798" i="63" s="1"/>
  <c r="K797" i="63"/>
  <c r="L797" i="63" s="1"/>
  <c r="K796" i="63"/>
  <c r="L796" i="63" s="1"/>
  <c r="K795" i="63"/>
  <c r="L795" i="63" s="1"/>
  <c r="K794" i="63"/>
  <c r="L794" i="63" s="1"/>
  <c r="K793" i="63"/>
  <c r="L793" i="63" s="1"/>
  <c r="K792" i="63"/>
  <c r="L792" i="63" s="1"/>
  <c r="K791" i="63"/>
  <c r="L791" i="63" s="1"/>
  <c r="K790" i="63"/>
  <c r="L790" i="63" s="1"/>
  <c r="K789" i="63"/>
  <c r="L789" i="63" s="1"/>
  <c r="K788" i="63"/>
  <c r="L788" i="63" s="1"/>
  <c r="K787" i="63"/>
  <c r="L787" i="63" s="1"/>
  <c r="K786" i="63"/>
  <c r="L786" i="63" s="1"/>
  <c r="K785" i="63"/>
  <c r="L785" i="63" s="1"/>
  <c r="K784" i="63"/>
  <c r="L782" i="63"/>
  <c r="M757" i="63"/>
  <c r="I27" i="69" s="1"/>
  <c r="J757" i="63"/>
  <c r="I757" i="63"/>
  <c r="K756" i="63"/>
  <c r="L756" i="63" s="1"/>
  <c r="K755" i="63"/>
  <c r="L755" i="63" s="1"/>
  <c r="K754" i="63"/>
  <c r="K753" i="63"/>
  <c r="L753" i="63" s="1"/>
  <c r="M750" i="63"/>
  <c r="G27" i="69" s="1"/>
  <c r="J750" i="63"/>
  <c r="I750" i="63"/>
  <c r="K749" i="63"/>
  <c r="L749" i="63" s="1"/>
  <c r="K748" i="63"/>
  <c r="L748" i="63" s="1"/>
  <c r="L747" i="63"/>
  <c r="K746" i="63"/>
  <c r="L746" i="63" s="1"/>
  <c r="K745" i="63"/>
  <c r="L745" i="63" s="1"/>
  <c r="K744" i="63"/>
  <c r="L744" i="63" s="1"/>
  <c r="K743" i="63"/>
  <c r="L743" i="63" s="1"/>
  <c r="K742" i="63"/>
  <c r="L742" i="63" s="1"/>
  <c r="K741" i="63"/>
  <c r="L741" i="63" s="1"/>
  <c r="K740" i="63"/>
  <c r="L740" i="63" s="1"/>
  <c r="F27" i="69"/>
  <c r="L736" i="63"/>
  <c r="K735" i="63"/>
  <c r="L735" i="63" s="1"/>
  <c r="K734" i="63"/>
  <c r="L734" i="63" s="1"/>
  <c r="K733" i="63"/>
  <c r="L733" i="63" s="1"/>
  <c r="K732" i="63"/>
  <c r="L732" i="63" s="1"/>
  <c r="K731" i="63"/>
  <c r="L731" i="63" s="1"/>
  <c r="K730" i="63"/>
  <c r="L730" i="63" s="1"/>
  <c r="K729" i="63"/>
  <c r="L729" i="63" s="1"/>
  <c r="K728" i="63"/>
  <c r="L728" i="63" s="1"/>
  <c r="K727" i="63"/>
  <c r="L727" i="63" s="1"/>
  <c r="K726" i="63"/>
  <c r="L726" i="63" s="1"/>
  <c r="K725" i="63"/>
  <c r="L725" i="63" s="1"/>
  <c r="K724" i="63"/>
  <c r="L724" i="63" s="1"/>
  <c r="K723" i="63"/>
  <c r="L723" i="63" s="1"/>
  <c r="K722" i="63"/>
  <c r="K721" i="63"/>
  <c r="L721" i="63" s="1"/>
  <c r="K720" i="63"/>
  <c r="L720" i="63" s="1"/>
  <c r="K719" i="63"/>
  <c r="L719" i="63" s="1"/>
  <c r="K718" i="63"/>
  <c r="K716" i="63"/>
  <c r="M691" i="63"/>
  <c r="I26" i="69" s="1"/>
  <c r="J691" i="63"/>
  <c r="I691" i="63"/>
  <c r="K690" i="63"/>
  <c r="L690" i="63" s="1"/>
  <c r="K689" i="63"/>
  <c r="L689" i="63" s="1"/>
  <c r="K688" i="63"/>
  <c r="L688" i="63" s="1"/>
  <c r="K687" i="63"/>
  <c r="M685" i="63"/>
  <c r="G26" i="69" s="1"/>
  <c r="J685" i="63"/>
  <c r="I685" i="63"/>
  <c r="L684" i="63"/>
  <c r="K683" i="63"/>
  <c r="L683" i="63" s="1"/>
  <c r="L682" i="63"/>
  <c r="L681" i="63"/>
  <c r="K680" i="63"/>
  <c r="L680" i="63" s="1"/>
  <c r="K679" i="63"/>
  <c r="L679" i="63" s="1"/>
  <c r="L678" i="63"/>
  <c r="L676" i="63"/>
  <c r="L672" i="63"/>
  <c r="L671" i="63"/>
  <c r="L670" i="63"/>
  <c r="K669" i="63"/>
  <c r="L669" i="63" s="1"/>
  <c r="K668" i="63"/>
  <c r="L668" i="63" s="1"/>
  <c r="K667" i="63"/>
  <c r="L667" i="63" s="1"/>
  <c r="K666" i="63"/>
  <c r="L666" i="63" s="1"/>
  <c r="K665" i="63"/>
  <c r="L665" i="63" s="1"/>
  <c r="K664" i="63"/>
  <c r="L664" i="63" s="1"/>
  <c r="K663" i="63"/>
  <c r="L663" i="63" s="1"/>
  <c r="K662" i="63"/>
  <c r="L662" i="63" s="1"/>
  <c r="K661" i="63"/>
  <c r="L661" i="63" s="1"/>
  <c r="L660" i="63"/>
  <c r="K659" i="63"/>
  <c r="L659" i="63" s="1"/>
  <c r="K658" i="63"/>
  <c r="L658" i="63" s="1"/>
  <c r="K657" i="63"/>
  <c r="L657" i="63" s="1"/>
  <c r="K656" i="63"/>
  <c r="L656" i="63" s="1"/>
  <c r="K655" i="63"/>
  <c r="L655" i="63" s="1"/>
  <c r="K653" i="63"/>
  <c r="K771" i="63"/>
  <c r="M628" i="63"/>
  <c r="I25" i="69" s="1"/>
  <c r="J628" i="63"/>
  <c r="I628" i="63"/>
  <c r="K627" i="63"/>
  <c r="L627" i="63" s="1"/>
  <c r="K626" i="63"/>
  <c r="L626" i="63" s="1"/>
  <c r="K625" i="63"/>
  <c r="L625" i="63" s="1"/>
  <c r="K624" i="63"/>
  <c r="L624" i="63" s="1"/>
  <c r="M622" i="63"/>
  <c r="G25" i="69" s="1"/>
  <c r="J622" i="63"/>
  <c r="I622" i="63"/>
  <c r="K621" i="63"/>
  <c r="L621" i="63" s="1"/>
  <c r="K620" i="63"/>
  <c r="L620" i="63" s="1"/>
  <c r="K619" i="63"/>
  <c r="L619" i="63" s="1"/>
  <c r="K618" i="63"/>
  <c r="L618" i="63" s="1"/>
  <c r="K617" i="63"/>
  <c r="L617" i="63" s="1"/>
  <c r="K616" i="63"/>
  <c r="L616" i="63" s="1"/>
  <c r="K615" i="63"/>
  <c r="L615" i="63" s="1"/>
  <c r="K614" i="63"/>
  <c r="L614" i="63" s="1"/>
  <c r="F25" i="69"/>
  <c r="L610" i="63"/>
  <c r="K609" i="63"/>
  <c r="L609" i="63" s="1"/>
  <c r="K608" i="63"/>
  <c r="L608" i="63" s="1"/>
  <c r="K607" i="63"/>
  <c r="L607" i="63" s="1"/>
  <c r="K606" i="63"/>
  <c r="L606" i="63" s="1"/>
  <c r="L605" i="63"/>
  <c r="K604" i="63"/>
  <c r="L604" i="63" s="1"/>
  <c r="K603" i="63"/>
  <c r="L603" i="63" s="1"/>
  <c r="K602" i="63"/>
  <c r="L602" i="63" s="1"/>
  <c r="L601" i="63"/>
  <c r="K600" i="63"/>
  <c r="L600" i="63" s="1"/>
  <c r="K599" i="63"/>
  <c r="L599" i="63" s="1"/>
  <c r="K598" i="63"/>
  <c r="L598" i="63" s="1"/>
  <c r="K597" i="63"/>
  <c r="L597" i="63" s="1"/>
  <c r="K596" i="63"/>
  <c r="L596" i="63" s="1"/>
  <c r="K595" i="63"/>
  <c r="L595" i="63" s="1"/>
  <c r="K594" i="63"/>
  <c r="L594" i="63" s="1"/>
  <c r="K592" i="63"/>
  <c r="M568" i="63"/>
  <c r="I24" i="69" s="1"/>
  <c r="J568" i="63"/>
  <c r="I568" i="63"/>
  <c r="K567" i="63"/>
  <c r="L567" i="63" s="1"/>
  <c r="K566" i="63"/>
  <c r="L566" i="63" s="1"/>
  <c r="K565" i="63"/>
  <c r="L565" i="63" s="1"/>
  <c r="M563" i="63"/>
  <c r="G24" i="69" s="1"/>
  <c r="J563" i="63"/>
  <c r="I563" i="63"/>
  <c r="K562" i="63"/>
  <c r="L562" i="63" s="1"/>
  <c r="K561" i="63"/>
  <c r="L561" i="63" s="1"/>
  <c r="K560" i="63"/>
  <c r="L559" i="63"/>
  <c r="K558" i="63"/>
  <c r="L558" i="63" s="1"/>
  <c r="K557" i="63"/>
  <c r="L557" i="63" s="1"/>
  <c r="K556" i="63"/>
  <c r="L555" i="63"/>
  <c r="K554" i="63"/>
  <c r="L553" i="63"/>
  <c r="F24" i="69"/>
  <c r="L549" i="63"/>
  <c r="K548" i="63"/>
  <c r="L548" i="63" s="1"/>
  <c r="K546" i="63"/>
  <c r="L546" i="63" s="1"/>
  <c r="K545" i="63"/>
  <c r="L545" i="63" s="1"/>
  <c r="K544" i="63"/>
  <c r="L544" i="63" s="1"/>
  <c r="K543" i="63"/>
  <c r="L543" i="63" s="1"/>
  <c r="K542" i="63"/>
  <c r="L542" i="63" s="1"/>
  <c r="K541" i="63"/>
  <c r="L541" i="63" s="1"/>
  <c r="K540" i="63"/>
  <c r="L540" i="63" s="1"/>
  <c r="L539" i="63"/>
  <c r="K538" i="63"/>
  <c r="L538" i="63" s="1"/>
  <c r="K537" i="63"/>
  <c r="L537" i="63" s="1"/>
  <c r="K536" i="63"/>
  <c r="L536" i="63" s="1"/>
  <c r="K535" i="63"/>
  <c r="L535" i="63" s="1"/>
  <c r="K534" i="63"/>
  <c r="L534" i="63" s="1"/>
  <c r="K533" i="63"/>
  <c r="L533" i="63" s="1"/>
  <c r="K532" i="63"/>
  <c r="L532" i="63" s="1"/>
  <c r="K531" i="63"/>
  <c r="L529" i="63"/>
  <c r="M504" i="63"/>
  <c r="I23" i="69" s="1"/>
  <c r="J504" i="63"/>
  <c r="I504" i="63"/>
  <c r="K503" i="63"/>
  <c r="L503" i="63" s="1"/>
  <c r="K502" i="63"/>
  <c r="L502" i="63" s="1"/>
  <c r="K501" i="63"/>
  <c r="K500" i="63"/>
  <c r="L500" i="63" s="1"/>
  <c r="M498" i="63"/>
  <c r="J498" i="63"/>
  <c r="I498" i="63"/>
  <c r="K497" i="63"/>
  <c r="L497" i="63" s="1"/>
  <c r="K496" i="63"/>
  <c r="L496" i="63" s="1"/>
  <c r="K495" i="63"/>
  <c r="K494" i="63"/>
  <c r="L494" i="63" s="1"/>
  <c r="L493" i="63"/>
  <c r="K492" i="63"/>
  <c r="L492" i="63" s="1"/>
  <c r="L491" i="63"/>
  <c r="F23" i="69"/>
  <c r="L487" i="63"/>
  <c r="L486" i="63"/>
  <c r="K485" i="63"/>
  <c r="L485" i="63" s="1"/>
  <c r="L484" i="63"/>
  <c r="L483" i="63"/>
  <c r="L482" i="63"/>
  <c r="L481" i="63"/>
  <c r="K480" i="63"/>
  <c r="L480" i="63" s="1"/>
  <c r="K479" i="63"/>
  <c r="L479" i="63" s="1"/>
  <c r="L478" i="63"/>
  <c r="K477" i="63"/>
  <c r="K476" i="63"/>
  <c r="L476" i="63" s="1"/>
  <c r="K475" i="63"/>
  <c r="L475" i="63" s="1"/>
  <c r="K474" i="63"/>
  <c r="L474" i="63" s="1"/>
  <c r="L473" i="63"/>
  <c r="K472" i="63"/>
  <c r="L472" i="63" s="1"/>
  <c r="K471" i="63"/>
  <c r="L471" i="63" s="1"/>
  <c r="K470" i="63"/>
  <c r="L470" i="63" s="1"/>
  <c r="L469" i="63"/>
  <c r="L467" i="63"/>
  <c r="M442" i="63"/>
  <c r="I22" i="69" s="1"/>
  <c r="J442" i="63"/>
  <c r="J444" i="63" s="1"/>
  <c r="I442" i="63"/>
  <c r="K441" i="63"/>
  <c r="L441" i="63" s="1"/>
  <c r="L440" i="63"/>
  <c r="K439" i="63"/>
  <c r="L439" i="63" s="1"/>
  <c r="M437" i="63"/>
  <c r="G22" i="69" s="1"/>
  <c r="I437" i="63"/>
  <c r="K436" i="63"/>
  <c r="L436" i="63" s="1"/>
  <c r="K435" i="63"/>
  <c r="L435" i="63" s="1"/>
  <c r="K434" i="63"/>
  <c r="L434" i="63" s="1"/>
  <c r="K433" i="63"/>
  <c r="L433" i="63" s="1"/>
  <c r="K432" i="63"/>
  <c r="K431" i="63"/>
  <c r="L431" i="63" s="1"/>
  <c r="F22" i="69"/>
  <c r="L427" i="63"/>
  <c r="K426" i="63"/>
  <c r="L426" i="63" s="1"/>
  <c r="K425" i="63"/>
  <c r="L425" i="63" s="1"/>
  <c r="K423" i="63"/>
  <c r="L423" i="63" s="1"/>
  <c r="K422" i="63"/>
  <c r="L422" i="63" s="1"/>
  <c r="K421" i="63"/>
  <c r="L421" i="63" s="1"/>
  <c r="K420" i="63"/>
  <c r="L420" i="63" s="1"/>
  <c r="K419" i="63"/>
  <c r="L419" i="63" s="1"/>
  <c r="L418" i="63"/>
  <c r="L417" i="63"/>
  <c r="K416" i="63"/>
  <c r="L416" i="63" s="1"/>
  <c r="K415" i="63"/>
  <c r="L415" i="63" s="1"/>
  <c r="K414" i="63"/>
  <c r="L414" i="63" s="1"/>
  <c r="K413" i="63"/>
  <c r="L413" i="63" s="1"/>
  <c r="K412" i="63"/>
  <c r="L412" i="63" s="1"/>
  <c r="K411" i="63"/>
  <c r="L411" i="63" s="1"/>
  <c r="K410" i="63"/>
  <c r="L410" i="63" s="1"/>
  <c r="K408" i="63"/>
  <c r="M382" i="63"/>
  <c r="I21" i="69" s="1"/>
  <c r="J382" i="63"/>
  <c r="I382" i="63"/>
  <c r="K381" i="63"/>
  <c r="L381" i="63" s="1"/>
  <c r="K380" i="63"/>
  <c r="L380" i="63" s="1"/>
  <c r="K379" i="63"/>
  <c r="M377" i="63"/>
  <c r="G21" i="69" s="1"/>
  <c r="J377" i="63"/>
  <c r="I377" i="63"/>
  <c r="K376" i="63"/>
  <c r="L376" i="63" s="1"/>
  <c r="K375" i="63"/>
  <c r="L375" i="63" s="1"/>
  <c r="K374" i="63"/>
  <c r="L374" i="63" s="1"/>
  <c r="K373" i="63"/>
  <c r="L373" i="63" s="1"/>
  <c r="K372" i="63"/>
  <c r="L372" i="63" s="1"/>
  <c r="K371" i="63"/>
  <c r="L371" i="63" s="1"/>
  <c r="K370" i="63"/>
  <c r="L370" i="63" s="1"/>
  <c r="K369" i="63"/>
  <c r="L369" i="63" s="1"/>
  <c r="M367" i="63"/>
  <c r="F21" i="69" s="1"/>
  <c r="L365" i="63"/>
  <c r="K364" i="63"/>
  <c r="L364" i="63" s="1"/>
  <c r="K363" i="63"/>
  <c r="L363" i="63" s="1"/>
  <c r="L362" i="63"/>
  <c r="L361" i="63"/>
  <c r="L360" i="63"/>
  <c r="L359" i="63"/>
  <c r="K358" i="63"/>
  <c r="L358" i="63" s="1"/>
  <c r="K357" i="63"/>
  <c r="L357" i="63" s="1"/>
  <c r="L356" i="63"/>
  <c r="I356" i="63"/>
  <c r="K355" i="63"/>
  <c r="L355" i="63" s="1"/>
  <c r="K354" i="63"/>
  <c r="L354" i="63" s="1"/>
  <c r="K353" i="63"/>
  <c r="L353" i="63" s="1"/>
  <c r="L352" i="63"/>
  <c r="K351" i="63"/>
  <c r="L351" i="63" s="1"/>
  <c r="K350" i="63"/>
  <c r="L350" i="63" s="1"/>
  <c r="L349" i="63"/>
  <c r="L348" i="63"/>
  <c r="M322" i="63"/>
  <c r="I20" i="69" s="1"/>
  <c r="J322" i="63"/>
  <c r="I322" i="63"/>
  <c r="K321" i="63"/>
  <c r="K320" i="63"/>
  <c r="L320" i="63" s="1"/>
  <c r="K319" i="63"/>
  <c r="L319" i="63" s="1"/>
  <c r="M317" i="63"/>
  <c r="G20" i="69" s="1"/>
  <c r="J317" i="63"/>
  <c r="I317" i="63"/>
  <c r="K316" i="63"/>
  <c r="L316" i="63" s="1"/>
  <c r="K315" i="63"/>
  <c r="L315" i="63" s="1"/>
  <c r="K314" i="63"/>
  <c r="L314" i="63" s="1"/>
  <c r="K313" i="63"/>
  <c r="L313" i="63" s="1"/>
  <c r="K312" i="63"/>
  <c r="L312" i="63" s="1"/>
  <c r="K311" i="63"/>
  <c r="L311" i="63" s="1"/>
  <c r="K310" i="63"/>
  <c r="M308" i="63"/>
  <c r="F20" i="69" s="1"/>
  <c r="J308" i="63"/>
  <c r="I308" i="63"/>
  <c r="L307" i="63"/>
  <c r="K305" i="63"/>
  <c r="L305" i="63" s="1"/>
  <c r="L304" i="63"/>
  <c r="L303" i="63"/>
  <c r="L302" i="63"/>
  <c r="L301" i="63"/>
  <c r="K299" i="63"/>
  <c r="L299" i="63" s="1"/>
  <c r="K298" i="63"/>
  <c r="L298" i="63" s="1"/>
  <c r="K297" i="63"/>
  <c r="L297" i="63" s="1"/>
  <c r="K296" i="63"/>
  <c r="L296" i="63" s="1"/>
  <c r="K295" i="63"/>
  <c r="L295" i="63" s="1"/>
  <c r="K294" i="63"/>
  <c r="L294" i="63" s="1"/>
  <c r="L293" i="63"/>
  <c r="K292" i="63"/>
  <c r="L292" i="63" s="1"/>
  <c r="K291" i="63"/>
  <c r="L291" i="63" s="1"/>
  <c r="K290" i="63"/>
  <c r="L290" i="63" s="1"/>
  <c r="L289" i="63"/>
  <c r="L287" i="63"/>
  <c r="K205" i="63"/>
  <c r="J185" i="74"/>
  <c r="K1021" i="63"/>
  <c r="K964" i="63"/>
  <c r="K904" i="63"/>
  <c r="K838" i="63"/>
  <c r="K705" i="63"/>
  <c r="K642" i="63"/>
  <c r="K581" i="63"/>
  <c r="K518" i="63"/>
  <c r="K456" i="63"/>
  <c r="K397" i="63"/>
  <c r="K335" i="63"/>
  <c r="K275" i="63"/>
  <c r="K1057" i="63" l="1"/>
  <c r="J386" i="63"/>
  <c r="K429" i="63"/>
  <c r="L982" i="63"/>
  <c r="L995" i="63" s="1"/>
  <c r="K995" i="63"/>
  <c r="L915" i="63"/>
  <c r="L936" i="63" s="1"/>
  <c r="K936" i="63"/>
  <c r="L852" i="63"/>
  <c r="K872" i="63"/>
  <c r="L784" i="63"/>
  <c r="L803" i="63" s="1"/>
  <c r="K803" i="63"/>
  <c r="L716" i="63"/>
  <c r="K738" i="63"/>
  <c r="L653" i="63"/>
  <c r="L674" i="63" s="1"/>
  <c r="K674" i="63"/>
  <c r="K612" i="63"/>
  <c r="L531" i="63"/>
  <c r="L551" i="63" s="1"/>
  <c r="K551" i="63"/>
  <c r="L477" i="63"/>
  <c r="L489" i="63" s="1"/>
  <c r="K489" i="63"/>
  <c r="J68" i="63"/>
  <c r="L156" i="74"/>
  <c r="L1044" i="63"/>
  <c r="M243" i="74" s="1"/>
  <c r="L243" i="74"/>
  <c r="L1033" i="63"/>
  <c r="M233" i="74" s="1"/>
  <c r="L233" i="74"/>
  <c r="L1046" i="63"/>
  <c r="M246" i="74" s="1"/>
  <c r="L246" i="74"/>
  <c r="L49" i="63"/>
  <c r="M130" i="74" s="1"/>
  <c r="L130" i="74"/>
  <c r="L1032" i="63"/>
  <c r="L232" i="74"/>
  <c r="L1047" i="63"/>
  <c r="M247" i="74" s="1"/>
  <c r="L247" i="74"/>
  <c r="L1070" i="63"/>
  <c r="M268" i="74" s="1"/>
  <c r="L268" i="74"/>
  <c r="L50" i="63"/>
  <c r="M132" i="74" s="1"/>
  <c r="L132" i="74"/>
  <c r="L754" i="63"/>
  <c r="M152" i="74" s="1"/>
  <c r="L152" i="74"/>
  <c r="L1048" i="63"/>
  <c r="M248" i="74" s="1"/>
  <c r="L248" i="74"/>
  <c r="L1060" i="63"/>
  <c r="M259" i="74" s="1"/>
  <c r="L259" i="74"/>
  <c r="L1071" i="63"/>
  <c r="M269" i="74" s="1"/>
  <c r="L269" i="74"/>
  <c r="K168" i="74"/>
  <c r="K170" i="74" s="1"/>
  <c r="L1045" i="63"/>
  <c r="M244" i="74" s="1"/>
  <c r="L244" i="74"/>
  <c r="L560" i="63"/>
  <c r="M141" i="74" s="1"/>
  <c r="L141" i="74"/>
  <c r="L1037" i="63"/>
  <c r="M237" i="74" s="1"/>
  <c r="L237" i="74"/>
  <c r="L1049" i="63"/>
  <c r="M249" i="74" s="1"/>
  <c r="L249" i="74"/>
  <c r="L1072" i="63"/>
  <c r="M270" i="74" s="1"/>
  <c r="L270" i="74"/>
  <c r="L119" i="63"/>
  <c r="M169" i="74" s="1"/>
  <c r="L169" i="74"/>
  <c r="L52" i="63"/>
  <c r="M138" i="74" s="1"/>
  <c r="L138" i="74"/>
  <c r="L1039" i="63"/>
  <c r="M239" i="74" s="1"/>
  <c r="L239" i="74"/>
  <c r="L1051" i="63"/>
  <c r="M251" i="74" s="1"/>
  <c r="L251" i="74"/>
  <c r="L54" i="63"/>
  <c r="M142" i="74" s="1"/>
  <c r="L142" i="74"/>
  <c r="L65" i="63"/>
  <c r="M151" i="74" s="1"/>
  <c r="L151" i="74"/>
  <c r="L64" i="63"/>
  <c r="M150" i="74" s="1"/>
  <c r="L150" i="74"/>
  <c r="L1040" i="63"/>
  <c r="M240" i="74" s="1"/>
  <c r="L240" i="74"/>
  <c r="L1052" i="63"/>
  <c r="M252" i="74" s="1"/>
  <c r="L252" i="74"/>
  <c r="L249" i="63"/>
  <c r="M134" i="74" s="1"/>
  <c r="L134" i="74"/>
  <c r="L1038" i="63"/>
  <c r="M238" i="74" s="1"/>
  <c r="L238" i="74"/>
  <c r="L1050" i="63"/>
  <c r="L1041" i="63"/>
  <c r="M245" i="74" s="1"/>
  <c r="L245" i="74"/>
  <c r="L1053" i="63"/>
  <c r="M253" i="74" s="1"/>
  <c r="L253" i="74"/>
  <c r="L56" i="63"/>
  <c r="M144" i="74" s="1"/>
  <c r="L144" i="74"/>
  <c r="L1042" i="63"/>
  <c r="M241" i="74" s="1"/>
  <c r="L241" i="74"/>
  <c r="L1054" i="63"/>
  <c r="M254" i="74" s="1"/>
  <c r="L254" i="74"/>
  <c r="L57" i="63"/>
  <c r="M145" i="74" s="1"/>
  <c r="L145" i="74"/>
  <c r="L820" i="63"/>
  <c r="M153" i="74" s="1"/>
  <c r="L153" i="74"/>
  <c r="L321" i="63"/>
  <c r="M157" i="74" s="1"/>
  <c r="L157" i="74"/>
  <c r="L1043" i="63"/>
  <c r="M242" i="74" s="1"/>
  <c r="L242" i="74"/>
  <c r="L1067" i="63"/>
  <c r="M264" i="74" s="1"/>
  <c r="L264" i="74"/>
  <c r="L58" i="63"/>
  <c r="M146" i="74" s="1"/>
  <c r="L146" i="74"/>
  <c r="L1066" i="63"/>
  <c r="M262" i="74" s="1"/>
  <c r="L262" i="74"/>
  <c r="L1063" i="63"/>
  <c r="M261" i="74" s="1"/>
  <c r="L261" i="74"/>
  <c r="L1065" i="63"/>
  <c r="M263" i="74" s="1"/>
  <c r="L263" i="74"/>
  <c r="L1061" i="63"/>
  <c r="M260" i="74" s="1"/>
  <c r="L260" i="74"/>
  <c r="L819" i="63"/>
  <c r="M161" i="74" s="1"/>
  <c r="L161" i="74"/>
  <c r="L817" i="63"/>
  <c r="L155" i="74"/>
  <c r="L63" i="63"/>
  <c r="L62" i="63"/>
  <c r="M158" i="74" s="1"/>
  <c r="L158" i="74"/>
  <c r="L55" i="63"/>
  <c r="M143" i="74" s="1"/>
  <c r="L143" i="74"/>
  <c r="L495" i="63"/>
  <c r="M136" i="74" s="1"/>
  <c r="L136" i="74"/>
  <c r="K19" i="69"/>
  <c r="K20" i="69"/>
  <c r="K29" i="69"/>
  <c r="I693" i="63"/>
  <c r="J693" i="63"/>
  <c r="I630" i="63"/>
  <c r="K24" i="69"/>
  <c r="L556" i="63"/>
  <c r="M126" i="74" s="1"/>
  <c r="L126" i="74"/>
  <c r="I367" i="63"/>
  <c r="I386" i="63" s="1"/>
  <c r="J107" i="74"/>
  <c r="L622" i="63"/>
  <c r="K30" i="69"/>
  <c r="L29" i="63"/>
  <c r="L101" i="74"/>
  <c r="L37" i="63"/>
  <c r="L21" i="63"/>
  <c r="L30" i="63"/>
  <c r="L38" i="63"/>
  <c r="J506" i="63"/>
  <c r="K25" i="69"/>
  <c r="L23" i="63"/>
  <c r="L31" i="63"/>
  <c r="L39" i="63"/>
  <c r="K59" i="63"/>
  <c r="L122" i="74"/>
  <c r="K1068" i="63"/>
  <c r="L24" i="63"/>
  <c r="L32" i="63"/>
  <c r="L40" i="63"/>
  <c r="L124" i="74"/>
  <c r="K21" i="69"/>
  <c r="K22" i="69"/>
  <c r="L722" i="63"/>
  <c r="L97" i="74"/>
  <c r="L25" i="63"/>
  <c r="L33" i="63"/>
  <c r="L103" i="74"/>
  <c r="L41" i="63"/>
  <c r="L47" i="63"/>
  <c r="M506" i="63"/>
  <c r="G23" i="69"/>
  <c r="K23" i="69" s="1"/>
  <c r="K27" i="69"/>
  <c r="K28" i="69"/>
  <c r="L163" i="63"/>
  <c r="L26" i="63"/>
  <c r="L34" i="63"/>
  <c r="L42" i="63"/>
  <c r="L48" i="63"/>
  <c r="M125" i="74" s="1"/>
  <c r="L125" i="74"/>
  <c r="K66" i="63"/>
  <c r="I68" i="63"/>
  <c r="I192" i="63" s="1"/>
  <c r="M693" i="63"/>
  <c r="F26" i="69"/>
  <c r="K26" i="69" s="1"/>
  <c r="J759" i="63"/>
  <c r="K31" i="69"/>
  <c r="L27" i="63"/>
  <c r="L35" i="63"/>
  <c r="L43" i="63"/>
  <c r="L61" i="63"/>
  <c r="L149" i="63"/>
  <c r="L28" i="63"/>
  <c r="L36" i="63"/>
  <c r="I18" i="69"/>
  <c r="I34" i="69" s="1"/>
  <c r="M68" i="63"/>
  <c r="M192" i="63" s="1"/>
  <c r="K254" i="63"/>
  <c r="I259" i="63"/>
  <c r="L216" i="63"/>
  <c r="J259" i="63"/>
  <c r="L90" i="63"/>
  <c r="M259" i="63"/>
  <c r="K44" i="63"/>
  <c r="L46" i="63"/>
  <c r="K238" i="63"/>
  <c r="L240" i="63"/>
  <c r="L157" i="63"/>
  <c r="L945" i="63"/>
  <c r="K504" i="63"/>
  <c r="M630" i="63"/>
  <c r="K691" i="63"/>
  <c r="K750" i="63"/>
  <c r="I759" i="63"/>
  <c r="K815" i="63"/>
  <c r="J826" i="63"/>
  <c r="K884" i="63"/>
  <c r="I892" i="63"/>
  <c r="M952" i="63"/>
  <c r="K1009" i="63"/>
  <c r="I1078" i="63"/>
  <c r="L750" i="63"/>
  <c r="L890" i="63"/>
  <c r="J892" i="63"/>
  <c r="L1009" i="63"/>
  <c r="I1011" i="63"/>
  <c r="J1078" i="63"/>
  <c r="K685" i="63"/>
  <c r="M759" i="63"/>
  <c r="M892" i="63"/>
  <c r="I952" i="63"/>
  <c r="J1011" i="63"/>
  <c r="M1078" i="63"/>
  <c r="I506" i="63"/>
  <c r="L592" i="63"/>
  <c r="L612" i="63" s="1"/>
  <c r="K622" i="63"/>
  <c r="J630" i="63"/>
  <c r="K757" i="63"/>
  <c r="I826" i="63"/>
  <c r="K945" i="63"/>
  <c r="J952" i="63"/>
  <c r="L1004" i="63"/>
  <c r="M1011" i="63"/>
  <c r="L1059" i="63"/>
  <c r="K1075" i="63"/>
  <c r="K1004" i="63"/>
  <c r="L950" i="63"/>
  <c r="K950" i="63"/>
  <c r="L849" i="63"/>
  <c r="L872" i="63" s="1"/>
  <c r="K890" i="63"/>
  <c r="L874" i="63"/>
  <c r="L884" i="63" s="1"/>
  <c r="M826" i="63"/>
  <c r="L805" i="63"/>
  <c r="L815" i="63" s="1"/>
  <c r="L718" i="63"/>
  <c r="L752" i="63"/>
  <c r="L677" i="63"/>
  <c r="L685" i="63" s="1"/>
  <c r="L687" i="63"/>
  <c r="L691" i="63" s="1"/>
  <c r="L628" i="63"/>
  <c r="K628" i="63"/>
  <c r="K367" i="63"/>
  <c r="K377" i="63"/>
  <c r="K382" i="63"/>
  <c r="K437" i="63"/>
  <c r="L442" i="63"/>
  <c r="K563" i="63"/>
  <c r="K568" i="63"/>
  <c r="L568" i="63"/>
  <c r="I570" i="63"/>
  <c r="J570" i="63"/>
  <c r="K498" i="63"/>
  <c r="M570" i="63"/>
  <c r="L554" i="63"/>
  <c r="L501" i="63"/>
  <c r="L504" i="63" s="1"/>
  <c r="J324" i="63"/>
  <c r="M386" i="63"/>
  <c r="M324" i="63"/>
  <c r="I444" i="63"/>
  <c r="K317" i="63"/>
  <c r="L310" i="63"/>
  <c r="L317" i="63" s="1"/>
  <c r="I324" i="63"/>
  <c r="M444" i="63"/>
  <c r="L408" i="63"/>
  <c r="L429" i="63" s="1"/>
  <c r="L432" i="63"/>
  <c r="L437" i="63" s="1"/>
  <c r="K442" i="63"/>
  <c r="L377" i="63"/>
  <c r="L379" i="63"/>
  <c r="L346" i="63"/>
  <c r="L367" i="63" s="1"/>
  <c r="L308" i="63"/>
  <c r="K308" i="63"/>
  <c r="K322" i="63"/>
  <c r="K386" i="63" l="1"/>
  <c r="M232" i="74"/>
  <c r="L1057" i="63"/>
  <c r="L738" i="63"/>
  <c r="L190" i="63"/>
  <c r="L757" i="63"/>
  <c r="L254" i="63"/>
  <c r="L322" i="63"/>
  <c r="L324" i="63" s="1"/>
  <c r="L498" i="63"/>
  <c r="L506" i="63" s="1"/>
  <c r="L44" i="63"/>
  <c r="L1075" i="63"/>
  <c r="M155" i="74"/>
  <c r="M163" i="74" s="1"/>
  <c r="L826" i="63"/>
  <c r="L382" i="63"/>
  <c r="L386" i="63" s="1"/>
  <c r="M156" i="74"/>
  <c r="L117" i="63"/>
  <c r="M167" i="74" s="1"/>
  <c r="L167" i="74"/>
  <c r="K892" i="63"/>
  <c r="L118" i="63"/>
  <c r="M168" i="74" s="1"/>
  <c r="L168" i="74"/>
  <c r="L265" i="74"/>
  <c r="L1068" i="63"/>
  <c r="M258" i="74"/>
  <c r="M265" i="74" s="1"/>
  <c r="L163" i="74"/>
  <c r="L66" i="63"/>
  <c r="L630" i="63"/>
  <c r="L952" i="63"/>
  <c r="L563" i="63"/>
  <c r="L570" i="63" s="1"/>
  <c r="G34" i="69"/>
  <c r="L1011" i="63"/>
  <c r="K1011" i="63"/>
  <c r="K826" i="63"/>
  <c r="L693" i="63"/>
  <c r="L444" i="63"/>
  <c r="L59" i="63"/>
  <c r="M122" i="74"/>
  <c r="M124" i="74"/>
  <c r="K630" i="63"/>
  <c r="K444" i="63"/>
  <c r="K759" i="63"/>
  <c r="K1078" i="63"/>
  <c r="K190" i="63"/>
  <c r="K506" i="63"/>
  <c r="K68" i="63"/>
  <c r="K18" i="69"/>
  <c r="J192" i="63"/>
  <c r="J1013" i="63" s="1"/>
  <c r="K259" i="63"/>
  <c r="L238" i="63"/>
  <c r="M1013" i="63"/>
  <c r="P1012" i="63" s="1"/>
  <c r="K693" i="63"/>
  <c r="L892" i="63"/>
  <c r="K570" i="63"/>
  <c r="K324" i="63"/>
  <c r="K1013" i="63" l="1"/>
  <c r="K1091" i="63" s="1"/>
  <c r="L170" i="74"/>
  <c r="M170" i="74"/>
  <c r="L759" i="63"/>
  <c r="L259" i="63"/>
  <c r="L1078" i="63"/>
  <c r="L68" i="63"/>
  <c r="K192" i="63"/>
  <c r="O1013" i="63"/>
  <c r="L192" i="63" l="1"/>
  <c r="L1013" i="63" s="1"/>
  <c r="K128" i="74"/>
  <c r="J114" i="74"/>
  <c r="J119" i="74" s="1"/>
  <c r="N140" i="74"/>
  <c r="N139" i="74"/>
  <c r="N137" i="74"/>
  <c r="N135" i="74"/>
  <c r="N133" i="74"/>
  <c r="N131" i="74"/>
  <c r="N129" i="74"/>
  <c r="N128" i="74"/>
  <c r="N127" i="74"/>
  <c r="K236" i="74" l="1"/>
  <c r="K235" i="74"/>
  <c r="K256" i="74" s="1"/>
  <c r="L128" i="74" l="1"/>
  <c r="M128" i="74" s="1"/>
  <c r="K127" i="74"/>
  <c r="K139" i="74"/>
  <c r="K137" i="74"/>
  <c r="K133" i="74"/>
  <c r="L137" i="74" l="1"/>
  <c r="M137" i="74" s="1"/>
  <c r="K140" i="74"/>
  <c r="L129" i="74"/>
  <c r="K129" i="74"/>
  <c r="L131" i="74"/>
  <c r="K131" i="74"/>
  <c r="L135" i="74"/>
  <c r="K135" i="74"/>
  <c r="L139" i="74"/>
  <c r="M139" i="74" s="1"/>
  <c r="L140" i="74"/>
  <c r="L127" i="74"/>
  <c r="M127" i="74" s="1"/>
  <c r="M140" i="74" l="1"/>
  <c r="M129" i="74"/>
  <c r="M131" i="74"/>
  <c r="M135" i="74"/>
  <c r="K147" i="74"/>
  <c r="K171" i="74" s="1"/>
  <c r="N236" i="74" l="1"/>
  <c r="N235" i="74"/>
  <c r="N256" i="74" s="1"/>
  <c r="J140" i="74"/>
  <c r="N114" i="74"/>
  <c r="N119" i="74" s="1"/>
  <c r="N147" i="74" l="1"/>
  <c r="H240" i="74"/>
  <c r="N220" i="74"/>
  <c r="K220" i="74"/>
  <c r="J220" i="74"/>
  <c r="M219" i="74"/>
  <c r="M218" i="74"/>
  <c r="M217" i="74"/>
  <c r="L216" i="74"/>
  <c r="L220" i="74" s="1"/>
  <c r="M214" i="74"/>
  <c r="M213" i="74"/>
  <c r="M212" i="74"/>
  <c r="M211" i="74"/>
  <c r="M207" i="74"/>
  <c r="M205" i="74"/>
  <c r="M204" i="74"/>
  <c r="N201" i="74"/>
  <c r="L201" i="74"/>
  <c r="K201" i="74"/>
  <c r="J201" i="74"/>
  <c r="M200" i="74"/>
  <c r="M199" i="74"/>
  <c r="M194" i="74"/>
  <c r="N194" i="74" s="1"/>
  <c r="M72" i="74"/>
  <c r="N67" i="74"/>
  <c r="K67" i="74"/>
  <c r="J67" i="74"/>
  <c r="M66" i="74"/>
  <c r="L65" i="74"/>
  <c r="L67" i="74" s="1"/>
  <c r="N62" i="74"/>
  <c r="K62" i="74"/>
  <c r="J62" i="74"/>
  <c r="M61" i="74"/>
  <c r="M60" i="74"/>
  <c r="L59" i="74"/>
  <c r="M59" i="74" s="1"/>
  <c r="L58" i="74"/>
  <c r="M58" i="74" s="1"/>
  <c r="M57" i="74"/>
  <c r="L56" i="74"/>
  <c r="M56" i="74" s="1"/>
  <c r="L55" i="74"/>
  <c r="M55" i="74" s="1"/>
  <c r="L52" i="74"/>
  <c r="M52" i="74" s="1"/>
  <c r="M51" i="74"/>
  <c r="L50" i="74"/>
  <c r="M50" i="74" s="1"/>
  <c r="L48" i="74"/>
  <c r="M48" i="74" s="1"/>
  <c r="L47" i="74"/>
  <c r="M47" i="74" s="1"/>
  <c r="L46" i="74"/>
  <c r="M46" i="74" s="1"/>
  <c r="M45" i="74"/>
  <c r="L44" i="74"/>
  <c r="M44" i="74" s="1"/>
  <c r="L42" i="74"/>
  <c r="M42" i="74" s="1"/>
  <c r="M41" i="74"/>
  <c r="L40" i="74"/>
  <c r="M40" i="74" s="1"/>
  <c r="L38" i="74"/>
  <c r="M38" i="74" s="1"/>
  <c r="L37" i="74"/>
  <c r="M37" i="74" s="1"/>
  <c r="L36" i="74"/>
  <c r="M36" i="74" s="1"/>
  <c r="L35" i="74"/>
  <c r="M35" i="74" s="1"/>
  <c r="N31" i="74"/>
  <c r="K31" i="74"/>
  <c r="J31" i="74"/>
  <c r="L30" i="74"/>
  <c r="M30" i="74" s="1"/>
  <c r="L29" i="74"/>
  <c r="M29" i="74" s="1"/>
  <c r="L27" i="74"/>
  <c r="M27" i="74" s="1"/>
  <c r="L26" i="74"/>
  <c r="M26" i="74" s="1"/>
  <c r="M25" i="74"/>
  <c r="L21" i="74"/>
  <c r="M21" i="74" s="1"/>
  <c r="M20" i="74"/>
  <c r="L19" i="74"/>
  <c r="N14" i="74"/>
  <c r="M14" i="74"/>
  <c r="L14" i="74"/>
  <c r="K14" i="74"/>
  <c r="J14" i="74"/>
  <c r="M201" i="74" l="1"/>
  <c r="J221" i="74"/>
  <c r="L221" i="74"/>
  <c r="J63" i="74"/>
  <c r="K63" i="74"/>
  <c r="N63" i="74"/>
  <c r="L31" i="74"/>
  <c r="K68" i="74"/>
  <c r="N221" i="74"/>
  <c r="M19" i="74"/>
  <c r="M31" i="74" s="1"/>
  <c r="K221" i="74"/>
  <c r="K271" i="74"/>
  <c r="M216" i="74"/>
  <c r="M220" i="74" s="1"/>
  <c r="N271" i="74"/>
  <c r="M62" i="74"/>
  <c r="L62" i="74"/>
  <c r="J68" i="74"/>
  <c r="N68" i="74"/>
  <c r="M65" i="74"/>
  <c r="M67" i="74" s="1"/>
  <c r="M221" i="74" l="1"/>
  <c r="K273" i="74"/>
  <c r="K281" i="74" s="1"/>
  <c r="L63" i="74"/>
  <c r="M63" i="74"/>
  <c r="M68" i="74"/>
  <c r="L68" i="74"/>
  <c r="K301" i="74" l="1"/>
  <c r="M272" i="74"/>
  <c r="N273" i="74" l="1"/>
  <c r="N301" i="74" s="1"/>
  <c r="L236" i="74"/>
  <c r="M236" i="74" s="1"/>
  <c r="L235" i="74"/>
  <c r="M235" i="74" l="1"/>
  <c r="M256" i="74" s="1"/>
  <c r="L256" i="74"/>
  <c r="M271" i="74"/>
  <c r="L271" i="74"/>
  <c r="K261" i="63"/>
  <c r="L261" i="63" s="1"/>
  <c r="L133" i="74"/>
  <c r="M133" i="74" s="1"/>
  <c r="J128" i="74" l="1"/>
  <c r="J127" i="74" l="1"/>
  <c r="J139" i="74"/>
  <c r="J271" i="74"/>
  <c r="J137" i="74"/>
  <c r="J135" i="74"/>
  <c r="J133" i="74"/>
  <c r="J131" i="74"/>
  <c r="J129" i="74"/>
  <c r="J150" i="74"/>
  <c r="J163" i="74" s="1"/>
  <c r="J273" i="74" l="1"/>
  <c r="J301" i="74" l="1"/>
  <c r="J147" i="74" l="1"/>
  <c r="L147" i="74"/>
  <c r="L114" i="74"/>
  <c r="L119" i="74" s="1"/>
  <c r="L171" i="74" s="1"/>
  <c r="K260" i="63"/>
  <c r="J171" i="74" l="1"/>
  <c r="J281" i="74" s="1"/>
  <c r="M147" i="74"/>
  <c r="M171" i="74" s="1"/>
  <c r="K32" i="69"/>
  <c r="K34" i="69" s="1"/>
  <c r="L260" i="63"/>
  <c r="M1079" i="63"/>
  <c r="J1079" i="63"/>
  <c r="I1079" i="63"/>
  <c r="M1093" i="63" l="1"/>
  <c r="M1091" i="63"/>
  <c r="J1093" i="63"/>
  <c r="J1091" i="63"/>
  <c r="I1093" i="63"/>
  <c r="K178" i="74"/>
  <c r="J178" i="74"/>
  <c r="L273" i="74"/>
  <c r="L281" i="74" s="1"/>
  <c r="L1079" i="63"/>
  <c r="F34" i="69"/>
  <c r="K1079" i="63"/>
  <c r="I1094" i="63" l="1"/>
  <c r="L1093" i="63"/>
  <c r="L1091" i="63"/>
  <c r="K1093" i="63"/>
  <c r="J1094" i="63"/>
  <c r="M1094" i="63"/>
  <c r="L301" i="74"/>
  <c r="M273" i="74"/>
  <c r="M281" i="74" s="1"/>
  <c r="K1094" i="63" l="1"/>
  <c r="L1094" i="63"/>
  <c r="L178" i="74"/>
  <c r="M301" i="74"/>
  <c r="N171" i="74"/>
  <c r="N281" i="74" s="1"/>
  <c r="M178" i="74" l="1"/>
  <c r="N178" i="74"/>
</calcChain>
</file>

<file path=xl/sharedStrings.xml><?xml version="1.0" encoding="utf-8"?>
<sst xmlns="http://schemas.openxmlformats.org/spreadsheetml/2006/main" count="2905" uniqueCount="636">
  <si>
    <t>GENERAL FUND</t>
  </si>
  <si>
    <t>ACCOUNT</t>
  </si>
  <si>
    <t xml:space="preserve">INCOME </t>
  </si>
  <si>
    <t>PARTICULARS</t>
  </si>
  <si>
    <t>CODE</t>
  </si>
  <si>
    <t>CLASSIFICATION</t>
  </si>
  <si>
    <t>PAST YEAR</t>
  </si>
  <si>
    <t>BUDGET YEAR</t>
  </si>
  <si>
    <t>TOTAL NON-TAX REVENUE</t>
  </si>
  <si>
    <t>TOTAL RECEIPTS</t>
  </si>
  <si>
    <t>MARKET</t>
  </si>
  <si>
    <t>TOTAL</t>
  </si>
  <si>
    <t>EMELY S. BADUA</t>
  </si>
  <si>
    <t>OBJECT OF EXPENDITURE</t>
  </si>
  <si>
    <t>EDNA C. PADAYAO</t>
  </si>
  <si>
    <t>TERESA O. MAMALIO</t>
  </si>
  <si>
    <t>1141-2</t>
  </si>
  <si>
    <t>9993-1</t>
  </si>
  <si>
    <t>9993-2</t>
  </si>
  <si>
    <t>9993-3</t>
  </si>
  <si>
    <t>9993-4</t>
  </si>
  <si>
    <t>9993-5</t>
  </si>
  <si>
    <t>1011-1</t>
  </si>
  <si>
    <t>1011-2</t>
  </si>
  <si>
    <t>1011-3</t>
  </si>
  <si>
    <t>1011-5</t>
  </si>
  <si>
    <t>1011-6</t>
  </si>
  <si>
    <t>1011-7</t>
  </si>
  <si>
    <t>1011-8</t>
  </si>
  <si>
    <t>1011-9</t>
  </si>
  <si>
    <t>1011-10</t>
  </si>
  <si>
    <t>GRAND TOTAL</t>
  </si>
  <si>
    <t>Current Year</t>
  </si>
  <si>
    <t>IMELDA T. SISON</t>
  </si>
  <si>
    <t>MINERVA L. ROSAS</t>
  </si>
  <si>
    <t>MUNICIPALITY OF ASINGAN</t>
  </si>
  <si>
    <t>OFFICE OF THE MUNICIPAL BUDGET OFFICER</t>
  </si>
  <si>
    <t>I</t>
  </si>
  <si>
    <t>1. Tax Revenue</t>
  </si>
  <si>
    <t>2. Non-Tax Revenue</t>
  </si>
  <si>
    <t>1011-11</t>
  </si>
  <si>
    <t>1011-12</t>
  </si>
  <si>
    <t>1011-15</t>
  </si>
  <si>
    <t>Approved:</t>
  </si>
  <si>
    <t>1011-16</t>
  </si>
  <si>
    <t>1011-17</t>
  </si>
  <si>
    <t>1011-18</t>
  </si>
  <si>
    <t>1141-1</t>
  </si>
  <si>
    <t>5% LDRRMF</t>
  </si>
  <si>
    <t>MOOE</t>
  </si>
  <si>
    <t>CO</t>
  </si>
  <si>
    <t>Office of the Municipal Mayor</t>
  </si>
  <si>
    <t>Office of the Sangguniang Bayan</t>
  </si>
  <si>
    <t>Office of the MPDC</t>
  </si>
  <si>
    <t>Office of the Civil Registrar</t>
  </si>
  <si>
    <t>Office of the Municipal Budget Officer</t>
  </si>
  <si>
    <t>Office of the Municipal Accountant</t>
  </si>
  <si>
    <t>Office of the Municipal Treasurer</t>
  </si>
  <si>
    <t>Office of the Municipal Assessor</t>
  </si>
  <si>
    <t>Office of the Municipal Engineer</t>
  </si>
  <si>
    <t>Office of the M.S.W.D.O.</t>
  </si>
  <si>
    <t>Office of the Municipal Agriculturist</t>
  </si>
  <si>
    <t>Office of the Municipal Health Unit I</t>
  </si>
  <si>
    <t>Office of the Municipal Health Unit II</t>
  </si>
  <si>
    <t>Office of the LDRRMO</t>
  </si>
  <si>
    <t>ASINGAN, PANGASINAN</t>
  </si>
  <si>
    <t>PERSONAL SERVICES</t>
  </si>
  <si>
    <t>Overtime Pay</t>
  </si>
  <si>
    <t>TOTAL PERSONAL SERVICES</t>
  </si>
  <si>
    <t>Terminal Leave Benefits</t>
  </si>
  <si>
    <t>Insurance Expenses</t>
  </si>
  <si>
    <t>General Services</t>
  </si>
  <si>
    <t>Electricity Expenses</t>
  </si>
  <si>
    <t>Office Supplies Expenses</t>
  </si>
  <si>
    <t>TOTAL APPROPRIATION</t>
  </si>
  <si>
    <t>-751</t>
  </si>
  <si>
    <t>-753</t>
  </si>
  <si>
    <t>-759</t>
  </si>
  <si>
    <t>-755</t>
  </si>
  <si>
    <t>-773</t>
  </si>
  <si>
    <t>-850</t>
  </si>
  <si>
    <t>-969</t>
  </si>
  <si>
    <t>-749</t>
  </si>
  <si>
    <t>-760</t>
  </si>
  <si>
    <t>-705</t>
  </si>
  <si>
    <t>9997-1</t>
  </si>
  <si>
    <t>9997-2</t>
  </si>
  <si>
    <t>9997-3</t>
  </si>
  <si>
    <t>9997-4</t>
  </si>
  <si>
    <t>9997-5</t>
  </si>
  <si>
    <t>9997-6</t>
  </si>
  <si>
    <t>9997-7</t>
  </si>
  <si>
    <t>9997-8</t>
  </si>
  <si>
    <t>9997-9</t>
  </si>
  <si>
    <t>9997-10</t>
  </si>
  <si>
    <t>9999-3</t>
  </si>
  <si>
    <t>9999-2</t>
  </si>
  <si>
    <t>9999-3a</t>
  </si>
  <si>
    <t>9999-3b</t>
  </si>
  <si>
    <t>9999-3c</t>
  </si>
  <si>
    <t>9999-3d</t>
  </si>
  <si>
    <t>9999-4</t>
  </si>
  <si>
    <t>1011-4</t>
  </si>
  <si>
    <t>1011-13</t>
  </si>
  <si>
    <t>1011-14</t>
  </si>
  <si>
    <t>5% LDRRM Fund</t>
  </si>
  <si>
    <t>Salaries &amp; Wages-Casual</t>
  </si>
  <si>
    <t>Training Expenses</t>
  </si>
  <si>
    <t>-719</t>
  </si>
  <si>
    <t>I.</t>
  </si>
  <si>
    <t>BEGINNING CASH BALANCE</t>
  </si>
  <si>
    <t>II.</t>
  </si>
  <si>
    <t>RECEIPTS</t>
  </si>
  <si>
    <t>a. Real Property Tax (RPT)</t>
  </si>
  <si>
    <t>TOTAL TAX REVENUE</t>
  </si>
  <si>
    <t>a. Regulatory Fees</t>
  </si>
  <si>
    <t>1. Registration Fees</t>
  </si>
  <si>
    <t>Registration on Civil Status</t>
  </si>
  <si>
    <t>Marriage Fees</t>
  </si>
  <si>
    <t>Registration of Large Cattle</t>
  </si>
  <si>
    <t>2. Inspection Fees</t>
  </si>
  <si>
    <t>3. Clearance and Certification Fee</t>
  </si>
  <si>
    <t>Zoning Clearance</t>
  </si>
  <si>
    <t>Police Clearance</t>
  </si>
  <si>
    <t>Locational Clearance</t>
  </si>
  <si>
    <t>4. Permit Fees</t>
  </si>
  <si>
    <t>Mayor's Permit Fees</t>
  </si>
  <si>
    <t>Building Permit Fees</t>
  </si>
  <si>
    <t>Burial Permit Fees</t>
  </si>
  <si>
    <t>Electrical Permit Fees</t>
  </si>
  <si>
    <t>5. Occupation Fees</t>
  </si>
  <si>
    <t>6. Other Fees</t>
  </si>
  <si>
    <t>Sponsors Fee</t>
  </si>
  <si>
    <t>Cemetery Fee</t>
  </si>
  <si>
    <t>Exhumation Fee</t>
  </si>
  <si>
    <t>b. Business and Service Income</t>
  </si>
  <si>
    <t>1. Rent/Lease Income</t>
  </si>
  <si>
    <t>Sports Center/ATRC</t>
  </si>
  <si>
    <t>2. Parking Fee</t>
  </si>
  <si>
    <t>3. Medical, Dental and Laboratory Fees</t>
  </si>
  <si>
    <t>4. Interest Income</t>
  </si>
  <si>
    <t>5. Service Income</t>
  </si>
  <si>
    <t>6. Fines &amp; Penalties</t>
  </si>
  <si>
    <t>TOTAL LOCAL SOURCES</t>
  </si>
  <si>
    <t>A. LOCAL SOURCES</t>
  </si>
  <si>
    <t>B. EXTERNAL SOURCES</t>
  </si>
  <si>
    <t>2. Share from Tobacco Excise Tax</t>
  </si>
  <si>
    <t>TOTAL EXTERNAL SOURCES</t>
  </si>
  <si>
    <t>Salaries &amp; Wages</t>
  </si>
  <si>
    <t>Salaries &amp; Wages-Regular</t>
  </si>
  <si>
    <t>Other Compensation</t>
  </si>
  <si>
    <t>Personal Economic Relief Allowance (PERA)</t>
  </si>
  <si>
    <t>Previous Year</t>
  </si>
  <si>
    <t>Penalty</t>
  </si>
  <si>
    <t>Amusement Tax</t>
  </si>
  <si>
    <t>Franchise Tax</t>
  </si>
  <si>
    <t>Motor Vehicle Tax</t>
  </si>
  <si>
    <t xml:space="preserve">Tax on Sand, Gravel and Other </t>
  </si>
  <si>
    <t>Quarry Products</t>
  </si>
  <si>
    <t>Community Tax</t>
  </si>
  <si>
    <t>Transportation Allowance (TA)</t>
  </si>
  <si>
    <t>Representation Allowance (RA)</t>
  </si>
  <si>
    <t>Clothing/Uniform Allowance</t>
  </si>
  <si>
    <t>Subsistence, Laundry and Quarter Allowance</t>
  </si>
  <si>
    <t>Other Bonuses and Allowances (Loyalty Bonus)</t>
  </si>
  <si>
    <t>Hazard Pay</t>
  </si>
  <si>
    <t xml:space="preserve">Cash Gift </t>
  </si>
  <si>
    <t>Year End Bonus</t>
  </si>
  <si>
    <t>PAG-IBIG Contributions</t>
  </si>
  <si>
    <t>PHILHEALTH Contributions</t>
  </si>
  <si>
    <t>Health Workers Benefits (Medico-legal allowance)</t>
  </si>
  <si>
    <t>Monetization of Leave Credits</t>
  </si>
  <si>
    <t xml:space="preserve">MAINTENANCE AND OTHER OPERATING EXPENSES </t>
  </si>
  <si>
    <t>Traveling Expenses</t>
  </si>
  <si>
    <t>Accountable Forms Expenses</t>
  </si>
  <si>
    <t>Drugs and Medicines Expenses</t>
  </si>
  <si>
    <t>Medical, Dental &amp; Laboratory Supplies Expenses</t>
  </si>
  <si>
    <t>Postage &amp; Deliveries</t>
  </si>
  <si>
    <t>Telephone Expenses</t>
  </si>
  <si>
    <t>Telephone Expenses (Moblie)</t>
  </si>
  <si>
    <t>Advertising Expenses</t>
  </si>
  <si>
    <t>Representation Expenses</t>
  </si>
  <si>
    <t>Discretionary Fund</t>
  </si>
  <si>
    <t>Extra-Ordinary &amp; Miscellaneous Expenses</t>
  </si>
  <si>
    <t>Fidelity Bond Premiums</t>
  </si>
  <si>
    <t>Other Maintenance &amp; Operating Expenses</t>
  </si>
  <si>
    <t>CAPITAL OUTLAYS</t>
  </si>
  <si>
    <t>SPECIAL PURPOSE APPROPRIATIONS (SPAs)</t>
  </si>
  <si>
    <t>20% Development Fund</t>
  </si>
  <si>
    <t>Aid to Barangays</t>
  </si>
  <si>
    <t>Other Authorized SPAs</t>
  </si>
  <si>
    <t>(ACTUAL)</t>
  </si>
  <si>
    <t>First Semester</t>
  </si>
  <si>
    <t>Second Semester</t>
  </si>
  <si>
    <t>(ESTIMATE)</t>
  </si>
  <si>
    <t>BUDGET OF EXPENDITURES AND SOURCES OF FINANCING</t>
  </si>
  <si>
    <t>(PROPOSED)</t>
  </si>
  <si>
    <t xml:space="preserve">Other Local Taxes </t>
  </si>
  <si>
    <t>Business Tax</t>
  </si>
  <si>
    <t>Fines and Penalties</t>
  </si>
  <si>
    <t>Inspection Fees</t>
  </si>
  <si>
    <t>1. Inspection Fees</t>
  </si>
  <si>
    <t>2. Permit Fees (Mayor)</t>
  </si>
  <si>
    <t>1. Medical Fees</t>
  </si>
  <si>
    <t>2. Market and Slaughterhouse Fees</t>
  </si>
  <si>
    <t>3. Ante-Post Mortem</t>
  </si>
  <si>
    <t>4. Garbage Fees</t>
  </si>
  <si>
    <t>5. Income from Economic Enterprise</t>
  </si>
  <si>
    <t>Stall Rental</t>
  </si>
  <si>
    <t>Cash Tickets</t>
  </si>
  <si>
    <t>Electric Bill</t>
  </si>
  <si>
    <t>Goodwill</t>
  </si>
  <si>
    <t>7. Miscellaneous Income</t>
  </si>
  <si>
    <t>-701</t>
  </si>
  <si>
    <t>-711</t>
  </si>
  <si>
    <t>-713</t>
  </si>
  <si>
    <t>-714</t>
  </si>
  <si>
    <t>-715</t>
  </si>
  <si>
    <t>-716</t>
  </si>
  <si>
    <t>-717</t>
  </si>
  <si>
    <t>-721</t>
  </si>
  <si>
    <t>-723</t>
  </si>
  <si>
    <t>-724</t>
  </si>
  <si>
    <t>-725</t>
  </si>
  <si>
    <t>-731</t>
  </si>
  <si>
    <t>-732</t>
  </si>
  <si>
    <t>-733</t>
  </si>
  <si>
    <t>-734</t>
  </si>
  <si>
    <t>-742</t>
  </si>
  <si>
    <t>-743</t>
  </si>
  <si>
    <t>-756</t>
  </si>
  <si>
    <t>-761</t>
  </si>
  <si>
    <t>-771</t>
  </si>
  <si>
    <t>-772</t>
  </si>
  <si>
    <t>-780</t>
  </si>
  <si>
    <t>-783</t>
  </si>
  <si>
    <t>-841</t>
  </si>
  <si>
    <t>-883</t>
  </si>
  <si>
    <t>-884</t>
  </si>
  <si>
    <t>-892</t>
  </si>
  <si>
    <t>-767</t>
  </si>
  <si>
    <t>-795</t>
  </si>
  <si>
    <t>-893</t>
  </si>
  <si>
    <t>ACCOUNT CODE</t>
  </si>
  <si>
    <t>TOTAL APPROPRIATIONS</t>
  </si>
  <si>
    <t>Prepared:</t>
  </si>
  <si>
    <t>Reviewed:</t>
  </si>
  <si>
    <t xml:space="preserve">CURRENT YEAR </t>
  </si>
  <si>
    <t>Employees Compensation Insurance Premiums</t>
  </si>
  <si>
    <t>Retirement and Life Insurance Premiums</t>
  </si>
  <si>
    <t>1011-20</t>
  </si>
  <si>
    <t>1011-21</t>
  </si>
  <si>
    <t>1011-22</t>
  </si>
  <si>
    <t>Savings Unappropriated</t>
  </si>
  <si>
    <t>TOTAL BEGINNING CASH BALANCE</t>
  </si>
  <si>
    <t>Performance Enhancement Incentive (PEI)</t>
  </si>
  <si>
    <t>Office Equipment</t>
  </si>
  <si>
    <t>5-01-01-010</t>
  </si>
  <si>
    <t>5-01-02-010</t>
  </si>
  <si>
    <t>5-01-02-020</t>
  </si>
  <si>
    <t>5-01-02-030</t>
  </si>
  <si>
    <t>5-01-02-040</t>
  </si>
  <si>
    <t>5-01-02-080</t>
  </si>
  <si>
    <t>5-01-02-990</t>
  </si>
  <si>
    <t>5-01-02-150</t>
  </si>
  <si>
    <t>5-01-02-140</t>
  </si>
  <si>
    <t>5-01-03-010</t>
  </si>
  <si>
    <t>5-01-03-020</t>
  </si>
  <si>
    <t>5-01-03-030</t>
  </si>
  <si>
    <t>5-01-03-040</t>
  </si>
  <si>
    <t>5-01-04-030</t>
  </si>
  <si>
    <t>5-02-01-010</t>
  </si>
  <si>
    <t>5-02-02-010</t>
  </si>
  <si>
    <t>5-02-03-010</t>
  </si>
  <si>
    <t>5-02-05-010</t>
  </si>
  <si>
    <t>5-02-05-020</t>
  </si>
  <si>
    <t>5-02-13-990</t>
  </si>
  <si>
    <t>5-02-99-990</t>
  </si>
  <si>
    <t>5-01-02-050</t>
  </si>
  <si>
    <t>5-01-02-110</t>
  </si>
  <si>
    <t>5-01-02-130</t>
  </si>
  <si>
    <t>5-01-04-990</t>
  </si>
  <si>
    <t>5-02-03-020</t>
  </si>
  <si>
    <t>5-02-03-070</t>
  </si>
  <si>
    <t>5-02-03-080</t>
  </si>
  <si>
    <t>5-02-03-090</t>
  </si>
  <si>
    <t>5-02-99-010</t>
  </si>
  <si>
    <t>5-02-99-030</t>
  </si>
  <si>
    <t>5-02-13-060</t>
  </si>
  <si>
    <t>5-02-10-030</t>
  </si>
  <si>
    <t>5-02-16-020</t>
  </si>
  <si>
    <t>4-01-02-040</t>
  </si>
  <si>
    <t>4-01-05-020</t>
  </si>
  <si>
    <t>4-01-05-040</t>
  </si>
  <si>
    <t>4-01-03-060</t>
  </si>
  <si>
    <t>4-01-03-070</t>
  </si>
  <si>
    <t>4-01-03-040</t>
  </si>
  <si>
    <t>4-01-01-050</t>
  </si>
  <si>
    <t>4-02-01-020</t>
  </si>
  <si>
    <t>4-02-01-100</t>
  </si>
  <si>
    <t>4-02-01-040</t>
  </si>
  <si>
    <t>4-02-01-010</t>
  </si>
  <si>
    <t>4-02-01-140</t>
  </si>
  <si>
    <t>4-02-01-990</t>
  </si>
  <si>
    <t>4-02-02-160</t>
  </si>
  <si>
    <t>4-02-02-050</t>
  </si>
  <si>
    <t>4-02-02-120</t>
  </si>
  <si>
    <t>4-02-02-200</t>
  </si>
  <si>
    <t>4-02-02-220</t>
  </si>
  <si>
    <t>4-06-01-010</t>
  </si>
  <si>
    <t>4-01-06-010</t>
  </si>
  <si>
    <t>4-01-06-040</t>
  </si>
  <si>
    <t>R</t>
  </si>
  <si>
    <t>5-01-01-020</t>
  </si>
  <si>
    <t>5-02-04-020</t>
  </si>
  <si>
    <t>5-02-12-990</t>
  </si>
  <si>
    <t>5-02-16-030</t>
  </si>
  <si>
    <t>4-01-03-030</t>
  </si>
  <si>
    <t>4-02-01-160</t>
  </si>
  <si>
    <t>4-02-02-150</t>
  </si>
  <si>
    <t>4-02-02-190</t>
  </si>
  <si>
    <t>4-02-02-140</t>
  </si>
  <si>
    <t xml:space="preserve">TOTAL MAINTENANCE AND OTHER OPERATING EXPENSES </t>
  </si>
  <si>
    <t>TOTAL CAPITAL OUTLAYS</t>
  </si>
  <si>
    <t>-582</t>
  </si>
  <si>
    <t>-599</t>
  </si>
  <si>
    <t>-617</t>
  </si>
  <si>
    <t>-605</t>
  </si>
  <si>
    <t>-601</t>
  </si>
  <si>
    <t>-619</t>
  </si>
  <si>
    <t>-637-1</t>
  </si>
  <si>
    <t>-637-2</t>
  </si>
  <si>
    <t>-616</t>
  </si>
  <si>
    <t>-636-1</t>
  </si>
  <si>
    <t>-636-2</t>
  </si>
  <si>
    <t>-636-3</t>
  </si>
  <si>
    <t>-636-4</t>
  </si>
  <si>
    <t>-588-1</t>
  </si>
  <si>
    <t>-588-2</t>
  </si>
  <si>
    <t>-581</t>
  </si>
  <si>
    <t>-584</t>
  </si>
  <si>
    <t>-604</t>
  </si>
  <si>
    <t>-593</t>
  </si>
  <si>
    <t>-583</t>
  </si>
  <si>
    <t>-606-1</t>
  </si>
  <si>
    <t>-606-2</t>
  </si>
  <si>
    <t>-606-3</t>
  </si>
  <si>
    <t>-613-1</t>
  </si>
  <si>
    <t>-613-2</t>
  </si>
  <si>
    <t>-613-3</t>
  </si>
  <si>
    <t>-605-1</t>
  </si>
  <si>
    <t>-605-2</t>
  </si>
  <si>
    <t>-605-3</t>
  </si>
  <si>
    <t>-605-4</t>
  </si>
  <si>
    <t>-585</t>
  </si>
  <si>
    <t>-628</t>
  </si>
  <si>
    <t>-633-1</t>
  </si>
  <si>
    <t>-633-2</t>
  </si>
  <si>
    <t>-642</t>
  </si>
  <si>
    <t>-640</t>
  </si>
  <si>
    <t>-664</t>
  </si>
  <si>
    <t>-678</t>
  </si>
  <si>
    <t>-665</t>
  </si>
  <si>
    <t>-671</t>
  </si>
  <si>
    <t>NR</t>
  </si>
  <si>
    <t>Productivity Enhancement Incentive (PEI)</t>
  </si>
  <si>
    <t>TOTAL CAPITAL OUTLAY</t>
  </si>
  <si>
    <t>MARJORIE V. TINTE, CPA</t>
  </si>
  <si>
    <t>Aid to PNP</t>
  </si>
  <si>
    <t>Aid to Bureau of Fire Protection</t>
  </si>
  <si>
    <t>Aid to Trial Court</t>
  </si>
  <si>
    <t>Aid to COA</t>
  </si>
  <si>
    <t>Aid to Prosecutor's Office</t>
  </si>
  <si>
    <t>Aid to Public Attorney's Office (PAO)</t>
  </si>
  <si>
    <t>Other Bonuses and Allowances (Mid Year Bonus)</t>
  </si>
  <si>
    <t>20% Development Fund to be reprogrammed</t>
  </si>
  <si>
    <t>Aid to DILG</t>
  </si>
  <si>
    <t>Aid to COMELEC</t>
  </si>
  <si>
    <t>Aid to BIR</t>
  </si>
  <si>
    <t>Medicare Para sa Masa</t>
  </si>
  <si>
    <t>Aid to Veterans</t>
  </si>
  <si>
    <t>Aid to BHW</t>
  </si>
  <si>
    <t>Aid to PLEB</t>
  </si>
  <si>
    <t>Aid to Scouting</t>
  </si>
  <si>
    <t>SPES-Special Program for Employment of Students</t>
  </si>
  <si>
    <t>Maintenance of Plaza, Parks, and Monuments</t>
  </si>
  <si>
    <t>Maintenance of Roads and Bridges</t>
  </si>
  <si>
    <t>Other Services</t>
  </si>
  <si>
    <t>Capability Building</t>
  </si>
  <si>
    <t>GAD</t>
  </si>
  <si>
    <t>Nutrition Program</t>
  </si>
  <si>
    <t>Population Development Program</t>
  </si>
  <si>
    <t>Environmental Sanitation Program</t>
  </si>
  <si>
    <t>PESO &amp; MDO</t>
  </si>
  <si>
    <t>Sports Development</t>
  </si>
  <si>
    <t>Legal Services</t>
  </si>
  <si>
    <t>Non-Formal Education</t>
  </si>
  <si>
    <t>Mun. Anti- Drug Addiction Campaign</t>
  </si>
  <si>
    <t>Senior Citizens &amp; the Differently-Abled</t>
  </si>
  <si>
    <t xml:space="preserve">          OSCA</t>
  </si>
  <si>
    <t xml:space="preserve">          PDAO</t>
  </si>
  <si>
    <t xml:space="preserve">          STAC</t>
  </si>
  <si>
    <t xml:space="preserve">          Plans &amp; Programs</t>
  </si>
  <si>
    <t>Maintenance of Municipal Building &amp; Other Facilities</t>
  </si>
  <si>
    <t>Tourism Development</t>
  </si>
  <si>
    <t>Water Expenses</t>
  </si>
  <si>
    <t>Telephone Expenses-Landline</t>
  </si>
  <si>
    <t>Doctor to the Barrios</t>
  </si>
  <si>
    <t>IT Equipment &amp; Software</t>
  </si>
  <si>
    <t>-221</t>
  </si>
  <si>
    <t>1-07-05-020</t>
  </si>
  <si>
    <t>-223</t>
  </si>
  <si>
    <t>Furniture and Fixtures</t>
  </si>
  <si>
    <t>-222</t>
  </si>
  <si>
    <t>1-07-07-010</t>
  </si>
  <si>
    <t>Motor Vehicles</t>
  </si>
  <si>
    <t>Communication Equipment</t>
  </si>
  <si>
    <t>1-07-05-070</t>
  </si>
  <si>
    <t>1-07-06-010</t>
  </si>
  <si>
    <t>Aid to Asingan Community Hospital</t>
  </si>
  <si>
    <t>Public Affairs Fund</t>
  </si>
  <si>
    <t>Local Council for the Protection of Children (LCPC)</t>
  </si>
  <si>
    <t xml:space="preserve">Republic of the Philippines </t>
  </si>
  <si>
    <t xml:space="preserve">          Katarungang Pambarangay</t>
  </si>
  <si>
    <t>1011-3a</t>
  </si>
  <si>
    <t>JESUS G. CARDINEZ</t>
  </si>
  <si>
    <t>Aid to Child Development Workers</t>
  </si>
  <si>
    <t>Other Bonuses and Allowances (Mid-Year Bonus)</t>
  </si>
  <si>
    <t>IT Equipment &amp; Software (Laptop &amp; Printer)</t>
  </si>
  <si>
    <t>Aid to BNS</t>
  </si>
  <si>
    <t>-229</t>
  </si>
  <si>
    <t>ENGR. BENJAMIN B. GINES, JR.</t>
  </si>
  <si>
    <t>Repairs &amp; Maintenance-Machinery and Equipment</t>
  </si>
  <si>
    <t>Other Infrastructure Assets</t>
  </si>
  <si>
    <t>1-07-03-990</t>
  </si>
  <si>
    <t>Fuel, Oil, &amp; Lubricant Expenses</t>
  </si>
  <si>
    <t>Repairs &amp; Maintenance-Transportation Equipment</t>
  </si>
  <si>
    <t>Repairs &amp; Maintenance-Machinery &amp; Equipment</t>
  </si>
  <si>
    <t>Aid to Public Schools</t>
  </si>
  <si>
    <t>TOTAL 5% LOCAL DISASTER RISK REDUCTION FUND</t>
  </si>
  <si>
    <t>-241</t>
  </si>
  <si>
    <t>Maintenance of Motor Vehicles</t>
  </si>
  <si>
    <t>(TOTAL)</t>
  </si>
  <si>
    <t>1-07-04-990</t>
  </si>
  <si>
    <t>-203</t>
  </si>
  <si>
    <t>Aid to BSPO</t>
  </si>
  <si>
    <t>9997-12</t>
  </si>
  <si>
    <t>9997-14</t>
  </si>
  <si>
    <t>Repairs &amp; Maintenance-Buildings &amp; Other Structures</t>
  </si>
  <si>
    <t>5-02-13-040</t>
  </si>
  <si>
    <t>5-02-13-050</t>
  </si>
  <si>
    <t>Repairs &amp; Maintenance-Building</t>
  </si>
  <si>
    <t>Total Station (Surveying Equipment)</t>
  </si>
  <si>
    <t>1-07-05-990</t>
  </si>
  <si>
    <t>1011-19</t>
  </si>
  <si>
    <t>1011-23</t>
  </si>
  <si>
    <t>27</t>
  </si>
  <si>
    <t>OFFICE OF THE MUNICIPAL MAYOR</t>
  </si>
  <si>
    <t>OFFICE OF THE SANGGUNIANG BAYAN</t>
  </si>
  <si>
    <t>HON. HEIDEE GANIGAN-CHUA</t>
  </si>
  <si>
    <t>ENGR. CARLOS F. LOPEZ, JR.</t>
  </si>
  <si>
    <t>IT Equipment &amp; Software-Desktop &amp; Laptop</t>
  </si>
  <si>
    <t>Aid to POSG</t>
  </si>
  <si>
    <t>9997-15</t>
  </si>
  <si>
    <t>Other Structures</t>
  </si>
  <si>
    <t>Aid to Senior Citizens</t>
  </si>
  <si>
    <t>9997-16</t>
  </si>
  <si>
    <t>Aid to Legal Consultant</t>
  </si>
  <si>
    <t>Financial Assistance to Students (PSU &amp; UCU)</t>
  </si>
  <si>
    <t>9997-17</t>
  </si>
  <si>
    <t>1011-24</t>
  </si>
  <si>
    <t>1011-25</t>
  </si>
  <si>
    <t>1011-26</t>
  </si>
  <si>
    <t>1011-27</t>
  </si>
  <si>
    <t>1011-28</t>
  </si>
  <si>
    <t>Other Bonuses and Allowances (PBB)</t>
  </si>
  <si>
    <t>Other Personnel Benefits (SRI)</t>
  </si>
  <si>
    <t>Subsistence Allowance</t>
  </si>
  <si>
    <t>1011-29</t>
  </si>
  <si>
    <t>1-07-03-010</t>
  </si>
  <si>
    <t>Road Networks</t>
  </si>
  <si>
    <t>1-07-05-030</t>
  </si>
  <si>
    <t>Motor Vehicles-Motorcycle</t>
  </si>
  <si>
    <t>Other Transportation Equipment-Bike</t>
  </si>
  <si>
    <t>1-07-06-990</t>
  </si>
  <si>
    <t>9997-11</t>
  </si>
  <si>
    <t>9997-13</t>
  </si>
  <si>
    <t>Anniversary Bonus</t>
  </si>
  <si>
    <t>Gratuity Pay (OMOOE)</t>
  </si>
  <si>
    <t>1-07-05-110</t>
  </si>
  <si>
    <t>Medical Equipment</t>
  </si>
  <si>
    <t xml:space="preserve">Office Equipment </t>
  </si>
  <si>
    <t xml:space="preserve">Furniture and Fixtures </t>
  </si>
  <si>
    <t>Other Machinery and Equipment</t>
  </si>
  <si>
    <t>b. Business Tax</t>
  </si>
  <si>
    <t>c. Other Local Tax</t>
  </si>
  <si>
    <t>3. Burial Permit Fee</t>
  </si>
  <si>
    <t>4. Fees on Weights and Measures</t>
  </si>
  <si>
    <t>5. Cemetery Fee</t>
  </si>
  <si>
    <t>6. Exhumation Fee</t>
  </si>
  <si>
    <t>Devolved Programs and Services</t>
  </si>
  <si>
    <t>Hazard Pay (Covid-19)</t>
  </si>
  <si>
    <t>Collective Negotiation Agreement (C.N.A.)</t>
  </si>
  <si>
    <t>Collective Negotiation Agreement (Casuals)</t>
  </si>
  <si>
    <t>Kasalang Bayan</t>
  </si>
  <si>
    <t>Continuation of the Rehabilitation of Danggay Center &amp; Purchase of Aircon Units</t>
  </si>
  <si>
    <t>Purchase of CCTV Cameras to be installed around the Public Plaza</t>
  </si>
  <si>
    <t>Rehabilitation of Satellite Market</t>
  </si>
  <si>
    <t>Repair and Repainting of Municipal Hall</t>
  </si>
  <si>
    <t>Maintenance of Library Building</t>
  </si>
  <si>
    <t>Other Personnel Benefits/SRI</t>
  </si>
  <si>
    <t>Province of Pangasinan</t>
  </si>
  <si>
    <t>OFFICE OF THE SECRETARY TO THE SANGGUNIANG BAYAN</t>
  </si>
  <si>
    <t>-over-</t>
  </si>
  <si>
    <t>Appro. Ord. No. 5</t>
  </si>
  <si>
    <t>---------------------------------------------------------------------------------------------------------------------------------------------------------------------------------------------------------</t>
  </si>
  <si>
    <t>Page 22</t>
  </si>
  <si>
    <t>---------------------------</t>
  </si>
  <si>
    <t>Office</t>
  </si>
  <si>
    <t xml:space="preserve">Personal </t>
  </si>
  <si>
    <t>Financial</t>
  </si>
  <si>
    <t>Services</t>
  </si>
  <si>
    <t>Expenses</t>
  </si>
  <si>
    <t>a</t>
  </si>
  <si>
    <t>.</t>
  </si>
  <si>
    <t>b</t>
  </si>
  <si>
    <t>c</t>
  </si>
  <si>
    <t>d</t>
  </si>
  <si>
    <t>e</t>
  </si>
  <si>
    <t>f</t>
  </si>
  <si>
    <t>g</t>
  </si>
  <si>
    <t>h</t>
  </si>
  <si>
    <t>i</t>
  </si>
  <si>
    <t>j</t>
  </si>
  <si>
    <t>k</t>
  </si>
  <si>
    <t>l</t>
  </si>
  <si>
    <t>m</t>
  </si>
  <si>
    <t>n</t>
  </si>
  <si>
    <t>Local Economic Enterprise-Market</t>
  </si>
  <si>
    <t>Section III. Use of Savings and Augmentation: In accordance with Section 336 of Republic Act No. 7160, otherwise known as the Local Government Code of 1991, the Mayor and the Presiding Officer of the Sangguniang Bayan are authorized to augment any item in the approved annual budget for their respective offices from savings in other terms within the same expense class of their respective appropriations.</t>
  </si>
  <si>
    <r>
      <t xml:space="preserve">For this purpose </t>
    </r>
    <r>
      <rPr>
        <b/>
        <sz val="12"/>
        <rFont val="Arial "/>
      </rPr>
      <t xml:space="preserve">"savings" </t>
    </r>
    <r>
      <rPr>
        <sz val="12"/>
        <rFont val="Arial "/>
      </rPr>
      <t>refer to portions or balances of any programmed appropriation free from any obligation or encumbrance, still available after the satisfactory completion or unavoidable discontinuance or abandonment of the work, activity or purpose for which the appropriation is authorized.</t>
    </r>
  </si>
  <si>
    <r>
      <rPr>
        <b/>
        <sz val="12"/>
        <rFont val="Arial "/>
      </rPr>
      <t xml:space="preserve">"Augmentation" </t>
    </r>
    <r>
      <rPr>
        <sz val="12"/>
        <rFont val="Arial "/>
      </rPr>
      <t>implies the existence in the budget of an item, project, activity or purpose with an appropriation which, upon implementation or subsequent evaluation of needed sources, is determined to be deficient.</t>
    </r>
  </si>
  <si>
    <t>Section IV. Priority in the use of Personal Service Savings. Priority shall be given to the personnel benefits of local employees in the use or personal service savings.</t>
  </si>
  <si>
    <t>Section V. Separability Clause. If for any reason, any Section or provision of this Appropriation Ordinance or disallowed in Budget Review or declared invalid by proper authorities, other Sections or provisions hereof that are not affected thereby, shall continue to be in full force and effect.</t>
  </si>
  <si>
    <t>Section VI. Dissemination. This ordinance shall be duly disseminated to all concerned, for immediate and proper action.</t>
  </si>
  <si>
    <t>CURRENT YEAR</t>
  </si>
  <si>
    <t>FDPP Form 1a - Annual Budget Report, by Office of Department (DBM LBP Form No. 2)</t>
  </si>
  <si>
    <t xml:space="preserve">Note: This Form is to be filled-up or prepared by Office or by Department separately. Thus, the Annual Budget shall be composed of separate sheets of this form per Office or Department.  </t>
  </si>
  <si>
    <t>In addition, Form 1b - ABR, Summary must also be filled-up and submitted.</t>
  </si>
  <si>
    <t>PROGRAMMED APPROPRIATION AND OBLIGATION BY OBJECT OF EXPENDITURE</t>
  </si>
  <si>
    <t>REGION:</t>
  </si>
  <si>
    <t>CALENDAR YEAR:</t>
  </si>
  <si>
    <t>PROVINCE:</t>
  </si>
  <si>
    <t>OFFICE:</t>
  </si>
  <si>
    <t>PANGASINAN</t>
  </si>
  <si>
    <t>CITY/MUNICIPALITY:  ASINGAN</t>
  </si>
  <si>
    <t>We hereby certify that we have reviewed the contents and hereby attest to the varacity and correctness of the data or information contained in this document.</t>
  </si>
  <si>
    <t>Department Head</t>
  </si>
  <si>
    <t>Local Budget Officer</t>
  </si>
  <si>
    <t>Local Chief Executive</t>
  </si>
  <si>
    <t xml:space="preserve">OFFICE OF THE MUNICIPAL PLANNING AND </t>
  </si>
  <si>
    <t>DEVELOPMENT COORDINATOR</t>
  </si>
  <si>
    <t>OFFICE OF THE MUNICIPAL CIVIL REGISTRAR</t>
  </si>
  <si>
    <t>OFFICE OF THE MUNICIPAL ACCOUNTANT</t>
  </si>
  <si>
    <t>OFFICE OF THE MUNICIPAL TREASURER</t>
  </si>
  <si>
    <t>OFFICE OF THE MUNICIPAL ASSESSOR</t>
  </si>
  <si>
    <t>OFFICE OF THE MUNICIPAL ENGINEER</t>
  </si>
  <si>
    <t xml:space="preserve">OFFICE OF THE MUNICIPAL SOCIAL WELFARE </t>
  </si>
  <si>
    <t>AND DEVELOPMENT</t>
  </si>
  <si>
    <t>OFFICE OF THE MUNICIPAL AGRICULTURIST</t>
  </si>
  <si>
    <t>OFFICE OF THE MUNICIPAL HEALTH</t>
  </si>
  <si>
    <t>OFFICER-1</t>
  </si>
  <si>
    <t>OFFICER-2</t>
  </si>
  <si>
    <t>RONNIE S. TOMAS, M.D.</t>
  </si>
  <si>
    <t>OFFICE OF THE LOCAL DISASTER RISK</t>
  </si>
  <si>
    <t>REDUCTION MANAGEMENT OFFICER</t>
  </si>
  <si>
    <t>ECONOMIC ENTERPRISE MANAGEMENT</t>
  </si>
  <si>
    <t>FDPP Form 1b - Annual Budget Report, Summary  
(DBM LBP Form No. 3)</t>
  </si>
  <si>
    <t xml:space="preserve">             ______________________
                   Department Head</t>
  </si>
  <si>
    <t>1. Internal Revenue Allotment</t>
  </si>
  <si>
    <t>5</t>
  </si>
  <si>
    <t>PROVINCE: PANGASINAN</t>
  </si>
  <si>
    <t>CITY/MUNICIPALITY: ASINGAN</t>
  </si>
  <si>
    <t>REGION: I</t>
  </si>
  <si>
    <t>1.0 CURRENT OPERATING EXPENDITURES</t>
  </si>
  <si>
    <t>1.1 PERSONAL SERVICES</t>
  </si>
  <si>
    <t xml:space="preserve">1.2 MAINTENANCE AND OTHER OPERATING EXPENSES </t>
  </si>
  <si>
    <t>2.0 CAPITAL OUTLAYS</t>
  </si>
  <si>
    <t>3.0 FINANCIAL EXPENSES</t>
  </si>
  <si>
    <t xml:space="preserve">Other Personnel Benefits </t>
  </si>
  <si>
    <t>Rice Assistance</t>
  </si>
  <si>
    <t>5-02-03-050</t>
  </si>
  <si>
    <t>Continuation of the Construction of Multi-Purpose Hall- Poblacion East</t>
  </si>
  <si>
    <t>Continuation of the Construction of Multi-Purpose Hall- Poblacion West</t>
  </si>
  <si>
    <t>Purchase of Solar Light to the installed @ Asingan Santa Maria (Narciso Ramos Bridge)</t>
  </si>
  <si>
    <t>Purchase of Deco Light for Public Plaza</t>
  </si>
  <si>
    <t>Additional Fund for Construction of Multi- Purpose Hall for PNP personnel</t>
  </si>
  <si>
    <t>Installation of Market tables, perimeter fence of Bagsakan Market @ Brgy. Macalong</t>
  </si>
  <si>
    <t>Continuation of the Construction of Child Development Center (CDC)- Bantog</t>
  </si>
  <si>
    <t>Continuation of the Construction of Child Development Center (CDC)- Sobol</t>
  </si>
  <si>
    <t>Installation of Electrical System @Multi- Purpose Hall Domanpot Community School</t>
  </si>
  <si>
    <t>Construction of steel gate at Municipal Oval at Barangay Macalong</t>
  </si>
  <si>
    <t>EMELY S. BADUA
Local Budget Officer</t>
  </si>
  <si>
    <t>ENGR. CARLOS F. LOPEZ, JR.
Local Chief Executive</t>
  </si>
  <si>
    <t>2024</t>
  </si>
  <si>
    <t>Aid to CVO (Insurance Premium)</t>
  </si>
  <si>
    <t>Aid to Balay Silangan</t>
  </si>
  <si>
    <t>SUB-TOTAL SPECIAL PURPOSE APPROPRIATIONS (SPAs)</t>
  </si>
  <si>
    <t xml:space="preserve">IT Equipment &amp; Software </t>
  </si>
  <si>
    <t>Furniture and Fixtures-Plastic Palettes</t>
  </si>
  <si>
    <t>Other Structures (Devolved Programs &amp; Services)</t>
  </si>
  <si>
    <t xml:space="preserve">TOTAL </t>
  </si>
  <si>
    <t>SPA</t>
  </si>
  <si>
    <t>o.</t>
  </si>
  <si>
    <t>EnP. MANILA T. CORTEZ, RN.</t>
  </si>
  <si>
    <t>OIC-Department Head</t>
  </si>
  <si>
    <t>Temporary Designate-Department Head</t>
  </si>
  <si>
    <t>Q.    Summary of 2024 Proposed New Appropriations, by office</t>
  </si>
  <si>
    <t>Subsistence</t>
  </si>
  <si>
    <t>Collective Negotiation Agreement</t>
  </si>
  <si>
    <t>Service Recognition Incentive</t>
  </si>
  <si>
    <t>Enclosure of Ground Floor @ PNP Quarters</t>
  </si>
  <si>
    <t>Finishing works of Dupac Child Development Center</t>
  </si>
  <si>
    <t>Finishing works of Health Center @ Brgy. Dupac</t>
  </si>
  <si>
    <t>Traveling Expenses- Foreign</t>
  </si>
  <si>
    <t>5-02-01-020</t>
  </si>
  <si>
    <t>Other Bonuses &amp; Allowances</t>
  </si>
  <si>
    <t>Office Equipment (Mandanas)- 1set computer desktop</t>
  </si>
  <si>
    <t>Other Structures (Construction of Multi-Purpose Hall)</t>
  </si>
  <si>
    <t>Motor Vehicles- Devolved Program and Services</t>
  </si>
  <si>
    <t>Agricultural, Fishery and Forestry Equipment</t>
  </si>
  <si>
    <t>1-07-05-040</t>
  </si>
  <si>
    <t xml:space="preserve">Other Bonuses and Allowances </t>
  </si>
  <si>
    <t>5-01-02-991</t>
  </si>
  <si>
    <t>Other Structures Construction of Multi- Purpose Hall</t>
  </si>
  <si>
    <t>Motor Vehicles (Devolved Program &amp;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</si>
</sst>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8"/>
      <name val="Arial Narrow"/>
      <family val="2"/>
    </font>
    <font>
      <b/>
      <sz val="10"/>
      <name val="Arial"/>
      <family val="2"/>
    </font>
    <font>
      <sz val="8"/>
      <name val="Arial"/>
      <family val="2"/>
    </font>
    <font>
      <sz val="8"/>
      <name val="Arial Narrow"/>
      <family val="2"/>
    </font>
    <font>
      <sz val="10"/>
      <name val="Arial"/>
      <family val="2"/>
    </font>
    <font>
      <sz val="11"/>
      <name val="Arial Narrow"/>
      <family val="2"/>
    </font>
    <font>
      <sz val="12"/>
      <name val="Arial Narrow"/>
      <family val="2"/>
    </font>
    <font>
      <b/>
      <sz val="12"/>
      <name val="Arial Narrow"/>
      <family val="2"/>
    </font>
    <font>
      <b/>
      <sz val="12"/>
      <name val="Arial"/>
      <family val="2"/>
    </font>
    <font>
      <sz val="11"/>
      <color theme="1"/>
      <name val="Calibri"/>
      <family val="2"/>
      <scheme val="minor"/>
    </font>
    <font>
      <b/>
      <sz val="12"/>
      <color theme="1"/>
      <name val="Arial Narrow"/>
      <family val="2"/>
    </font>
    <font>
      <sz val="12"/>
      <color theme="1"/>
      <name val="Arial Narrow"/>
      <family val="2"/>
    </font>
    <font>
      <b/>
      <sz val="18"/>
      <name val="Arial Narrow"/>
      <family val="2"/>
    </font>
    <font>
      <sz val="18"/>
      <name val="Arial"/>
      <family val="2"/>
    </font>
    <font>
      <sz val="11"/>
      <color indexed="8"/>
      <name val="Calibri"/>
      <family val="2"/>
    </font>
    <font>
      <b/>
      <sz val="10"/>
      <name val="Arial Narrow"/>
      <family val="2"/>
    </font>
    <font>
      <b/>
      <sz val="18"/>
      <name val="Arial"/>
      <family val="2"/>
    </font>
    <font>
      <sz val="12"/>
      <name val="Arial"/>
      <family val="2"/>
    </font>
    <font>
      <b/>
      <sz val="8"/>
      <name val="Arial"/>
      <family val="2"/>
    </font>
    <font>
      <i/>
      <sz val="9"/>
      <name val="Arial Narrow"/>
      <family val="2"/>
    </font>
    <font>
      <i/>
      <sz val="12"/>
      <name val="Arial"/>
      <family val="2"/>
    </font>
    <font>
      <i/>
      <sz val="12"/>
      <name val="Arial Narrow"/>
      <family val="2"/>
    </font>
    <font>
      <sz val="10"/>
      <name val="Arial"/>
      <family val="2"/>
    </font>
    <font>
      <b/>
      <sz val="14"/>
      <color theme="1"/>
      <name val="Arial"/>
      <family val="2"/>
    </font>
    <font>
      <sz val="12"/>
      <name val="Arial "/>
    </font>
    <font>
      <b/>
      <sz val="12"/>
      <name val="Arial "/>
    </font>
    <font>
      <sz val="10"/>
      <name val="Arial "/>
    </font>
    <font>
      <sz val="11"/>
      <color rgb="FF000000"/>
      <name val="Calibri"/>
      <family val="2"/>
    </font>
    <font>
      <sz val="7"/>
      <name val="Arial"/>
      <family val="2"/>
    </font>
    <font>
      <b/>
      <sz val="14"/>
      <name val="Arial"/>
      <family val="2"/>
    </font>
    <font>
      <sz val="7"/>
      <name val="Calibri"/>
      <family val="2"/>
    </font>
    <font>
      <b/>
      <sz val="11"/>
      <name val="Calibri"/>
      <family val="2"/>
    </font>
    <font>
      <sz val="11"/>
      <name val="Calibri"/>
      <family val="2"/>
    </font>
    <font>
      <sz val="10"/>
      <color rgb="FFFF0000"/>
      <name val="Arial Narrow"/>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1">
    <xf numFmtId="0" fontId="0" fillId="0" borderId="0"/>
    <xf numFmtId="43" fontId="5"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0" fontId="11" fillId="0" borderId="0"/>
    <xf numFmtId="0" fontId="16"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1" fillId="0" borderId="0"/>
    <xf numFmtId="0" fontId="3" fillId="0" borderId="0"/>
    <xf numFmtId="43" fontId="3" fillId="0" borderId="0" applyFont="0" applyFill="0" applyBorder="0" applyAlignment="0" applyProtection="0"/>
    <xf numFmtId="0" fontId="29" fillId="0" borderId="0"/>
    <xf numFmtId="0" fontId="2" fillId="0" borderId="0"/>
    <xf numFmtId="43" fontId="2" fillId="0" borderId="0" applyFont="0" applyFill="0" applyBorder="0" applyAlignment="0" applyProtection="0"/>
    <xf numFmtId="0" fontId="5" fillId="0" borderId="0"/>
    <xf numFmtId="0" fontId="2" fillId="0" borderId="0"/>
    <xf numFmtId="0" fontId="34" fillId="0" borderId="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164" fontId="5"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cellStyleXfs>
  <cellXfs count="573">
    <xf numFmtId="0" fontId="0" fillId="0" borderId="0" xfId="0"/>
    <xf numFmtId="0" fontId="18" fillId="0" borderId="0" xfId="6" applyFont="1"/>
    <xf numFmtId="0" fontId="17" fillId="0" borderId="0" xfId="6" applyFont="1"/>
    <xf numFmtId="0" fontId="13" fillId="0" borderId="4" xfId="0" applyFont="1" applyBorder="1" applyAlignment="1">
      <alignment horizontal="center"/>
    </xf>
    <xf numFmtId="43" fontId="13" fillId="0" borderId="4" xfId="1" quotePrefix="1" applyFont="1" applyBorder="1" applyAlignment="1"/>
    <xf numFmtId="43" fontId="13" fillId="0" borderId="2" xfId="1" applyFont="1" applyBorder="1" applyAlignment="1"/>
    <xf numFmtId="40" fontId="13" fillId="0" borderId="2" xfId="1" quotePrefix="1" applyNumberFormat="1" applyFont="1" applyBorder="1" applyAlignment="1"/>
    <xf numFmtId="43" fontId="13" fillId="0" borderId="2" xfId="1" quotePrefix="1" applyFont="1" applyBorder="1" applyAlignment="1"/>
    <xf numFmtId="43" fontId="14" fillId="0" borderId="33" xfId="1" applyFont="1" applyBorder="1" applyAlignment="1"/>
    <xf numFmtId="43" fontId="13" fillId="0" borderId="3" xfId="1" applyFont="1" applyBorder="1" applyAlignment="1"/>
    <xf numFmtId="40" fontId="13" fillId="0" borderId="3" xfId="1" applyNumberFormat="1" applyFont="1" applyBorder="1" applyAlignment="1"/>
    <xf numFmtId="43" fontId="13" fillId="0" borderId="4" xfId="1" applyFont="1" applyBorder="1" applyAlignment="1"/>
    <xf numFmtId="40" fontId="13" fillId="0" borderId="4" xfId="1" applyNumberFormat="1" applyFont="1" applyBorder="1" applyAlignment="1"/>
    <xf numFmtId="43" fontId="13" fillId="0" borderId="1" xfId="1" applyFont="1" applyBorder="1" applyAlignment="1"/>
    <xf numFmtId="40" fontId="13" fillId="0" borderId="1" xfId="1" applyNumberFormat="1" applyFont="1" applyBorder="1" applyAlignment="1"/>
    <xf numFmtId="0" fontId="13" fillId="3" borderId="4" xfId="0" applyFont="1" applyFill="1" applyBorder="1" applyAlignment="1">
      <alignment horizontal="center"/>
    </xf>
    <xf numFmtId="40" fontId="13" fillId="0" borderId="2" xfId="1" applyNumberFormat="1" applyFont="1" applyBorder="1" applyAlignment="1"/>
    <xf numFmtId="43" fontId="14" fillId="0" borderId="3" xfId="1" applyFont="1" applyBorder="1" applyAlignment="1"/>
    <xf numFmtId="40" fontId="14" fillId="0" borderId="3" xfId="1" applyNumberFormat="1" applyFont="1" applyBorder="1" applyAlignment="1"/>
    <xf numFmtId="43" fontId="5" fillId="0" borderId="0" xfId="1" applyFont="1" applyBorder="1"/>
    <xf numFmtId="40" fontId="5" fillId="0" borderId="0" xfId="1" applyNumberFormat="1" applyFont="1" applyBorder="1"/>
    <xf numFmtId="43" fontId="24" fillId="0" borderId="4" xfId="1" applyFont="1" applyBorder="1" applyAlignment="1">
      <alignment horizontal="right"/>
    </xf>
    <xf numFmtId="40" fontId="24" fillId="0" borderId="4" xfId="1" applyNumberFormat="1" applyFont="1" applyBorder="1" applyAlignment="1">
      <alignment horizontal="right"/>
    </xf>
    <xf numFmtId="43" fontId="13" fillId="0" borderId="4" xfId="1" applyFont="1" applyBorder="1" applyAlignment="1">
      <alignment horizontal="right"/>
    </xf>
    <xf numFmtId="40" fontId="13" fillId="0" borderId="4" xfId="1" applyNumberFormat="1" applyFont="1" applyBorder="1" applyAlignment="1">
      <alignment horizontal="right"/>
    </xf>
    <xf numFmtId="43" fontId="13" fillId="0" borderId="2" xfId="1" applyFont="1" applyBorder="1" applyAlignment="1">
      <alignment horizontal="right"/>
    </xf>
    <xf numFmtId="43" fontId="13" fillId="0" borderId="3" xfId="1" applyFont="1" applyBorder="1" applyAlignment="1">
      <alignment horizontal="right"/>
    </xf>
    <xf numFmtId="40" fontId="13" fillId="0" borderId="3" xfId="1" applyNumberFormat="1" applyFont="1" applyBorder="1" applyAlignment="1">
      <alignment horizontal="right"/>
    </xf>
    <xf numFmtId="43" fontId="13" fillId="0" borderId="1" xfId="1" applyFont="1" applyBorder="1" applyAlignment="1">
      <alignment horizontal="right"/>
    </xf>
    <xf numFmtId="43" fontId="9" fillId="0" borderId="0" xfId="1" applyFont="1" applyBorder="1"/>
    <xf numFmtId="40" fontId="9" fillId="0" borderId="0" xfId="1" applyNumberFormat="1" applyFont="1" applyBorder="1"/>
    <xf numFmtId="43" fontId="24" fillId="0" borderId="0" xfId="1" applyFont="1" applyBorder="1"/>
    <xf numFmtId="40" fontId="24" fillId="0" borderId="0" xfId="1" applyNumberFormat="1" applyFont="1" applyBorder="1"/>
    <xf numFmtId="0" fontId="24" fillId="0" borderId="0" xfId="0" applyFont="1"/>
    <xf numFmtId="43" fontId="15" fillId="0" borderId="0" xfId="1" applyFont="1" applyBorder="1" applyAlignment="1"/>
    <xf numFmtId="43" fontId="24" fillId="0" borderId="0" xfId="1" applyFont="1" applyBorder="1" applyAlignment="1"/>
    <xf numFmtId="43" fontId="9" fillId="0" borderId="0" xfId="1" applyFont="1" applyAlignment="1">
      <alignment horizontal="center"/>
    </xf>
    <xf numFmtId="43" fontId="9" fillId="0" borderId="0" xfId="1" applyFont="1"/>
    <xf numFmtId="43" fontId="10" fillId="0" borderId="0" xfId="1" applyFont="1"/>
    <xf numFmtId="0" fontId="12" fillId="0" borderId="11" xfId="0" applyFont="1" applyBorder="1" applyAlignment="1">
      <alignment horizontal="left"/>
    </xf>
    <xf numFmtId="0" fontId="12" fillId="0" borderId="28" xfId="0" applyFont="1" applyBorder="1" applyAlignment="1">
      <alignment horizontal="left"/>
    </xf>
    <xf numFmtId="43" fontId="13" fillId="0" borderId="11" xfId="0" applyNumberFormat="1" applyFont="1" applyBorder="1"/>
    <xf numFmtId="0" fontId="12" fillId="0" borderId="19" xfId="0" applyFont="1" applyBorder="1" applyAlignment="1">
      <alignment horizontal="left"/>
    </xf>
    <xf numFmtId="43" fontId="13" fillId="0" borderId="19" xfId="0" applyNumberFormat="1" applyFont="1" applyBorder="1"/>
    <xf numFmtId="0" fontId="12" fillId="3" borderId="11" xfId="0" applyFont="1" applyFill="1" applyBorder="1" applyAlignment="1">
      <alignment horizontal="left"/>
    </xf>
    <xf numFmtId="43" fontId="13" fillId="3" borderId="4" xfId="0" applyNumberFormat="1" applyFont="1" applyFill="1" applyBorder="1"/>
    <xf numFmtId="43" fontId="13" fillId="0" borderId="4" xfId="7" applyFont="1" applyBorder="1" applyAlignment="1"/>
    <xf numFmtId="43" fontId="13" fillId="3" borderId="11" xfId="0" applyNumberFormat="1" applyFont="1" applyFill="1" applyBorder="1"/>
    <xf numFmtId="43" fontId="13" fillId="3" borderId="4" xfId="1" applyFont="1" applyFill="1" applyBorder="1" applyAlignment="1"/>
    <xf numFmtId="40" fontId="13" fillId="3" borderId="4" xfId="1" applyNumberFormat="1" applyFont="1" applyFill="1" applyBorder="1" applyAlignment="1"/>
    <xf numFmtId="0" fontId="14" fillId="0" borderId="0" xfId="13" applyFont="1"/>
    <xf numFmtId="0" fontId="13" fillId="0" borderId="0" xfId="13" applyFont="1"/>
    <xf numFmtId="0" fontId="24" fillId="0" borderId="0" xfId="13" applyFont="1"/>
    <xf numFmtId="0" fontId="5" fillId="0" borderId="0" xfId="13" applyFont="1"/>
    <xf numFmtId="0" fontId="6" fillId="0" borderId="0" xfId="13" applyFont="1"/>
    <xf numFmtId="43" fontId="24" fillId="0" borderId="36" xfId="7" applyFont="1" applyBorder="1"/>
    <xf numFmtId="0" fontId="6" fillId="0" borderId="13" xfId="13" applyFont="1" applyBorder="1"/>
    <xf numFmtId="0" fontId="6" fillId="0" borderId="11" xfId="13" applyFont="1" applyBorder="1"/>
    <xf numFmtId="0" fontId="6" fillId="0" borderId="28" xfId="13" applyFont="1" applyBorder="1"/>
    <xf numFmtId="0" fontId="6" fillId="0" borderId="28" xfId="13" quotePrefix="1" applyFont="1" applyBorder="1" applyAlignment="1">
      <alignment horizontal="center"/>
    </xf>
    <xf numFmtId="0" fontId="13" fillId="0" borderId="4" xfId="13" applyFont="1" applyBorder="1" applyAlignment="1">
      <alignment horizontal="center"/>
    </xf>
    <xf numFmtId="43" fontId="13" fillId="0" borderId="4" xfId="13" applyNumberFormat="1" applyFont="1" applyBorder="1" applyAlignment="1">
      <alignment horizontal="right"/>
    </xf>
    <xf numFmtId="43" fontId="13" fillId="0" borderId="4" xfId="7" applyFont="1" applyBorder="1" applyAlignment="1">
      <alignment horizontal="right"/>
    </xf>
    <xf numFmtId="0" fontId="22" fillId="0" borderId="11" xfId="13" applyFont="1" applyBorder="1"/>
    <xf numFmtId="0" fontId="8" fillId="0" borderId="0" xfId="13" applyFont="1"/>
    <xf numFmtId="0" fontId="5" fillId="0" borderId="0" xfId="13" quotePrefix="1" applyFont="1"/>
    <xf numFmtId="0" fontId="22" fillId="0" borderId="7" xfId="13" applyFont="1" applyBorder="1"/>
    <xf numFmtId="0" fontId="22" fillId="0" borderId="9" xfId="13" applyFont="1" applyBorder="1"/>
    <xf numFmtId="0" fontId="22" fillId="0" borderId="18" xfId="13" applyFont="1" applyBorder="1"/>
    <xf numFmtId="0" fontId="22" fillId="0" borderId="18" xfId="13" applyFont="1" applyBorder="1" applyAlignment="1">
      <alignment horizontal="center"/>
    </xf>
    <xf numFmtId="43" fontId="14" fillId="0" borderId="3" xfId="13" applyNumberFormat="1" applyFont="1" applyBorder="1" applyAlignment="1">
      <alignment horizontal="right"/>
    </xf>
    <xf numFmtId="0" fontId="22" fillId="0" borderId="0" xfId="13" applyFont="1"/>
    <xf numFmtId="43" fontId="13" fillId="0" borderId="0" xfId="7" applyFont="1" applyBorder="1"/>
    <xf numFmtId="0" fontId="15" fillId="0" borderId="0" xfId="13" applyFont="1"/>
    <xf numFmtId="43" fontId="14" fillId="0" borderId="0" xfId="7" applyFont="1" applyBorder="1" applyAlignment="1"/>
    <xf numFmtId="0" fontId="13" fillId="0" borderId="0" xfId="13" applyFont="1" applyAlignment="1">
      <alignment horizontal="left"/>
    </xf>
    <xf numFmtId="43" fontId="13" fillId="0" borderId="0" xfId="7" applyFont="1" applyBorder="1" applyAlignment="1"/>
    <xf numFmtId="4" fontId="13" fillId="0" borderId="4" xfId="7" applyNumberFormat="1" applyFont="1" applyBorder="1"/>
    <xf numFmtId="49" fontId="14" fillId="0" borderId="3" xfId="13" applyNumberFormat="1" applyFont="1" applyBorder="1" applyAlignment="1">
      <alignment horizontal="center"/>
    </xf>
    <xf numFmtId="4" fontId="13" fillId="0" borderId="0" xfId="13" applyNumberFormat="1" applyFont="1" applyAlignment="1">
      <alignment horizontal="center"/>
    </xf>
    <xf numFmtId="43" fontId="13" fillId="0" borderId="4" xfId="7" applyFont="1" applyBorder="1"/>
    <xf numFmtId="43" fontId="5" fillId="0" borderId="0" xfId="13" applyNumberFormat="1" applyFont="1"/>
    <xf numFmtId="0" fontId="5" fillId="2" borderId="0" xfId="13" applyFont="1" applyFill="1"/>
    <xf numFmtId="0" fontId="9" fillId="0" borderId="0" xfId="13" applyFont="1"/>
    <xf numFmtId="43" fontId="9" fillId="0" borderId="0" xfId="13" applyNumberFormat="1" applyFont="1"/>
    <xf numFmtId="0" fontId="13" fillId="0" borderId="4" xfId="0" applyFont="1" applyBorder="1" applyAlignment="1">
      <alignment horizontal="center" vertical="center"/>
    </xf>
    <xf numFmtId="43" fontId="13" fillId="0" borderId="11" xfId="0" applyNumberFormat="1" applyFont="1" applyBorder="1" applyAlignment="1">
      <alignment vertical="center"/>
    </xf>
    <xf numFmtId="0" fontId="5" fillId="3" borderId="0" xfId="13" applyFont="1" applyFill="1"/>
    <xf numFmtId="43" fontId="8" fillId="0" borderId="0" xfId="13" applyNumberFormat="1" applyFont="1"/>
    <xf numFmtId="0" fontId="8" fillId="3" borderId="0" xfId="13" applyFont="1" applyFill="1"/>
    <xf numFmtId="0" fontId="13" fillId="0" borderId="0" xfId="6" applyFont="1"/>
    <xf numFmtId="0" fontId="14" fillId="0" borderId="0" xfId="6" applyFont="1"/>
    <xf numFmtId="43" fontId="13" fillId="0" borderId="4" xfId="6" applyNumberFormat="1" applyFont="1" applyBorder="1"/>
    <xf numFmtId="43" fontId="13" fillId="0" borderId="3" xfId="6" applyNumberFormat="1" applyFont="1" applyBorder="1"/>
    <xf numFmtId="43" fontId="13" fillId="0" borderId="3" xfId="6" applyNumberFormat="1" applyFont="1" applyBorder="1" applyAlignment="1">
      <alignment horizontal="right"/>
    </xf>
    <xf numFmtId="43" fontId="13" fillId="0" borderId="4" xfId="6" applyNumberFormat="1" applyFont="1" applyBorder="1" applyAlignment="1">
      <alignment horizontal="right"/>
    </xf>
    <xf numFmtId="43" fontId="13" fillId="0" borderId="1" xfId="6" applyNumberFormat="1" applyFont="1" applyBorder="1"/>
    <xf numFmtId="43" fontId="14" fillId="0" borderId="33" xfId="6" applyNumberFormat="1" applyFont="1" applyBorder="1"/>
    <xf numFmtId="43" fontId="14" fillId="0" borderId="34" xfId="6" applyNumberFormat="1" applyFont="1" applyBorder="1"/>
    <xf numFmtId="0" fontId="13" fillId="0" borderId="11" xfId="6" applyFont="1" applyBorder="1"/>
    <xf numFmtId="43" fontId="13" fillId="0" borderId="0" xfId="6" applyNumberFormat="1" applyFont="1"/>
    <xf numFmtId="43" fontId="13" fillId="0" borderId="1" xfId="6" applyNumberFormat="1" applyFont="1" applyBorder="1" applyAlignment="1">
      <alignment horizontal="right"/>
    </xf>
    <xf numFmtId="43" fontId="13" fillId="3" borderId="4" xfId="6" applyNumberFormat="1" applyFont="1" applyFill="1" applyBorder="1"/>
    <xf numFmtId="0" fontId="18" fillId="0" borderId="0" xfId="6" applyFont="1" applyAlignment="1">
      <alignment horizontal="center"/>
    </xf>
    <xf numFmtId="43" fontId="24" fillId="0" borderId="4" xfId="6" applyNumberFormat="1" applyFont="1" applyBorder="1" applyAlignment="1">
      <alignment horizontal="right"/>
    </xf>
    <xf numFmtId="43" fontId="13" fillId="0" borderId="2" xfId="6" applyNumberFormat="1" applyFont="1" applyBorder="1" applyAlignment="1">
      <alignment horizontal="right"/>
    </xf>
    <xf numFmtId="43" fontId="14" fillId="0" borderId="33" xfId="6" applyNumberFormat="1" applyFont="1" applyBorder="1" applyAlignment="1">
      <alignment horizontal="right"/>
    </xf>
    <xf numFmtId="43" fontId="13" fillId="0" borderId="1" xfId="7" applyFont="1" applyBorder="1"/>
    <xf numFmtId="43" fontId="14" fillId="0" borderId="34" xfId="6" applyNumberFormat="1" applyFont="1" applyBorder="1" applyAlignment="1">
      <alignment horizontal="right"/>
    </xf>
    <xf numFmtId="43" fontId="14" fillId="0" borderId="0" xfId="6" applyNumberFormat="1" applyFont="1" applyAlignment="1">
      <alignment horizontal="right"/>
    </xf>
    <xf numFmtId="0" fontId="18" fillId="0" borderId="0" xfId="6" quotePrefix="1" applyFont="1"/>
    <xf numFmtId="40" fontId="18" fillId="0" borderId="0" xfId="6" applyNumberFormat="1" applyFont="1"/>
    <xf numFmtId="0" fontId="14" fillId="0" borderId="19" xfId="6" applyFont="1" applyBorder="1" applyAlignment="1">
      <alignment horizontal="center" vertical="center"/>
    </xf>
    <xf numFmtId="0" fontId="14" fillId="0" borderId="1" xfId="6" applyFont="1" applyBorder="1" applyAlignment="1">
      <alignment horizontal="center" vertical="center"/>
    </xf>
    <xf numFmtId="0" fontId="14" fillId="0" borderId="1" xfId="6" applyFont="1" applyBorder="1" applyAlignment="1">
      <alignment horizontal="center"/>
    </xf>
    <xf numFmtId="0" fontId="14" fillId="0" borderId="9" xfId="6" applyFont="1" applyBorder="1" applyAlignment="1">
      <alignment horizontal="center" vertical="center"/>
    </xf>
    <xf numFmtId="0" fontId="14" fillId="0" borderId="3" xfId="6" applyFont="1" applyBorder="1" applyAlignment="1">
      <alignment horizontal="center" vertical="center"/>
    </xf>
    <xf numFmtId="0" fontId="14" fillId="0" borderId="3" xfId="6" applyFont="1" applyBorder="1" applyAlignment="1">
      <alignment horizontal="center"/>
    </xf>
    <xf numFmtId="0" fontId="13" fillId="0" borderId="13" xfId="6" applyFont="1" applyBorder="1"/>
    <xf numFmtId="43" fontId="13" fillId="0" borderId="11" xfId="6" applyNumberFormat="1" applyFont="1" applyBorder="1"/>
    <xf numFmtId="0" fontId="14" fillId="0" borderId="13" xfId="6" applyFont="1" applyBorder="1"/>
    <xf numFmtId="0" fontId="14" fillId="0" borderId="11" xfId="6" applyFont="1" applyBorder="1"/>
    <xf numFmtId="0" fontId="14" fillId="0" borderId="28" xfId="6" applyFont="1" applyBorder="1"/>
    <xf numFmtId="43" fontId="14" fillId="0" borderId="4" xfId="6" applyNumberFormat="1" applyFont="1" applyBorder="1"/>
    <xf numFmtId="0" fontId="31" fillId="0" borderId="0" xfId="6" applyFont="1" applyAlignment="1">
      <alignment vertical="justify" wrapText="1"/>
    </xf>
    <xf numFmtId="0" fontId="31" fillId="0" borderId="0" xfId="6" applyFont="1"/>
    <xf numFmtId="0" fontId="31" fillId="0" borderId="0" xfId="6" quotePrefix="1" applyFont="1" applyAlignment="1">
      <alignment horizontal="center"/>
    </xf>
    <xf numFmtId="0" fontId="13" fillId="0" borderId="0" xfId="6" quotePrefix="1" applyFont="1" applyAlignment="1">
      <alignment horizontal="center"/>
    </xf>
    <xf numFmtId="43" fontId="33" fillId="0" borderId="0" xfId="6" quotePrefix="1" applyNumberFormat="1" applyFont="1" applyAlignment="1">
      <alignment horizontal="center"/>
    </xf>
    <xf numFmtId="0" fontId="18" fillId="0" borderId="0" xfId="6" applyFont="1" applyAlignment="1">
      <alignment horizontal="left" vertical="top"/>
    </xf>
    <xf numFmtId="0" fontId="18" fillId="0" borderId="0" xfId="6" applyFont="1" applyAlignment="1">
      <alignment vertical="top"/>
    </xf>
    <xf numFmtId="0" fontId="18" fillId="0" borderId="0" xfId="6" applyFont="1" applyAlignment="1">
      <alignment vertical="top" wrapText="1"/>
    </xf>
    <xf numFmtId="0" fontId="13" fillId="0" borderId="3" xfId="0" applyFont="1" applyBorder="1" applyAlignment="1">
      <alignment horizontal="center" vertical="center"/>
    </xf>
    <xf numFmtId="43" fontId="13" fillId="0" borderId="2" xfId="7" applyFont="1" applyBorder="1" applyAlignment="1"/>
    <xf numFmtId="43" fontId="14" fillId="0" borderId="33" xfId="7" applyFont="1" applyBorder="1" applyAlignment="1"/>
    <xf numFmtId="0" fontId="13" fillId="0" borderId="0" xfId="13" applyFont="1" applyAlignment="1">
      <alignment horizontal="center"/>
    </xf>
    <xf numFmtId="43" fontId="13" fillId="0" borderId="0" xfId="7" applyFont="1" applyBorder="1" applyAlignment="1">
      <alignment horizontal="center"/>
    </xf>
    <xf numFmtId="0" fontId="22" fillId="0" borderId="0" xfId="13" applyFont="1" applyAlignment="1">
      <alignment horizontal="left"/>
    </xf>
    <xf numFmtId="0" fontId="5" fillId="0" borderId="0" xfId="13" applyFont="1" applyAlignment="1">
      <alignment horizontal="left"/>
    </xf>
    <xf numFmtId="43" fontId="14" fillId="0" borderId="0" xfId="16" quotePrefix="1" applyNumberFormat="1" applyFont="1"/>
    <xf numFmtId="0" fontId="22" fillId="0" borderId="10" xfId="13" applyFont="1" applyBorder="1"/>
    <xf numFmtId="0" fontId="24" fillId="0" borderId="0" xfId="13" applyFont="1" applyAlignment="1">
      <alignment horizontal="left"/>
    </xf>
    <xf numFmtId="0" fontId="14" fillId="0" borderId="0" xfId="13" applyFont="1" applyAlignment="1">
      <alignment horizontal="left"/>
    </xf>
    <xf numFmtId="0" fontId="14" fillId="0" borderId="10" xfId="13" applyFont="1" applyBorder="1"/>
    <xf numFmtId="49" fontId="15" fillId="0" borderId="0" xfId="13" applyNumberFormat="1" applyFont="1" applyAlignment="1">
      <alignment horizontal="center"/>
    </xf>
    <xf numFmtId="43" fontId="14" fillId="0" borderId="0" xfId="13" applyNumberFormat="1" applyFont="1" applyAlignment="1">
      <alignment horizontal="right"/>
    </xf>
    <xf numFmtId="43" fontId="13" fillId="0" borderId="36" xfId="6" applyNumberFormat="1" applyFont="1" applyBorder="1" applyAlignment="1">
      <alignment horizontal="center"/>
    </xf>
    <xf numFmtId="43" fontId="13" fillId="0" borderId="36" xfId="6" applyNumberFormat="1" applyFont="1" applyBorder="1"/>
    <xf numFmtId="43" fontId="13" fillId="0" borderId="4" xfId="6" applyNumberFormat="1" applyFont="1" applyBorder="1" applyAlignment="1">
      <alignment horizontal="center"/>
    </xf>
    <xf numFmtId="43" fontId="35" fillId="3" borderId="0" xfId="1" applyFont="1" applyFill="1"/>
    <xf numFmtId="43" fontId="13" fillId="0" borderId="1" xfId="6" applyNumberFormat="1" applyFont="1" applyBorder="1" applyAlignment="1">
      <alignment horizontal="center"/>
    </xf>
    <xf numFmtId="43" fontId="13" fillId="0" borderId="2" xfId="6" applyNumberFormat="1" applyFont="1" applyBorder="1"/>
    <xf numFmtId="43" fontId="14" fillId="0" borderId="33" xfId="6" applyNumberFormat="1" applyFont="1" applyBorder="1" applyAlignment="1">
      <alignment horizontal="center"/>
    </xf>
    <xf numFmtId="43" fontId="13" fillId="0" borderId="3" xfId="6" applyNumberFormat="1" applyFont="1" applyBorder="1" applyAlignment="1">
      <alignment horizontal="center"/>
    </xf>
    <xf numFmtId="43" fontId="14" fillId="0" borderId="0" xfId="6" applyNumberFormat="1" applyFont="1"/>
    <xf numFmtId="43" fontId="13" fillId="3" borderId="1" xfId="6" applyNumberFormat="1" applyFont="1" applyFill="1" applyBorder="1"/>
    <xf numFmtId="43" fontId="14" fillId="3" borderId="3" xfId="6" applyNumberFormat="1" applyFont="1" applyFill="1" applyBorder="1"/>
    <xf numFmtId="43" fontId="14" fillId="0" borderId="3" xfId="6" applyNumberFormat="1" applyFont="1" applyBorder="1"/>
    <xf numFmtId="43" fontId="14" fillId="0" borderId="3" xfId="6" applyNumberFormat="1" applyFont="1" applyBorder="1" applyAlignment="1">
      <alignment horizontal="right"/>
    </xf>
    <xf numFmtId="43" fontId="9" fillId="0" borderId="0" xfId="6" applyNumberFormat="1" applyFont="1" applyAlignment="1">
      <alignment horizontal="center"/>
    </xf>
    <xf numFmtId="43" fontId="5" fillId="3" borderId="0" xfId="6" applyNumberFormat="1" applyFill="1"/>
    <xf numFmtId="43" fontId="5" fillId="0" borderId="0" xfId="6" applyNumberFormat="1"/>
    <xf numFmtId="0" fontId="5" fillId="0" borderId="0" xfId="0" applyFont="1"/>
    <xf numFmtId="0" fontId="15" fillId="0" borderId="0" xfId="0" applyFont="1"/>
    <xf numFmtId="0" fontId="24" fillId="0" borderId="0" xfId="0" quotePrefix="1" applyFont="1"/>
    <xf numFmtId="0" fontId="36" fillId="0" borderId="0" xfId="0" applyFont="1"/>
    <xf numFmtId="43" fontId="5" fillId="0" borderId="0" xfId="1" applyFont="1"/>
    <xf numFmtId="0" fontId="24" fillId="0" borderId="0" xfId="0" applyFont="1" applyAlignment="1">
      <alignment horizontal="center"/>
    </xf>
    <xf numFmtId="0" fontId="22" fillId="0" borderId="0" xfId="13" applyFont="1" applyAlignment="1">
      <alignment horizontal="center"/>
    </xf>
    <xf numFmtId="43" fontId="19" fillId="0" borderId="0" xfId="6" quotePrefix="1" applyNumberFormat="1" applyFont="1" applyAlignment="1">
      <alignment horizontal="center"/>
    </xf>
    <xf numFmtId="0" fontId="14" fillId="0" borderId="0" xfId="13" quotePrefix="1" applyFont="1" applyAlignment="1">
      <alignment horizontal="left"/>
    </xf>
    <xf numFmtId="43" fontId="14" fillId="0" borderId="4" xfId="16" applyNumberFormat="1" applyFont="1" applyBorder="1" applyAlignment="1">
      <alignment horizontal="right"/>
    </xf>
    <xf numFmtId="43" fontId="13" fillId="0" borderId="4" xfId="1" applyFont="1" applyBorder="1"/>
    <xf numFmtId="43" fontId="13" fillId="3" borderId="4" xfId="1" applyFont="1" applyFill="1" applyBorder="1"/>
    <xf numFmtId="43" fontId="13" fillId="0" borderId="1" xfId="1" applyFont="1" applyBorder="1"/>
    <xf numFmtId="43" fontId="13" fillId="3" borderId="28" xfId="1" applyFont="1" applyFill="1" applyBorder="1"/>
    <xf numFmtId="0" fontId="22" fillId="0" borderId="13" xfId="16" applyFont="1" applyBorder="1" applyAlignment="1">
      <alignment vertical="center"/>
    </xf>
    <xf numFmtId="0" fontId="22" fillId="0" borderId="11" xfId="16" applyFont="1" applyBorder="1" applyAlignment="1">
      <alignment vertical="center"/>
    </xf>
    <xf numFmtId="0" fontId="22" fillId="0" borderId="28" xfId="16" quotePrefix="1" applyFont="1" applyBorder="1" applyAlignment="1">
      <alignment horizontal="center" vertical="center"/>
    </xf>
    <xf numFmtId="43" fontId="13" fillId="3" borderId="4" xfId="0" applyNumberFormat="1" applyFont="1" applyFill="1" applyBorder="1" applyAlignment="1">
      <alignment vertical="center"/>
    </xf>
    <xf numFmtId="43" fontId="13" fillId="3" borderId="4" xfId="1" applyFont="1" applyFill="1" applyBorder="1" applyAlignment="1">
      <alignment vertical="center"/>
    </xf>
    <xf numFmtId="43" fontId="13" fillId="0" borderId="4" xfId="1" applyFont="1" applyBorder="1" applyAlignment="1">
      <alignment vertical="center"/>
    </xf>
    <xf numFmtId="0" fontId="22" fillId="0" borderId="13" xfId="16" applyFont="1" applyBorder="1" applyAlignment="1">
      <alignment vertical="center" wrapText="1"/>
    </xf>
    <xf numFmtId="0" fontId="22" fillId="0" borderId="11" xfId="16" applyFont="1" applyBorder="1" applyAlignment="1">
      <alignment vertical="center" wrapText="1"/>
    </xf>
    <xf numFmtId="0" fontId="12" fillId="0" borderId="11" xfId="0" applyFont="1" applyBorder="1" applyAlignment="1">
      <alignment horizontal="left" vertical="center" wrapText="1"/>
    </xf>
    <xf numFmtId="0" fontId="12" fillId="0" borderId="28" xfId="0" applyFont="1" applyBorder="1" applyAlignment="1">
      <alignment horizontal="left" vertical="center" wrapText="1"/>
    </xf>
    <xf numFmtId="0" fontId="22" fillId="0" borderId="28" xfId="16" quotePrefix="1" applyFont="1" applyBorder="1" applyAlignment="1">
      <alignment horizontal="center" vertical="center" wrapText="1"/>
    </xf>
    <xf numFmtId="43" fontId="14" fillId="0" borderId="4" xfId="0" applyNumberFormat="1" applyFont="1" applyBorder="1" applyAlignment="1">
      <alignment vertical="center"/>
    </xf>
    <xf numFmtId="43" fontId="14" fillId="0" borderId="3" xfId="16" applyNumberFormat="1" applyFont="1" applyBorder="1" applyAlignment="1">
      <alignment horizontal="right"/>
    </xf>
    <xf numFmtId="43" fontId="14" fillId="0" borderId="0" xfId="16" applyNumberFormat="1" applyFont="1" applyAlignment="1">
      <alignment horizontal="right"/>
    </xf>
    <xf numFmtId="43" fontId="13" fillId="0" borderId="4" xfId="16" applyNumberFormat="1" applyFont="1" applyBorder="1" applyAlignment="1">
      <alignment horizontal="right"/>
    </xf>
    <xf numFmtId="43" fontId="14" fillId="0" borderId="4" xfId="7" applyFont="1" applyBorder="1" applyAlignment="1">
      <alignment horizontal="right"/>
    </xf>
    <xf numFmtId="43" fontId="13" fillId="0" borderId="4" xfId="16" applyNumberFormat="1" applyFont="1" applyBorder="1" applyAlignment="1">
      <alignment horizontal="center"/>
    </xf>
    <xf numFmtId="0" fontId="6" fillId="0" borderId="9" xfId="16" applyFont="1" applyBorder="1"/>
    <xf numFmtId="0" fontId="22" fillId="0" borderId="18" xfId="16" quotePrefix="1" applyFont="1" applyBorder="1" applyAlignment="1">
      <alignment horizontal="center"/>
    </xf>
    <xf numFmtId="43" fontId="14" fillId="0" borderId="3" xfId="7" applyFont="1" applyBorder="1" applyAlignment="1">
      <alignment horizontal="right"/>
    </xf>
    <xf numFmtId="0" fontId="22" fillId="0" borderId="5" xfId="16" applyFont="1" applyBorder="1"/>
    <xf numFmtId="0" fontId="22" fillId="0" borderId="6" xfId="16" applyFont="1" applyBorder="1"/>
    <xf numFmtId="49" fontId="14" fillId="0" borderId="2" xfId="16" applyNumberFormat="1" applyFont="1" applyBorder="1" applyAlignment="1">
      <alignment horizontal="center"/>
    </xf>
    <xf numFmtId="43" fontId="14" fillId="0" borderId="2" xfId="16" applyNumberFormat="1" applyFont="1" applyBorder="1" applyAlignment="1">
      <alignment horizontal="right"/>
    </xf>
    <xf numFmtId="0" fontId="22" fillId="0" borderId="37" xfId="16" applyFont="1" applyBorder="1"/>
    <xf numFmtId="0" fontId="22" fillId="0" borderId="10" xfId="16" applyFont="1" applyBorder="1"/>
    <xf numFmtId="0" fontId="6" fillId="0" borderId="10" xfId="16" applyFont="1" applyBorder="1"/>
    <xf numFmtId="43" fontId="13" fillId="2" borderId="4" xfId="16" applyNumberFormat="1" applyFont="1" applyFill="1" applyBorder="1" applyAlignment="1">
      <alignment horizontal="right"/>
    </xf>
    <xf numFmtId="43" fontId="13" fillId="2" borderId="4" xfId="7" applyFont="1" applyFill="1" applyBorder="1" applyAlignment="1">
      <alignment horizontal="right"/>
    </xf>
    <xf numFmtId="43" fontId="14" fillId="2" borderId="3" xfId="16" applyNumberFormat="1" applyFont="1" applyFill="1" applyBorder="1" applyAlignment="1">
      <alignment horizontal="right"/>
    </xf>
    <xf numFmtId="43" fontId="14" fillId="2" borderId="3" xfId="7" applyFont="1" applyFill="1" applyBorder="1" applyAlignment="1">
      <alignment horizontal="right"/>
    </xf>
    <xf numFmtId="43" fontId="14" fillId="2" borderId="4" xfId="7" applyFont="1" applyFill="1" applyBorder="1" applyAlignment="1">
      <alignment horizontal="right"/>
    </xf>
    <xf numFmtId="43" fontId="24" fillId="0" borderId="4" xfId="16" applyNumberFormat="1" applyFont="1" applyBorder="1" applyAlignment="1">
      <alignment horizontal="center"/>
    </xf>
    <xf numFmtId="43" fontId="24" fillId="0" borderId="4" xfId="7" applyFont="1" applyBorder="1"/>
    <xf numFmtId="43" fontId="5" fillId="0" borderId="0" xfId="16" applyNumberFormat="1"/>
    <xf numFmtId="0" fontId="22" fillId="3" borderId="7" xfId="16" applyFont="1" applyFill="1" applyBorder="1"/>
    <xf numFmtId="0" fontId="22" fillId="3" borderId="9" xfId="16" applyFont="1" applyFill="1" applyBorder="1"/>
    <xf numFmtId="0" fontId="22" fillId="3" borderId="18" xfId="16" applyFont="1" applyFill="1" applyBorder="1"/>
    <xf numFmtId="0" fontId="22" fillId="3" borderId="18" xfId="16" applyFont="1" applyFill="1" applyBorder="1" applyAlignment="1">
      <alignment horizontal="center"/>
    </xf>
    <xf numFmtId="49" fontId="14" fillId="3" borderId="3" xfId="16" applyNumberFormat="1" applyFont="1" applyFill="1" applyBorder="1" applyAlignment="1">
      <alignment horizontal="center"/>
    </xf>
    <xf numFmtId="43" fontId="14" fillId="3" borderId="3" xfId="16" applyNumberFormat="1" applyFont="1" applyFill="1" applyBorder="1" applyAlignment="1">
      <alignment horizontal="right"/>
    </xf>
    <xf numFmtId="0" fontId="12" fillId="0" borderId="9" xfId="0" applyFont="1" applyBorder="1" applyAlignment="1">
      <alignment horizontal="left" vertical="center" wrapText="1"/>
    </xf>
    <xf numFmtId="0" fontId="12" fillId="0" borderId="18" xfId="0" applyFont="1" applyBorder="1" applyAlignment="1">
      <alignment horizontal="left" vertical="center" wrapText="1"/>
    </xf>
    <xf numFmtId="0" fontId="22" fillId="0" borderId="18" xfId="16" quotePrefix="1" applyFont="1" applyBorder="1" applyAlignment="1">
      <alignment horizontal="center" vertical="center" wrapText="1"/>
    </xf>
    <xf numFmtId="43" fontId="14" fillId="0" borderId="3" xfId="0" applyNumberFormat="1" applyFont="1" applyBorder="1" applyAlignment="1">
      <alignment vertical="center"/>
    </xf>
    <xf numFmtId="0" fontId="13" fillId="0" borderId="3" xfId="0" applyFont="1" applyBorder="1" applyAlignment="1">
      <alignment horizontal="center"/>
    </xf>
    <xf numFmtId="43" fontId="13" fillId="0" borderId="9" xfId="0" applyNumberFormat="1" applyFont="1" applyBorder="1"/>
    <xf numFmtId="43" fontId="13" fillId="0" borderId="3" xfId="1" applyFont="1" applyBorder="1"/>
    <xf numFmtId="0" fontId="22" fillId="0" borderId="39" xfId="16" applyFont="1" applyBorder="1"/>
    <xf numFmtId="0" fontId="22" fillId="0" borderId="40" xfId="16" applyFont="1" applyBorder="1"/>
    <xf numFmtId="0" fontId="14" fillId="0" borderId="40" xfId="16" applyFont="1" applyBorder="1" applyAlignment="1">
      <alignment horizontal="center"/>
    </xf>
    <xf numFmtId="43" fontId="14" fillId="0" borderId="40" xfId="7" applyFont="1" applyBorder="1"/>
    <xf numFmtId="0" fontId="22" fillId="0" borderId="37" xfId="16" applyFont="1" applyBorder="1" applyAlignment="1">
      <alignment horizontal="center"/>
    </xf>
    <xf numFmtId="49" fontId="14" fillId="0" borderId="37" xfId="16" applyNumberFormat="1" applyFont="1" applyBorder="1" applyAlignment="1">
      <alignment horizontal="center"/>
    </xf>
    <xf numFmtId="43" fontId="14" fillId="0" borderId="37" xfId="16" applyNumberFormat="1" applyFont="1" applyBorder="1" applyAlignment="1">
      <alignment horizontal="right"/>
    </xf>
    <xf numFmtId="43" fontId="24" fillId="0" borderId="0" xfId="0" applyNumberFormat="1" applyFont="1"/>
    <xf numFmtId="43" fontId="5" fillId="0" borderId="0" xfId="1" applyFont="1" applyAlignment="1">
      <alignment horizontal="left"/>
    </xf>
    <xf numFmtId="43" fontId="24" fillId="0" borderId="0" xfId="1" applyFont="1" applyAlignment="1">
      <alignment horizontal="left"/>
    </xf>
    <xf numFmtId="43" fontId="8" fillId="0" borderId="0" xfId="1" applyFont="1"/>
    <xf numFmtId="43" fontId="5" fillId="0" borderId="0" xfId="1" applyFont="1" applyFill="1"/>
    <xf numFmtId="43" fontId="24" fillId="0" borderId="0" xfId="1" applyFont="1"/>
    <xf numFmtId="43" fontId="15" fillId="0" borderId="0" xfId="1" applyFont="1"/>
    <xf numFmtId="43" fontId="20" fillId="0" borderId="0" xfId="1" applyFont="1"/>
    <xf numFmtId="43" fontId="5" fillId="2" borderId="0" xfId="1" applyFont="1" applyFill="1"/>
    <xf numFmtId="43" fontId="8" fillId="3" borderId="0" xfId="1" applyFont="1" applyFill="1"/>
    <xf numFmtId="43" fontId="13" fillId="0" borderId="0" xfId="13" applyNumberFormat="1" applyFont="1" applyAlignment="1">
      <alignment horizontal="center"/>
    </xf>
    <xf numFmtId="164" fontId="24" fillId="0" borderId="0" xfId="0" applyNumberFormat="1" applyFont="1"/>
    <xf numFmtId="0" fontId="38" fillId="0" borderId="0" xfId="18" applyFont="1" applyAlignment="1">
      <alignment horizontal="left"/>
    </xf>
    <xf numFmtId="164" fontId="24" fillId="0" borderId="0" xfId="13" applyNumberFormat="1" applyFont="1"/>
    <xf numFmtId="0" fontId="38" fillId="0" borderId="0" xfId="18" applyFont="1" applyAlignment="1" applyProtection="1">
      <alignment horizontal="center" vertical="center"/>
      <protection locked="0"/>
    </xf>
    <xf numFmtId="0" fontId="38" fillId="0" borderId="0" xfId="18" applyFont="1" applyAlignment="1" applyProtection="1">
      <alignment horizontal="center"/>
      <protection locked="0"/>
    </xf>
    <xf numFmtId="0" fontId="38" fillId="0" borderId="9" xfId="18" applyFont="1" applyBorder="1" applyAlignment="1" applyProtection="1">
      <alignment horizontal="center" vertical="center"/>
      <protection locked="0"/>
    </xf>
    <xf numFmtId="0" fontId="39" fillId="0" borderId="0" xfId="18" applyFont="1"/>
    <xf numFmtId="0" fontId="37" fillId="0" borderId="0" xfId="18" applyFont="1" applyAlignment="1" applyProtection="1">
      <alignment horizontal="left" vertical="center"/>
      <protection locked="0"/>
    </xf>
    <xf numFmtId="0" fontId="39" fillId="0" borderId="0" xfId="18" applyFont="1" applyAlignment="1" applyProtection="1">
      <alignment wrapText="1"/>
      <protection locked="0"/>
    </xf>
    <xf numFmtId="0" fontId="38" fillId="0" borderId="0" xfId="18" applyFont="1" applyAlignment="1">
      <alignment vertical="center"/>
    </xf>
    <xf numFmtId="0" fontId="37" fillId="0" borderId="0" xfId="18" applyFont="1" applyAlignment="1" applyProtection="1">
      <alignment vertical="center"/>
      <protection locked="0"/>
    </xf>
    <xf numFmtId="0" fontId="37" fillId="0" borderId="0" xfId="18" applyFont="1" applyAlignment="1" applyProtection="1">
      <alignment vertical="center" wrapText="1"/>
      <protection locked="0"/>
    </xf>
    <xf numFmtId="0" fontId="37" fillId="0" borderId="0" xfId="18" applyFont="1" applyAlignment="1">
      <alignment vertical="center"/>
    </xf>
    <xf numFmtId="0" fontId="6" fillId="0" borderId="14" xfId="16" applyFont="1" applyBorder="1"/>
    <xf numFmtId="0" fontId="6" fillId="0" borderId="12" xfId="16" applyFont="1" applyBorder="1"/>
    <xf numFmtId="0" fontId="6" fillId="0" borderId="21" xfId="16" applyFont="1" applyBorder="1"/>
    <xf numFmtId="0" fontId="6" fillId="0" borderId="21" xfId="16" applyFont="1" applyBorder="1" applyAlignment="1">
      <alignment horizontal="center"/>
    </xf>
    <xf numFmtId="0" fontId="22" fillId="0" borderId="22" xfId="16" applyFont="1" applyBorder="1" applyAlignment="1">
      <alignment horizontal="center"/>
    </xf>
    <xf numFmtId="0" fontId="22" fillId="0" borderId="23" xfId="16" applyFont="1" applyBorder="1" applyAlignment="1">
      <alignment horizontal="center"/>
    </xf>
    <xf numFmtId="0" fontId="22" fillId="0" borderId="2" xfId="16" applyFont="1" applyBorder="1" applyAlignment="1">
      <alignment horizontal="center"/>
    </xf>
    <xf numFmtId="0" fontId="22" fillId="0" borderId="24" xfId="16" applyFont="1" applyBorder="1" applyAlignment="1">
      <alignment horizontal="center"/>
    </xf>
    <xf numFmtId="0" fontId="6" fillId="0" borderId="6" xfId="16" applyFont="1" applyBorder="1" applyAlignment="1">
      <alignment horizontal="center"/>
    </xf>
    <xf numFmtId="0" fontId="7" fillId="0" borderId="2" xfId="16" applyFont="1" applyBorder="1" applyAlignment="1">
      <alignment horizontal="center"/>
    </xf>
    <xf numFmtId="0" fontId="6" fillId="0" borderId="16" xfId="16" applyFont="1" applyBorder="1"/>
    <xf numFmtId="0" fontId="6" fillId="0" borderId="0" xfId="16" applyFont="1"/>
    <xf numFmtId="0" fontId="6" fillId="0" borderId="6" xfId="16" applyFont="1" applyBorder="1"/>
    <xf numFmtId="0" fontId="6" fillId="0" borderId="26" xfId="16" applyFont="1" applyBorder="1" applyAlignment="1">
      <alignment horizontal="center"/>
    </xf>
    <xf numFmtId="0" fontId="6" fillId="0" borderId="27" xfId="16" applyFont="1" applyBorder="1" applyAlignment="1">
      <alignment horizontal="center"/>
    </xf>
    <xf numFmtId="0" fontId="6" fillId="0" borderId="13" xfId="16" applyFont="1" applyBorder="1"/>
    <xf numFmtId="0" fontId="6" fillId="0" borderId="11" xfId="16" applyFont="1" applyBorder="1"/>
    <xf numFmtId="0" fontId="6" fillId="0" borderId="28" xfId="16" applyFont="1" applyBorder="1"/>
    <xf numFmtId="0" fontId="6" fillId="0" borderId="28" xfId="16" quotePrefix="1" applyFont="1" applyBorder="1" applyAlignment="1">
      <alignment horizontal="center"/>
    </xf>
    <xf numFmtId="49" fontId="15" fillId="0" borderId="4" xfId="16" applyNumberFormat="1" applyFont="1" applyBorder="1" applyAlignment="1">
      <alignment horizontal="center"/>
    </xf>
    <xf numFmtId="0" fontId="13" fillId="0" borderId="4" xfId="16" applyFont="1" applyBorder="1" applyAlignment="1">
      <alignment horizontal="center"/>
    </xf>
    <xf numFmtId="49" fontId="24" fillId="0" borderId="4" xfId="16" applyNumberFormat="1" applyFont="1" applyBorder="1" applyAlignment="1">
      <alignment horizontal="center"/>
    </xf>
    <xf numFmtId="0" fontId="6" fillId="0" borderId="4" xfId="16" quotePrefix="1" applyFont="1" applyBorder="1" applyAlignment="1">
      <alignment horizontal="center"/>
    </xf>
    <xf numFmtId="0" fontId="22" fillId="0" borderId="13" xfId="16" applyFont="1" applyBorder="1"/>
    <xf numFmtId="0" fontId="22" fillId="0" borderId="11" xfId="16" applyFont="1" applyBorder="1"/>
    <xf numFmtId="0" fontId="22" fillId="0" borderId="28" xfId="16" applyFont="1" applyBorder="1"/>
    <xf numFmtId="0" fontId="22" fillId="0" borderId="28" xfId="16" quotePrefix="1" applyFont="1" applyBorder="1" applyAlignment="1">
      <alignment horizontal="center"/>
    </xf>
    <xf numFmtId="0" fontId="22" fillId="0" borderId="7" xfId="16" applyFont="1" applyBorder="1"/>
    <xf numFmtId="0" fontId="22" fillId="0" borderId="9" xfId="16" applyFont="1" applyBorder="1"/>
    <xf numFmtId="0" fontId="22" fillId="0" borderId="18" xfId="16" applyFont="1" applyBorder="1"/>
    <xf numFmtId="0" fontId="22" fillId="0" borderId="18" xfId="16" applyFont="1" applyBorder="1" applyAlignment="1">
      <alignment horizontal="center"/>
    </xf>
    <xf numFmtId="49" fontId="15" fillId="0" borderId="3" xfId="16" applyNumberFormat="1" applyFont="1" applyBorder="1" applyAlignment="1">
      <alignment horizontal="center"/>
    </xf>
    <xf numFmtId="0" fontId="22" fillId="0" borderId="0" xfId="16" applyFont="1"/>
    <xf numFmtId="49" fontId="13" fillId="0" borderId="4" xfId="16" applyNumberFormat="1" applyFont="1" applyBorder="1" applyAlignment="1">
      <alignment horizontal="center"/>
    </xf>
    <xf numFmtId="4" fontId="13" fillId="0" borderId="4" xfId="16" applyNumberFormat="1" applyFont="1" applyBorder="1" applyAlignment="1">
      <alignment horizontal="center"/>
    </xf>
    <xf numFmtId="49" fontId="14" fillId="0" borderId="4" xfId="16" applyNumberFormat="1" applyFont="1" applyBorder="1" applyAlignment="1">
      <alignment horizontal="center"/>
    </xf>
    <xf numFmtId="49" fontId="14" fillId="0" borderId="3" xfId="16" applyNumberFormat="1" applyFont="1" applyBorder="1" applyAlignment="1">
      <alignment horizontal="center"/>
    </xf>
    <xf numFmtId="0" fontId="22" fillId="2" borderId="13" xfId="16" applyFont="1" applyFill="1" applyBorder="1"/>
    <xf numFmtId="0" fontId="6" fillId="2" borderId="11" xfId="16" applyFont="1" applyFill="1" applyBorder="1"/>
    <xf numFmtId="0" fontId="22" fillId="2" borderId="11" xfId="16" applyFont="1" applyFill="1" applyBorder="1"/>
    <xf numFmtId="0" fontId="22" fillId="2" borderId="28" xfId="16" applyFont="1" applyFill="1" applyBorder="1"/>
    <xf numFmtId="0" fontId="22" fillId="2" borderId="28" xfId="16" quotePrefix="1" applyFont="1" applyFill="1" applyBorder="1" applyAlignment="1">
      <alignment horizontal="center"/>
    </xf>
    <xf numFmtId="49" fontId="13" fillId="2" borderId="4" xfId="16" applyNumberFormat="1" applyFont="1" applyFill="1" applyBorder="1" applyAlignment="1">
      <alignment horizontal="center"/>
    </xf>
    <xf numFmtId="0" fontId="22" fillId="2" borderId="7" xfId="16" applyFont="1" applyFill="1" applyBorder="1"/>
    <xf numFmtId="0" fontId="22" fillId="2" borderId="9" xfId="16" applyFont="1" applyFill="1" applyBorder="1"/>
    <xf numFmtId="0" fontId="22" fillId="2" borderId="18" xfId="16" applyFont="1" applyFill="1" applyBorder="1"/>
    <xf numFmtId="0" fontId="22" fillId="2" borderId="18" xfId="16" quotePrefix="1" applyFont="1" applyFill="1" applyBorder="1" applyAlignment="1">
      <alignment horizontal="center"/>
    </xf>
    <xf numFmtId="49" fontId="14" fillId="2" borderId="3" xfId="16" applyNumberFormat="1" applyFont="1" applyFill="1" applyBorder="1" applyAlignment="1">
      <alignment horizontal="center"/>
    </xf>
    <xf numFmtId="0" fontId="13" fillId="0" borderId="3" xfId="6" applyFont="1" applyBorder="1" applyAlignment="1">
      <alignment horizontal="center"/>
    </xf>
    <xf numFmtId="0" fontId="13" fillId="0" borderId="4" xfId="6" applyFont="1" applyBorder="1" applyAlignment="1">
      <alignment horizontal="center"/>
    </xf>
    <xf numFmtId="0" fontId="13" fillId="0" borderId="1" xfId="6" applyFont="1" applyBorder="1" applyAlignment="1">
      <alignment horizontal="center"/>
    </xf>
    <xf numFmtId="0" fontId="14" fillId="0" borderId="33" xfId="6" applyFont="1" applyBorder="1" applyAlignment="1">
      <alignment horizontal="center"/>
    </xf>
    <xf numFmtId="0" fontId="13" fillId="0" borderId="0" xfId="6" applyFont="1" applyAlignment="1">
      <alignment horizontal="center"/>
    </xf>
    <xf numFmtId="0" fontId="13" fillId="3" borderId="4" xfId="6" applyFont="1" applyFill="1" applyBorder="1" applyAlignment="1">
      <alignment horizontal="center"/>
    </xf>
    <xf numFmtId="0" fontId="13" fillId="3" borderId="4" xfId="16" applyFont="1" applyFill="1" applyBorder="1" applyAlignment="1">
      <alignment horizontal="center"/>
    </xf>
    <xf numFmtId="0" fontId="5" fillId="0" borderId="0" xfId="6"/>
    <xf numFmtId="0" fontId="6" fillId="0" borderId="14" xfId="6" applyFont="1" applyBorder="1"/>
    <xf numFmtId="0" fontId="6" fillId="0" borderId="12" xfId="6" applyFont="1" applyBorder="1"/>
    <xf numFmtId="0" fontId="6" fillId="0" borderId="22" xfId="6" applyFont="1" applyBorder="1" applyAlignment="1">
      <alignment horizontal="center"/>
    </xf>
    <xf numFmtId="0" fontId="22" fillId="0" borderId="22" xfId="6" applyFont="1" applyBorder="1" applyAlignment="1">
      <alignment horizontal="center"/>
    </xf>
    <xf numFmtId="0" fontId="22" fillId="0" borderId="15" xfId="6" applyFont="1" applyBorder="1"/>
    <xf numFmtId="0" fontId="6" fillId="0" borderId="0" xfId="6" applyFont="1"/>
    <xf numFmtId="0" fontId="22" fillId="0" borderId="2" xfId="6" applyFont="1" applyBorder="1" applyAlignment="1">
      <alignment horizontal="center"/>
    </xf>
    <xf numFmtId="0" fontId="7" fillId="0" borderId="2" xfId="6" applyFont="1" applyBorder="1" applyAlignment="1">
      <alignment horizontal="center"/>
    </xf>
    <xf numFmtId="0" fontId="22" fillId="0" borderId="24" xfId="6" applyFont="1" applyBorder="1" applyAlignment="1">
      <alignment horizontal="center"/>
    </xf>
    <xf numFmtId="0" fontId="6" fillId="0" borderId="16" xfId="6" applyFont="1" applyBorder="1"/>
    <xf numFmtId="0" fontId="6" fillId="0" borderId="2" xfId="6" applyFont="1" applyBorder="1" applyAlignment="1">
      <alignment horizontal="center"/>
    </xf>
    <xf numFmtId="0" fontId="22" fillId="0" borderId="2" xfId="6" quotePrefix="1" applyFont="1" applyBorder="1" applyAlignment="1">
      <alignment horizontal="center"/>
    </xf>
    <xf numFmtId="40" fontId="22" fillId="0" borderId="2" xfId="6" applyNumberFormat="1" applyFont="1" applyBorder="1" applyAlignment="1">
      <alignment horizontal="center"/>
    </xf>
    <xf numFmtId="0" fontId="22" fillId="0" borderId="24" xfId="6" quotePrefix="1" applyFont="1" applyBorder="1" applyAlignment="1">
      <alignment horizontal="center"/>
    </xf>
    <xf numFmtId="0" fontId="6" fillId="0" borderId="26" xfId="6" applyFont="1" applyBorder="1" applyAlignment="1">
      <alignment horizontal="center"/>
    </xf>
    <xf numFmtId="40" fontId="6" fillId="0" borderId="26" xfId="6" applyNumberFormat="1" applyFont="1" applyBorder="1" applyAlignment="1">
      <alignment horizontal="center"/>
    </xf>
    <xf numFmtId="0" fontId="6" fillId="0" borderId="27" xfId="6" applyFont="1" applyBorder="1" applyAlignment="1">
      <alignment horizontal="center"/>
    </xf>
    <xf numFmtId="0" fontId="22" fillId="0" borderId="30" xfId="6" applyFont="1" applyBorder="1"/>
    <xf numFmtId="0" fontId="22" fillId="0" borderId="31" xfId="6" applyFont="1" applyBorder="1"/>
    <xf numFmtId="0" fontId="6" fillId="0" borderId="36" xfId="6" applyFont="1" applyBorder="1" applyAlignment="1">
      <alignment horizontal="center"/>
    </xf>
    <xf numFmtId="0" fontId="13" fillId="0" borderId="36" xfId="6" applyFont="1" applyBorder="1" applyAlignment="1">
      <alignment horizontal="center"/>
    </xf>
    <xf numFmtId="4" fontId="13" fillId="0" borderId="36" xfId="6" applyNumberFormat="1" applyFont="1" applyBorder="1" applyAlignment="1">
      <alignment horizontal="center"/>
    </xf>
    <xf numFmtId="0" fontId="22" fillId="0" borderId="13" xfId="6" applyFont="1" applyBorder="1"/>
    <xf numFmtId="0" fontId="22" fillId="0" borderId="11" xfId="6" applyFont="1" applyBorder="1"/>
    <xf numFmtId="0" fontId="6" fillId="0" borderId="4" xfId="6" applyFont="1" applyBorder="1" applyAlignment="1">
      <alignment horizontal="center"/>
    </xf>
    <xf numFmtId="4" fontId="13" fillId="0" borderId="4" xfId="6" applyNumberFormat="1" applyFont="1" applyBorder="1" applyAlignment="1">
      <alignment horizontal="center"/>
    </xf>
    <xf numFmtId="0" fontId="6" fillId="0" borderId="13" xfId="6" applyFont="1" applyBorder="1"/>
    <xf numFmtId="0" fontId="6" fillId="0" borderId="11" xfId="6" applyFont="1" applyBorder="1"/>
    <xf numFmtId="0" fontId="6" fillId="0" borderId="4" xfId="6" quotePrefix="1" applyFont="1" applyBorder="1" applyAlignment="1">
      <alignment horizontal="center"/>
    </xf>
    <xf numFmtId="0" fontId="6" fillId="0" borderId="8" xfId="6" applyFont="1" applyBorder="1"/>
    <xf numFmtId="0" fontId="6" fillId="0" borderId="19" xfId="6" applyFont="1" applyBorder="1"/>
    <xf numFmtId="0" fontId="6" fillId="0" borderId="1" xfId="6" quotePrefix="1" applyFont="1" applyBorder="1" applyAlignment="1">
      <alignment horizontal="center"/>
    </xf>
    <xf numFmtId="4" fontId="13" fillId="0" borderId="1" xfId="6" applyNumberFormat="1" applyFont="1" applyBorder="1" applyAlignment="1">
      <alignment horizontal="center"/>
    </xf>
    <xf numFmtId="0" fontId="22" fillId="0" borderId="35" xfId="6" applyFont="1" applyBorder="1"/>
    <xf numFmtId="0" fontId="22" fillId="0" borderId="37" xfId="6" applyFont="1" applyBorder="1"/>
    <xf numFmtId="0" fontId="22" fillId="0" borderId="33" xfId="6" applyFont="1" applyBorder="1" applyAlignment="1">
      <alignment horizontal="center"/>
    </xf>
    <xf numFmtId="4" fontId="14" fillId="0" borderId="33" xfId="6" applyNumberFormat="1" applyFont="1" applyBorder="1" applyAlignment="1">
      <alignment horizontal="center"/>
    </xf>
    <xf numFmtId="40" fontId="14" fillId="0" borderId="33" xfId="6" applyNumberFormat="1" applyFont="1" applyBorder="1" applyAlignment="1">
      <alignment horizontal="right"/>
    </xf>
    <xf numFmtId="0" fontId="8" fillId="0" borderId="0" xfId="6" applyFont="1"/>
    <xf numFmtId="0" fontId="6" fillId="0" borderId="7" xfId="6" applyFont="1" applyBorder="1"/>
    <xf numFmtId="0" fontId="6" fillId="0" borderId="9" xfId="6" applyFont="1" applyBorder="1"/>
    <xf numFmtId="0" fontId="6" fillId="0" borderId="3" xfId="6" applyFont="1" applyBorder="1" applyAlignment="1">
      <alignment horizontal="center"/>
    </xf>
    <xf numFmtId="4" fontId="13" fillId="0" borderId="3" xfId="6" applyNumberFormat="1" applyFont="1" applyBorder="1" applyAlignment="1">
      <alignment horizontal="center"/>
    </xf>
    <xf numFmtId="0" fontId="22" fillId="0" borderId="29" xfId="6" applyFont="1" applyBorder="1"/>
    <xf numFmtId="0" fontId="22" fillId="0" borderId="0" xfId="6" applyFont="1"/>
    <xf numFmtId="0" fontId="14" fillId="0" borderId="0" xfId="6" applyFont="1" applyAlignment="1">
      <alignment horizontal="center"/>
    </xf>
    <xf numFmtId="4" fontId="14" fillId="0" borderId="0" xfId="6" applyNumberFormat="1" applyFont="1" applyAlignment="1">
      <alignment horizontal="center"/>
    </xf>
    <xf numFmtId="40" fontId="14" fillId="0" borderId="0" xfId="6" applyNumberFormat="1" applyFont="1" applyAlignment="1">
      <alignment horizontal="right"/>
    </xf>
    <xf numFmtId="0" fontId="5" fillId="0" borderId="0" xfId="6" applyAlignment="1">
      <alignment horizontal="center"/>
    </xf>
    <xf numFmtId="40" fontId="5" fillId="0" borderId="0" xfId="6" applyNumberFormat="1"/>
    <xf numFmtId="0" fontId="24" fillId="0" borderId="0" xfId="16" applyFont="1"/>
    <xf numFmtId="0" fontId="13" fillId="0" borderId="0" xfId="16" applyFont="1"/>
    <xf numFmtId="0" fontId="14" fillId="0" borderId="0" xfId="16" applyFont="1"/>
    <xf numFmtId="0" fontId="13" fillId="0" borderId="0" xfId="16" applyFont="1" applyAlignment="1">
      <alignment horizontal="left"/>
    </xf>
    <xf numFmtId="0" fontId="13" fillId="0" borderId="0" xfId="16" applyFont="1" applyAlignment="1">
      <alignment horizontal="center"/>
    </xf>
    <xf numFmtId="0" fontId="5" fillId="0" borderId="0" xfId="16"/>
    <xf numFmtId="0" fontId="20" fillId="0" borderId="0" xfId="16" applyFont="1"/>
    <xf numFmtId="0" fontId="13" fillId="0" borderId="0" xfId="16" quotePrefix="1" applyFont="1"/>
    <xf numFmtId="0" fontId="22" fillId="0" borderId="26" xfId="16" applyFont="1" applyBorder="1" applyAlignment="1">
      <alignment horizontal="center"/>
    </xf>
    <xf numFmtId="0" fontId="22" fillId="0" borderId="0" xfId="6" applyFont="1" applyAlignment="1">
      <alignment horizontal="center"/>
    </xf>
    <xf numFmtId="49" fontId="15" fillId="0" borderId="0" xfId="16" applyNumberFormat="1" applyFont="1" applyAlignment="1">
      <alignment horizontal="center"/>
    </xf>
    <xf numFmtId="0" fontId="8" fillId="0" borderId="0" xfId="6" applyFont="1" applyAlignment="1">
      <alignment horizontal="right"/>
    </xf>
    <xf numFmtId="0" fontId="8" fillId="0" borderId="0" xfId="6" applyFont="1" applyAlignment="1">
      <alignment horizontal="center"/>
    </xf>
    <xf numFmtId="40" fontId="8" fillId="0" borderId="0" xfId="6" applyNumberFormat="1" applyFont="1" applyAlignment="1">
      <alignment horizontal="center"/>
    </xf>
    <xf numFmtId="0" fontId="22" fillId="0" borderId="36" xfId="6" applyFont="1" applyBorder="1" applyAlignment="1">
      <alignment horizontal="center"/>
    </xf>
    <xf numFmtId="40" fontId="13" fillId="0" borderId="36" xfId="6" applyNumberFormat="1" applyFont="1" applyBorder="1"/>
    <xf numFmtId="0" fontId="6" fillId="0" borderId="11" xfId="6" applyFont="1" applyBorder="1" applyAlignment="1">
      <alignment horizontal="left"/>
    </xf>
    <xf numFmtId="0" fontId="6" fillId="0" borderId="1" xfId="6" applyFont="1" applyBorder="1" applyAlignment="1">
      <alignment horizontal="center"/>
    </xf>
    <xf numFmtId="0" fontId="22" fillId="0" borderId="7" xfId="6" applyFont="1" applyBorder="1"/>
    <xf numFmtId="0" fontId="22" fillId="0" borderId="9" xfId="6" applyFont="1" applyBorder="1"/>
    <xf numFmtId="0" fontId="22" fillId="0" borderId="3" xfId="6" applyFont="1" applyBorder="1" applyAlignment="1">
      <alignment horizontal="center"/>
    </xf>
    <xf numFmtId="0" fontId="22" fillId="0" borderId="4" xfId="6" applyFont="1" applyBorder="1" applyAlignment="1">
      <alignment horizontal="center"/>
    </xf>
    <xf numFmtId="40" fontId="14" fillId="0" borderId="33" xfId="6" applyNumberFormat="1" applyFont="1" applyBorder="1"/>
    <xf numFmtId="4" fontId="5" fillId="0" borderId="0" xfId="6" quotePrefix="1" applyNumberFormat="1"/>
    <xf numFmtId="4" fontId="5" fillId="0" borderId="0" xfId="6" applyNumberFormat="1"/>
    <xf numFmtId="0" fontId="6" fillId="3" borderId="4" xfId="6" quotePrefix="1" applyFont="1" applyFill="1" applyBorder="1" applyAlignment="1">
      <alignment horizontal="center"/>
    </xf>
    <xf numFmtId="0" fontId="6" fillId="0" borderId="35" xfId="6" applyFont="1" applyBorder="1"/>
    <xf numFmtId="40" fontId="13" fillId="0" borderId="3" xfId="6" applyNumberFormat="1" applyFont="1" applyBorder="1"/>
    <xf numFmtId="40" fontId="14" fillId="0" borderId="0" xfId="6" applyNumberFormat="1" applyFont="1"/>
    <xf numFmtId="0" fontId="23" fillId="0" borderId="0" xfId="6" applyFont="1"/>
    <xf numFmtId="0" fontId="6" fillId="3" borderId="11" xfId="6" applyFont="1" applyFill="1" applyBorder="1"/>
    <xf numFmtId="4" fontId="13" fillId="3" borderId="4" xfId="6" applyNumberFormat="1" applyFont="1" applyFill="1" applyBorder="1" applyAlignment="1">
      <alignment horizontal="center"/>
    </xf>
    <xf numFmtId="0" fontId="6" fillId="3" borderId="4" xfId="6" applyFont="1" applyFill="1" applyBorder="1" applyAlignment="1">
      <alignment horizontal="center"/>
    </xf>
    <xf numFmtId="0" fontId="6" fillId="3" borderId="28" xfId="6" applyFont="1" applyFill="1" applyBorder="1"/>
    <xf numFmtId="0" fontId="6" fillId="3" borderId="13" xfId="6" applyFont="1" applyFill="1" applyBorder="1"/>
    <xf numFmtId="0" fontId="5" fillId="3" borderId="0" xfId="6" applyFill="1"/>
    <xf numFmtId="0" fontId="6" fillId="3" borderId="8" xfId="6" applyFont="1" applyFill="1" applyBorder="1"/>
    <xf numFmtId="0" fontId="6" fillId="3" borderId="19" xfId="6" applyFont="1" applyFill="1" applyBorder="1"/>
    <xf numFmtId="0" fontId="6" fillId="3" borderId="1" xfId="6" quotePrefix="1" applyFont="1" applyFill="1" applyBorder="1" applyAlignment="1">
      <alignment horizontal="center"/>
    </xf>
    <xf numFmtId="0" fontId="13" fillId="3" borderId="1" xfId="6" applyFont="1" applyFill="1" applyBorder="1" applyAlignment="1">
      <alignment horizontal="center"/>
    </xf>
    <xf numFmtId="4" fontId="13" fillId="3" borderId="1" xfId="6" applyNumberFormat="1" applyFont="1" applyFill="1" applyBorder="1" applyAlignment="1">
      <alignment horizontal="center"/>
    </xf>
    <xf numFmtId="0" fontId="22" fillId="3" borderId="37" xfId="6" applyFont="1" applyFill="1" applyBorder="1"/>
    <xf numFmtId="0" fontId="22" fillId="3" borderId="33" xfId="6" quotePrefix="1" applyFont="1" applyFill="1" applyBorder="1" applyAlignment="1">
      <alignment horizontal="center"/>
    </xf>
    <xf numFmtId="0" fontId="14" fillId="3" borderId="33" xfId="6" applyFont="1" applyFill="1" applyBorder="1" applyAlignment="1">
      <alignment horizontal="center"/>
    </xf>
    <xf numFmtId="4" fontId="14" fillId="3" borderId="33" xfId="6" applyNumberFormat="1" applyFont="1" applyFill="1" applyBorder="1" applyAlignment="1">
      <alignment horizontal="center"/>
    </xf>
    <xf numFmtId="0" fontId="22" fillId="3" borderId="9" xfId="6" applyFont="1" applyFill="1" applyBorder="1"/>
    <xf numFmtId="0" fontId="22" fillId="3" borderId="3" xfId="6" quotePrefix="1" applyFont="1" applyFill="1" applyBorder="1" applyAlignment="1">
      <alignment horizontal="center"/>
    </xf>
    <xf numFmtId="0" fontId="14" fillId="3" borderId="3" xfId="6" applyFont="1" applyFill="1" applyBorder="1" applyAlignment="1">
      <alignment horizontal="center"/>
    </xf>
    <xf numFmtId="4" fontId="14" fillId="3" borderId="3" xfId="6" applyNumberFormat="1" applyFont="1" applyFill="1" applyBorder="1" applyAlignment="1">
      <alignment horizontal="center"/>
    </xf>
    <xf numFmtId="40" fontId="14" fillId="3" borderId="3" xfId="6" applyNumberFormat="1" applyFont="1" applyFill="1" applyBorder="1"/>
    <xf numFmtId="0" fontId="6" fillId="0" borderId="5" xfId="6" applyFont="1" applyBorder="1"/>
    <xf numFmtId="0" fontId="6" fillId="0" borderId="2" xfId="6" quotePrefix="1" applyFont="1" applyBorder="1" applyAlignment="1">
      <alignment horizontal="center"/>
    </xf>
    <xf numFmtId="0" fontId="13" fillId="0" borderId="2" xfId="6" applyFont="1" applyBorder="1" applyAlignment="1">
      <alignment horizontal="center"/>
    </xf>
    <xf numFmtId="4" fontId="13" fillId="0" borderId="2" xfId="6" applyNumberFormat="1" applyFont="1" applyBorder="1" applyAlignment="1">
      <alignment horizontal="center"/>
    </xf>
    <xf numFmtId="0" fontId="22" fillId="0" borderId="33" xfId="6" quotePrefix="1" applyFont="1" applyBorder="1" applyAlignment="1">
      <alignment horizontal="center"/>
    </xf>
    <xf numFmtId="0" fontId="6" fillId="0" borderId="3" xfId="6" quotePrefix="1" applyFont="1" applyBorder="1" applyAlignment="1">
      <alignment horizontal="center"/>
    </xf>
    <xf numFmtId="0" fontId="22" fillId="0" borderId="19" xfId="6" applyFont="1" applyBorder="1"/>
    <xf numFmtId="0" fontId="6" fillId="0" borderId="37" xfId="6" applyFont="1" applyBorder="1"/>
    <xf numFmtId="0" fontId="6" fillId="0" borderId="33" xfId="6" quotePrefix="1" applyFont="1" applyBorder="1" applyAlignment="1">
      <alignment horizontal="center"/>
    </xf>
    <xf numFmtId="0" fontId="13" fillId="0" borderId="33" xfId="6" applyFont="1" applyBorder="1" applyAlignment="1">
      <alignment horizontal="center"/>
    </xf>
    <xf numFmtId="4" fontId="13" fillId="0" borderId="33" xfId="6" applyNumberFormat="1" applyFont="1" applyBorder="1" applyAlignment="1">
      <alignment horizontal="center"/>
    </xf>
    <xf numFmtId="0" fontId="6" fillId="0" borderId="0" xfId="6" applyFont="1" applyAlignment="1">
      <alignment horizontal="center"/>
    </xf>
    <xf numFmtId="0" fontId="20" fillId="0" borderId="0" xfId="6" applyFont="1"/>
    <xf numFmtId="0" fontId="6" fillId="0" borderId="38" xfId="6" applyFont="1" applyBorder="1"/>
    <xf numFmtId="0" fontId="22" fillId="0" borderId="18" xfId="6" applyFont="1" applyBorder="1"/>
    <xf numFmtId="0" fontId="22" fillId="0" borderId="3" xfId="6" applyFont="1" applyBorder="1"/>
    <xf numFmtId="0" fontId="22" fillId="0" borderId="3" xfId="6" quotePrefix="1" applyFont="1" applyBorder="1" applyAlignment="1">
      <alignment horizontal="center"/>
    </xf>
    <xf numFmtId="4" fontId="14" fillId="0" borderId="3" xfId="6" applyNumberFormat="1" applyFont="1" applyBorder="1" applyAlignment="1">
      <alignment horizontal="center"/>
    </xf>
    <xf numFmtId="40" fontId="14" fillId="0" borderId="3" xfId="6" applyNumberFormat="1" applyFont="1" applyBorder="1" applyAlignment="1">
      <alignment horizontal="right"/>
    </xf>
    <xf numFmtId="0" fontId="6" fillId="0" borderId="28" xfId="6" applyFont="1" applyBorder="1"/>
    <xf numFmtId="0" fontId="6" fillId="0" borderId="28" xfId="6" quotePrefix="1" applyFont="1" applyBorder="1" applyAlignment="1">
      <alignment horizontal="center"/>
    </xf>
    <xf numFmtId="0" fontId="25" fillId="0" borderId="0" xfId="6" applyFont="1"/>
    <xf numFmtId="0" fontId="25" fillId="0" borderId="0" xfId="6" applyFont="1" applyAlignment="1">
      <alignment horizontal="center"/>
    </xf>
    <xf numFmtId="0" fontId="9" fillId="0" borderId="0" xfId="6" applyFont="1" applyAlignment="1">
      <alignment horizontal="center"/>
    </xf>
    <xf numFmtId="0" fontId="10" fillId="0" borderId="0" xfId="6" applyFont="1" applyAlignment="1">
      <alignment horizontal="center"/>
    </xf>
    <xf numFmtId="0" fontId="9" fillId="0" borderId="0" xfId="6" applyFont="1"/>
    <xf numFmtId="0" fontId="27" fillId="0" borderId="0" xfId="6" applyFont="1" applyAlignment="1">
      <alignment horizontal="center"/>
    </xf>
    <xf numFmtId="0" fontId="15" fillId="0" borderId="0" xfId="6" applyFont="1" applyAlignment="1">
      <alignment horizontal="left"/>
    </xf>
    <xf numFmtId="0" fontId="28" fillId="0" borderId="0" xfId="6" applyFont="1" applyAlignment="1">
      <alignment horizontal="center"/>
    </xf>
    <xf numFmtId="40" fontId="27" fillId="0" borderId="0" xfId="6" applyNumberFormat="1" applyFont="1" applyAlignment="1">
      <alignment horizontal="center"/>
    </xf>
    <xf numFmtId="0" fontId="24" fillId="0" borderId="0" xfId="6" applyFont="1"/>
    <xf numFmtId="0" fontId="15" fillId="0" borderId="0" xfId="6" applyFont="1"/>
    <xf numFmtId="0" fontId="24" fillId="0" borderId="0" xfId="6" applyFont="1" applyAlignment="1">
      <alignment horizontal="center"/>
    </xf>
    <xf numFmtId="0" fontId="15" fillId="0" borderId="0" xfId="6" applyFont="1" applyAlignment="1">
      <alignment horizontal="center"/>
    </xf>
    <xf numFmtId="164" fontId="5" fillId="3" borderId="0" xfId="6" applyNumberFormat="1" applyFill="1"/>
    <xf numFmtId="164" fontId="5" fillId="0" borderId="0" xfId="6" applyNumberFormat="1"/>
    <xf numFmtId="0" fontId="22" fillId="0" borderId="0" xfId="16" applyFont="1" applyAlignment="1">
      <alignment horizontal="center"/>
    </xf>
    <xf numFmtId="0" fontId="22" fillId="0" borderId="6" xfId="16" applyFont="1" applyBorder="1" applyAlignment="1">
      <alignment horizontal="center"/>
    </xf>
    <xf numFmtId="0" fontId="6" fillId="0" borderId="25" xfId="16" applyFont="1" applyBorder="1" applyAlignment="1">
      <alignment horizontal="center"/>
    </xf>
    <xf numFmtId="0" fontId="22" fillId="0" borderId="37" xfId="6" applyFont="1" applyBorder="1" applyAlignment="1">
      <alignment horizontal="right"/>
    </xf>
    <xf numFmtId="0" fontId="22" fillId="0" borderId="12" xfId="6" applyFont="1" applyBorder="1"/>
    <xf numFmtId="0" fontId="22" fillId="0" borderId="21" xfId="6" applyFont="1" applyBorder="1"/>
    <xf numFmtId="0" fontId="22" fillId="0" borderId="22" xfId="6" applyFont="1" applyBorder="1"/>
    <xf numFmtId="0" fontId="22" fillId="0" borderId="0" xfId="6" applyFont="1" applyAlignment="1">
      <alignment horizontal="right"/>
    </xf>
    <xf numFmtId="164" fontId="13" fillId="0" borderId="0" xfId="13" applyNumberFormat="1" applyFont="1" applyAlignment="1">
      <alignment horizontal="center"/>
    </xf>
    <xf numFmtId="0" fontId="10" fillId="0" borderId="0" xfId="13" applyFont="1"/>
    <xf numFmtId="0" fontId="10" fillId="0" borderId="0" xfId="13" applyFont="1" applyAlignment="1">
      <alignment horizontal="left"/>
    </xf>
    <xf numFmtId="0" fontId="10" fillId="0" borderId="0" xfId="13" applyFont="1" applyAlignment="1">
      <alignment horizontal="center"/>
    </xf>
    <xf numFmtId="164" fontId="10" fillId="0" borderId="0" xfId="13" applyNumberFormat="1" applyFont="1" applyAlignment="1">
      <alignment horizontal="center"/>
    </xf>
    <xf numFmtId="0" fontId="40" fillId="0" borderId="11" xfId="13" applyFont="1" applyBorder="1"/>
    <xf numFmtId="164" fontId="14" fillId="0" borderId="0" xfId="6" applyNumberFormat="1" applyFont="1"/>
    <xf numFmtId="0" fontId="6" fillId="0" borderId="7" xfId="16" applyFont="1" applyBorder="1"/>
    <xf numFmtId="0" fontId="6" fillId="0" borderId="18" xfId="16" applyFont="1" applyBorder="1"/>
    <xf numFmtId="0" fontId="6" fillId="0" borderId="18" xfId="16" applyFont="1" applyBorder="1" applyAlignment="1">
      <alignment horizontal="center"/>
    </xf>
    <xf numFmtId="49" fontId="24" fillId="0" borderId="3" xfId="16" applyNumberFormat="1" applyFont="1" applyBorder="1" applyAlignment="1">
      <alignment horizontal="center"/>
    </xf>
    <xf numFmtId="43" fontId="24" fillId="0" borderId="3" xfId="16" applyNumberFormat="1" applyFont="1" applyBorder="1" applyAlignment="1">
      <alignment horizontal="center"/>
    </xf>
    <xf numFmtId="43" fontId="24" fillId="0" borderId="3" xfId="7" applyFont="1" applyBorder="1"/>
    <xf numFmtId="0" fontId="22" fillId="0" borderId="28" xfId="16" applyFont="1" applyBorder="1" applyAlignment="1">
      <alignment horizontal="center"/>
    </xf>
    <xf numFmtId="0" fontId="22" fillId="0" borderId="19" xfId="13" applyFont="1" applyBorder="1"/>
    <xf numFmtId="0" fontId="22" fillId="0" borderId="19" xfId="13" applyFont="1" applyBorder="1" applyAlignment="1">
      <alignment horizontal="center"/>
    </xf>
    <xf numFmtId="49" fontId="15" fillId="0" borderId="19" xfId="13" applyNumberFormat="1" applyFont="1" applyBorder="1" applyAlignment="1">
      <alignment horizontal="center"/>
    </xf>
    <xf numFmtId="43" fontId="14" fillId="0" borderId="19" xfId="13" applyNumberFormat="1" applyFont="1" applyBorder="1" applyAlignment="1">
      <alignment horizontal="right"/>
    </xf>
    <xf numFmtId="43" fontId="14" fillId="0" borderId="5" xfId="16" quotePrefix="1" applyNumberFormat="1" applyFont="1" applyBorder="1"/>
    <xf numFmtId="43" fontId="14" fillId="0" borderId="6" xfId="16" quotePrefix="1" applyNumberFormat="1" applyFont="1" applyBorder="1"/>
    <xf numFmtId="0" fontId="13" fillId="0" borderId="5" xfId="13" applyFont="1" applyBorder="1"/>
    <xf numFmtId="43" fontId="13" fillId="0" borderId="6" xfId="7" applyFont="1" applyBorder="1" applyAlignment="1">
      <alignment horizontal="center"/>
    </xf>
    <xf numFmtId="0" fontId="14" fillId="0" borderId="5" xfId="13" applyFont="1" applyBorder="1" applyAlignment="1">
      <alignment horizontal="left"/>
    </xf>
    <xf numFmtId="0" fontId="14" fillId="0" borderId="6" xfId="13" applyFont="1" applyBorder="1" applyAlignment="1">
      <alignment horizontal="left"/>
    </xf>
    <xf numFmtId="0" fontId="22" fillId="0" borderId="3" xfId="16" applyFont="1" applyBorder="1"/>
    <xf numFmtId="0" fontId="22" fillId="0" borderId="3" xfId="16" quotePrefix="1" applyFont="1" applyBorder="1" applyAlignment="1">
      <alignment horizontal="center"/>
    </xf>
    <xf numFmtId="0" fontId="22" fillId="0" borderId="13" xfId="13" applyFont="1" applyBorder="1"/>
    <xf numFmtId="0" fontId="6" fillId="0" borderId="7" xfId="13" applyFont="1" applyBorder="1"/>
    <xf numFmtId="0" fontId="6" fillId="0" borderId="9" xfId="13" applyFont="1" applyBorder="1"/>
    <xf numFmtId="0" fontId="6" fillId="0" borderId="18" xfId="13" applyFont="1" applyBorder="1"/>
    <xf numFmtId="0" fontId="6" fillId="0" borderId="18" xfId="13" quotePrefix="1" applyFont="1" applyBorder="1" applyAlignment="1">
      <alignment horizontal="center"/>
    </xf>
    <xf numFmtId="0" fontId="13" fillId="0" borderId="3" xfId="13" applyFont="1" applyBorder="1" applyAlignment="1">
      <alignment horizontal="center"/>
    </xf>
    <xf numFmtId="43" fontId="13" fillId="0" borderId="3" xfId="13" applyNumberFormat="1" applyFont="1" applyBorder="1" applyAlignment="1">
      <alignment horizontal="right"/>
    </xf>
    <xf numFmtId="43" fontId="13" fillId="0" borderId="3" xfId="7" applyFont="1" applyBorder="1" applyAlignment="1">
      <alignment horizontal="right"/>
    </xf>
    <xf numFmtId="49" fontId="13" fillId="0" borderId="3" xfId="16" applyNumberFormat="1" applyFont="1" applyBorder="1" applyAlignment="1">
      <alignment horizontal="center"/>
    </xf>
    <xf numFmtId="0" fontId="13" fillId="0" borderId="3" xfId="16" applyFont="1" applyBorder="1" applyAlignment="1">
      <alignment horizontal="center"/>
    </xf>
    <xf numFmtId="43" fontId="13" fillId="0" borderId="3" xfId="7" applyFont="1" applyBorder="1"/>
    <xf numFmtId="0" fontId="6" fillId="0" borderId="19" xfId="13" applyFont="1" applyBorder="1"/>
    <xf numFmtId="0" fontId="13" fillId="0" borderId="19" xfId="13" applyFont="1" applyBorder="1" applyAlignment="1">
      <alignment horizontal="center"/>
    </xf>
    <xf numFmtId="43" fontId="13" fillId="0" borderId="19" xfId="7" applyFont="1" applyBorder="1"/>
    <xf numFmtId="43" fontId="13" fillId="0" borderId="3" xfId="16" applyNumberFormat="1" applyFont="1" applyBorder="1" applyAlignment="1">
      <alignment horizontal="center"/>
    </xf>
    <xf numFmtId="0" fontId="22" fillId="0" borderId="35" xfId="16" applyFont="1" applyBorder="1"/>
    <xf numFmtId="43" fontId="14" fillId="0" borderId="41" xfId="16" applyNumberFormat="1" applyFont="1" applyBorder="1" applyAlignment="1">
      <alignment horizontal="right"/>
    </xf>
    <xf numFmtId="0" fontId="6" fillId="0" borderId="38" xfId="16" applyFont="1" applyBorder="1"/>
    <xf numFmtId="43" fontId="14" fillId="0" borderId="42" xfId="7" applyFont="1" applyBorder="1"/>
    <xf numFmtId="43" fontId="13" fillId="0" borderId="6" xfId="13" applyNumberFormat="1" applyFont="1" applyBorder="1" applyAlignment="1">
      <alignment horizontal="center"/>
    </xf>
    <xf numFmtId="0" fontId="24" fillId="0" borderId="5" xfId="0" applyFont="1" applyBorder="1"/>
    <xf numFmtId="164" fontId="24" fillId="0" borderId="6" xfId="0" applyNumberFormat="1" applyFont="1" applyBorder="1"/>
    <xf numFmtId="0" fontId="14" fillId="0" borderId="38" xfId="13" applyFont="1" applyBorder="1"/>
    <xf numFmtId="0" fontId="14" fillId="0" borderId="25" xfId="13" applyFont="1" applyBorder="1"/>
    <xf numFmtId="43" fontId="14" fillId="3" borderId="33" xfId="6" applyNumberFormat="1" applyFont="1" applyFill="1" applyBorder="1"/>
    <xf numFmtId="43" fontId="13" fillId="3" borderId="4" xfId="6" applyNumberFormat="1" applyFont="1" applyFill="1" applyBorder="1" applyAlignment="1">
      <alignment horizontal="right"/>
    </xf>
    <xf numFmtId="0" fontId="12" fillId="3" borderId="28" xfId="0" applyFont="1" applyFill="1" applyBorder="1" applyAlignment="1">
      <alignment horizontal="left"/>
    </xf>
    <xf numFmtId="0" fontId="22" fillId="3" borderId="28" xfId="16" quotePrefix="1" applyFont="1" applyFill="1" applyBorder="1" applyAlignment="1">
      <alignment horizontal="center"/>
    </xf>
    <xf numFmtId="0" fontId="6" fillId="3" borderId="0" xfId="6" applyFont="1" applyFill="1"/>
    <xf numFmtId="0" fontId="6" fillId="3" borderId="2" xfId="6" quotePrefix="1" applyFont="1" applyFill="1" applyBorder="1" applyAlignment="1">
      <alignment horizontal="center"/>
    </xf>
    <xf numFmtId="0" fontId="13" fillId="3" borderId="2" xfId="6" applyFont="1" applyFill="1" applyBorder="1" applyAlignment="1">
      <alignment horizontal="center"/>
    </xf>
    <xf numFmtId="4" fontId="13" fillId="3" borderId="2" xfId="6" applyNumberFormat="1" applyFont="1" applyFill="1" applyBorder="1" applyAlignment="1">
      <alignment horizontal="center"/>
    </xf>
    <xf numFmtId="43" fontId="13" fillId="3" borderId="2" xfId="6" applyNumberFormat="1" applyFont="1" applyFill="1" applyBorder="1"/>
    <xf numFmtId="0" fontId="6" fillId="0" borderId="10" xfId="6" applyFont="1" applyBorder="1"/>
    <xf numFmtId="0" fontId="12" fillId="0" borderId="11" xfId="0" applyFont="1" applyBorder="1" applyAlignment="1">
      <alignment horizontal="left" vertical="center" wrapText="1"/>
    </xf>
    <xf numFmtId="0" fontId="12" fillId="0" borderId="28" xfId="0" applyFont="1" applyBorder="1" applyAlignment="1">
      <alignment horizontal="left" vertical="center" wrapText="1"/>
    </xf>
    <xf numFmtId="0" fontId="24" fillId="0" borderId="0" xfId="0" applyFont="1" applyAlignment="1">
      <alignment horizontal="center"/>
    </xf>
    <xf numFmtId="0" fontId="24" fillId="0" borderId="19" xfId="0" applyFont="1" applyBorder="1" applyAlignment="1">
      <alignment horizontal="center"/>
    </xf>
    <xf numFmtId="0" fontId="14" fillId="0" borderId="0" xfId="13" applyFont="1" applyAlignment="1">
      <alignment horizontal="center"/>
    </xf>
    <xf numFmtId="0" fontId="22" fillId="0" borderId="30" xfId="16" applyFont="1" applyBorder="1" applyAlignment="1">
      <alignment horizontal="center"/>
    </xf>
    <xf numFmtId="0" fontId="22" fillId="0" borderId="31" xfId="16" applyFont="1" applyBorder="1" applyAlignment="1">
      <alignment horizontal="center"/>
    </xf>
    <xf numFmtId="0" fontId="22" fillId="0" borderId="32" xfId="16" applyFont="1" applyBorder="1" applyAlignment="1">
      <alignment horizontal="center"/>
    </xf>
    <xf numFmtId="0" fontId="22" fillId="0" borderId="16" xfId="16" applyFont="1" applyBorder="1" applyAlignment="1">
      <alignment horizontal="center"/>
    </xf>
    <xf numFmtId="0" fontId="22" fillId="0" borderId="0" xfId="16" applyFont="1" applyAlignment="1">
      <alignment horizontal="center"/>
    </xf>
    <xf numFmtId="0" fontId="22" fillId="0" borderId="6" xfId="16" applyFont="1" applyBorder="1" applyAlignment="1">
      <alignment horizontal="center"/>
    </xf>
    <xf numFmtId="0" fontId="6" fillId="0" borderId="17" xfId="16" applyFont="1" applyBorder="1" applyAlignment="1">
      <alignment horizontal="center"/>
    </xf>
    <xf numFmtId="0" fontId="6" fillId="0" borderId="10" xfId="16" applyFont="1" applyBorder="1" applyAlignment="1">
      <alignment horizontal="center"/>
    </xf>
    <xf numFmtId="0" fontId="6" fillId="0" borderId="25" xfId="16" applyFont="1" applyBorder="1" applyAlignment="1">
      <alignment horizontal="center"/>
    </xf>
    <xf numFmtId="0" fontId="14" fillId="0" borderId="9" xfId="13" applyFont="1" applyBorder="1" applyAlignment="1">
      <alignment horizontal="center"/>
    </xf>
    <xf numFmtId="0" fontId="14" fillId="0" borderId="7" xfId="13" applyFont="1" applyBorder="1" applyAlignment="1">
      <alignment horizontal="center"/>
    </xf>
    <xf numFmtId="0" fontId="14" fillId="0" borderId="18" xfId="13"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13" fillId="0" borderId="0" xfId="16" quotePrefix="1" applyFont="1" applyAlignment="1">
      <alignment horizontal="center"/>
    </xf>
    <xf numFmtId="0" fontId="14" fillId="0" borderId="10" xfId="13" applyFont="1" applyBorder="1" applyAlignment="1">
      <alignment horizontal="center"/>
    </xf>
    <xf numFmtId="0" fontId="14" fillId="0" borderId="5" xfId="13" applyFont="1" applyBorder="1" applyAlignment="1">
      <alignment horizontal="center"/>
    </xf>
    <xf numFmtId="0" fontId="14" fillId="0" borderId="6" xfId="13" applyFont="1" applyBorder="1" applyAlignment="1">
      <alignment horizontal="center"/>
    </xf>
    <xf numFmtId="0" fontId="22" fillId="0" borderId="0" xfId="13" applyFont="1" applyAlignment="1">
      <alignment horizontal="center"/>
    </xf>
    <xf numFmtId="0" fontId="24" fillId="0" borderId="0" xfId="6" applyFont="1" applyAlignment="1">
      <alignment horizontal="center"/>
    </xf>
    <xf numFmtId="43" fontId="24" fillId="0" borderId="0" xfId="1" applyFont="1" applyBorder="1" applyAlignment="1">
      <alignment horizontal="center"/>
    </xf>
    <xf numFmtId="43" fontId="19" fillId="0" borderId="0" xfId="6" quotePrefix="1" applyNumberFormat="1" applyFont="1" applyAlignment="1">
      <alignment horizontal="center"/>
    </xf>
    <xf numFmtId="0" fontId="22" fillId="0" borderId="16" xfId="6" applyFont="1" applyBorder="1" applyAlignment="1">
      <alignment horizontal="center"/>
    </xf>
    <xf numFmtId="0" fontId="22" fillId="0" borderId="0" xfId="6" applyFont="1" applyAlignment="1">
      <alignment horizontal="center"/>
    </xf>
    <xf numFmtId="0" fontId="22" fillId="0" borderId="5" xfId="6" applyFont="1" applyBorder="1" applyAlignment="1">
      <alignment horizontal="center"/>
    </xf>
    <xf numFmtId="0" fontId="22" fillId="0" borderId="6" xfId="6" applyFont="1" applyBorder="1" applyAlignment="1">
      <alignment horizontal="center"/>
    </xf>
    <xf numFmtId="0" fontId="26" fillId="0" borderId="0" xfId="6" applyFont="1" applyAlignment="1">
      <alignment horizontal="center" vertical="center"/>
    </xf>
    <xf numFmtId="0" fontId="15" fillId="0" borderId="0" xfId="6" applyFont="1" applyAlignment="1">
      <alignment horizontal="center"/>
    </xf>
    <xf numFmtId="43" fontId="15" fillId="0" borderId="0" xfId="1" applyFont="1" applyBorder="1" applyAlignment="1">
      <alignment horizontal="center"/>
    </xf>
    <xf numFmtId="0" fontId="6" fillId="0" borderId="17" xfId="6" applyFont="1" applyBorder="1" applyAlignment="1">
      <alignment horizontal="center"/>
    </xf>
    <xf numFmtId="0" fontId="6" fillId="0" borderId="10" xfId="6" applyFont="1" applyBorder="1" applyAlignment="1">
      <alignment horizontal="center"/>
    </xf>
    <xf numFmtId="0" fontId="38" fillId="0" borderId="0" xfId="18" applyFont="1" applyAlignment="1" applyProtection="1">
      <alignment horizontal="left" wrapText="1"/>
      <protection locked="0"/>
    </xf>
    <xf numFmtId="0" fontId="38" fillId="0" borderId="0" xfId="18" applyFont="1" applyAlignment="1" applyProtection="1">
      <alignment horizontal="center" wrapText="1"/>
      <protection locked="0"/>
    </xf>
    <xf numFmtId="0" fontId="8" fillId="0" borderId="0" xfId="6" applyFont="1" applyAlignment="1">
      <alignment horizontal="center"/>
    </xf>
    <xf numFmtId="0" fontId="38" fillId="0" borderId="0" xfId="18" applyFont="1" applyAlignment="1">
      <alignment horizontal="center"/>
    </xf>
    <xf numFmtId="0" fontId="38" fillId="0" borderId="0" xfId="18" applyFont="1" applyAlignment="1">
      <alignment horizontal="left" vertical="center"/>
    </xf>
    <xf numFmtId="0" fontId="22" fillId="0" borderId="20" xfId="6" applyFont="1" applyBorder="1" applyAlignment="1">
      <alignment horizontal="center"/>
    </xf>
    <xf numFmtId="0" fontId="22" fillId="0" borderId="12" xfId="6" applyFont="1" applyBorder="1" applyAlignment="1">
      <alignment horizontal="center"/>
    </xf>
    <xf numFmtId="0" fontId="22" fillId="0" borderId="21" xfId="6" applyFont="1" applyBorder="1" applyAlignment="1">
      <alignment horizontal="center"/>
    </xf>
    <xf numFmtId="0" fontId="22" fillId="0" borderId="7" xfId="6" applyFont="1" applyBorder="1" applyAlignment="1">
      <alignment horizontal="center"/>
    </xf>
    <xf numFmtId="0" fontId="22" fillId="0" borderId="9" xfId="6" applyFont="1" applyBorder="1" applyAlignment="1">
      <alignment horizontal="center"/>
    </xf>
    <xf numFmtId="0" fontId="22" fillId="0" borderId="18" xfId="6" applyFont="1" applyBorder="1" applyAlignment="1">
      <alignment horizontal="center"/>
    </xf>
    <xf numFmtId="0" fontId="31" fillId="0" borderId="0" xfId="6" quotePrefix="1" applyFont="1" applyAlignment="1">
      <alignment horizontal="center"/>
    </xf>
    <xf numFmtId="0" fontId="19" fillId="0" borderId="0" xfId="6" quotePrefix="1" applyFont="1" applyAlignment="1">
      <alignment horizontal="center"/>
    </xf>
    <xf numFmtId="0" fontId="31" fillId="0" borderId="0" xfId="6" applyFont="1" applyAlignment="1">
      <alignment horizontal="justify" vertical="justify" wrapText="1"/>
    </xf>
    <xf numFmtId="0" fontId="14" fillId="0" borderId="8" xfId="6" applyFont="1" applyBorder="1" applyAlignment="1">
      <alignment horizontal="center" vertical="center"/>
    </xf>
    <xf numFmtId="0" fontId="14" fillId="0" borderId="19" xfId="6" applyFont="1" applyBorder="1" applyAlignment="1">
      <alignment horizontal="center" vertical="center"/>
    </xf>
    <xf numFmtId="0" fontId="14" fillId="0" borderId="7" xfId="6" applyFont="1" applyBorder="1" applyAlignment="1">
      <alignment horizontal="center" vertical="center"/>
    </xf>
    <xf numFmtId="0" fontId="14" fillId="0" borderId="9" xfId="6" applyFont="1" applyBorder="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8" fillId="0" borderId="0" xfId="6" applyFont="1" applyAlignment="1">
      <alignment horizontal="center"/>
    </xf>
    <xf numFmtId="0" fontId="30" fillId="0" borderId="0" xfId="6" applyFont="1" applyAlignment="1">
      <alignment horizontal="center"/>
    </xf>
  </cellXfs>
  <cellStyles count="31">
    <cellStyle name="Comma" xfId="1" builtinId="3"/>
    <cellStyle name="Comma 2" xfId="2"/>
    <cellStyle name="Comma 2 2" xfId="7"/>
    <cellStyle name="Comma 2 2 2" xfId="23"/>
    <cellStyle name="Comma 2 3" xfId="20"/>
    <cellStyle name="Comma 3" xfId="3"/>
    <cellStyle name="Comma 3 2" xfId="21"/>
    <cellStyle name="Comma 4" xfId="9"/>
    <cellStyle name="Comma 4 2" xfId="15"/>
    <cellStyle name="Comma 4 2 2" xfId="29"/>
    <cellStyle name="Comma 4 3" xfId="25"/>
    <cellStyle name="Comma 5" xfId="12"/>
    <cellStyle name="Comma 5 2" xfId="27"/>
    <cellStyle name="Comma 6" xfId="19"/>
    <cellStyle name="Excel Built-in Normal" xfId="10"/>
    <cellStyle name="Normal" xfId="0" builtinId="0"/>
    <cellStyle name="Normal 2" xfId="4"/>
    <cellStyle name="Normal 2 2" xfId="6"/>
    <cellStyle name="Normal 2 3" xfId="13"/>
    <cellStyle name="Normal 2 3 2" xfId="16"/>
    <cellStyle name="Normal 3" xfId="5"/>
    <cellStyle name="Normal 3 2" xfId="22"/>
    <cellStyle name="Normal 4" xfId="8"/>
    <cellStyle name="Normal 4 2" xfId="17"/>
    <cellStyle name="Normal 4 2 2" xfId="30"/>
    <cellStyle name="Normal 4 3" xfId="24"/>
    <cellStyle name="Normal 5" xfId="11"/>
    <cellStyle name="Normal 5 2" xfId="26"/>
    <cellStyle name="Normal 6" xfId="14"/>
    <cellStyle name="Normal 6 2" xfId="28"/>
    <cellStyle name="Normal 7" xfId="18"/>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8</xdr:col>
      <xdr:colOff>723900</xdr:colOff>
      <xdr:row>72</xdr:row>
      <xdr:rowOff>192900</xdr:rowOff>
    </xdr:from>
    <xdr:to>
      <xdr:col>9</xdr:col>
      <xdr:colOff>195454</xdr:colOff>
      <xdr:row>74</xdr:row>
      <xdr:rowOff>128131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43425" y="15423375"/>
          <a:ext cx="490729" cy="335281"/>
        </a:xfrm>
        <a:prstGeom prst="rect">
          <a:avLst/>
        </a:prstGeom>
      </xdr:spPr>
    </xdr:pic>
    <xdr:clientData/>
  </xdr:twoCellAnchor>
  <xdr:twoCellAnchor editAs="oneCell">
    <xdr:from>
      <xdr:col>10</xdr:col>
      <xdr:colOff>997725</xdr:colOff>
      <xdr:row>71</xdr:row>
      <xdr:rowOff>123825</xdr:rowOff>
    </xdr:from>
    <xdr:to>
      <xdr:col>12</xdr:col>
      <xdr:colOff>474615</xdr:colOff>
      <xdr:row>77</xdr:row>
      <xdr:rowOff>129543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55625" y="14992350"/>
          <a:ext cx="1581915" cy="1348743"/>
        </a:xfrm>
        <a:prstGeom prst="rect">
          <a:avLst/>
        </a:prstGeom>
      </xdr:spPr>
    </xdr:pic>
    <xdr:clientData/>
  </xdr:twoCellAnchor>
  <xdr:twoCellAnchor editAs="oneCell">
    <xdr:from>
      <xdr:col>3</xdr:col>
      <xdr:colOff>19050</xdr:colOff>
      <xdr:row>71</xdr:row>
      <xdr:rowOff>76200</xdr:rowOff>
    </xdr:from>
    <xdr:to>
      <xdr:col>5</xdr:col>
      <xdr:colOff>1381890</xdr:colOff>
      <xdr:row>77</xdr:row>
      <xdr:rowOff>81918</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4944725"/>
          <a:ext cx="1581915" cy="1348743"/>
        </a:xfrm>
        <a:prstGeom prst="rect">
          <a:avLst/>
        </a:prstGeom>
      </xdr:spPr>
    </xdr:pic>
    <xdr:clientData/>
  </xdr:twoCellAnchor>
  <xdr:twoCellAnchor editAs="oneCell">
    <xdr:from>
      <xdr:col>8</xdr:col>
      <xdr:colOff>714375</xdr:colOff>
      <xdr:row>131</xdr:row>
      <xdr:rowOff>183375</xdr:rowOff>
    </xdr:from>
    <xdr:to>
      <xdr:col>9</xdr:col>
      <xdr:colOff>185929</xdr:colOff>
      <xdr:row>133</xdr:row>
      <xdr:rowOff>137656</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26539050"/>
          <a:ext cx="490729" cy="335281"/>
        </a:xfrm>
        <a:prstGeom prst="rect">
          <a:avLst/>
        </a:prstGeom>
      </xdr:spPr>
    </xdr:pic>
    <xdr:clientData/>
  </xdr:twoCellAnchor>
  <xdr:twoCellAnchor editAs="oneCell">
    <xdr:from>
      <xdr:col>10</xdr:col>
      <xdr:colOff>988200</xdr:colOff>
      <xdr:row>129</xdr:row>
      <xdr:rowOff>133350</xdr:rowOff>
    </xdr:from>
    <xdr:to>
      <xdr:col>12</xdr:col>
      <xdr:colOff>465090</xdr:colOff>
      <xdr:row>136</xdr:row>
      <xdr:rowOff>148593</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46100" y="26108025"/>
          <a:ext cx="1581915" cy="1348743"/>
        </a:xfrm>
        <a:prstGeom prst="rect">
          <a:avLst/>
        </a:prstGeom>
      </xdr:spPr>
    </xdr:pic>
    <xdr:clientData/>
  </xdr:twoCellAnchor>
  <xdr:twoCellAnchor editAs="oneCell">
    <xdr:from>
      <xdr:col>3</xdr:col>
      <xdr:colOff>9525</xdr:colOff>
      <xdr:row>129</xdr:row>
      <xdr:rowOff>85725</xdr:rowOff>
    </xdr:from>
    <xdr:to>
      <xdr:col>5</xdr:col>
      <xdr:colOff>1372365</xdr:colOff>
      <xdr:row>136</xdr:row>
      <xdr:rowOff>100968</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0075" y="26060400"/>
          <a:ext cx="1581915" cy="1348743"/>
        </a:xfrm>
        <a:prstGeom prst="rect">
          <a:avLst/>
        </a:prstGeom>
      </xdr:spPr>
    </xdr:pic>
    <xdr:clientData/>
  </xdr:twoCellAnchor>
  <xdr:twoCellAnchor editAs="oneCell">
    <xdr:from>
      <xdr:col>8</xdr:col>
      <xdr:colOff>600075</xdr:colOff>
      <xdr:row>197</xdr:row>
      <xdr:rowOff>21450</xdr:rowOff>
    </xdr:from>
    <xdr:to>
      <xdr:col>9</xdr:col>
      <xdr:colOff>71629</xdr:colOff>
      <xdr:row>198</xdr:row>
      <xdr:rowOff>166231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0" y="43017300"/>
          <a:ext cx="490729" cy="335281"/>
        </a:xfrm>
        <a:prstGeom prst="rect">
          <a:avLst/>
        </a:prstGeom>
      </xdr:spPr>
    </xdr:pic>
    <xdr:clientData/>
  </xdr:twoCellAnchor>
  <xdr:twoCellAnchor editAs="oneCell">
    <xdr:from>
      <xdr:col>10</xdr:col>
      <xdr:colOff>873900</xdr:colOff>
      <xdr:row>194</xdr:row>
      <xdr:rowOff>161925</xdr:rowOff>
    </xdr:from>
    <xdr:to>
      <xdr:col>12</xdr:col>
      <xdr:colOff>350790</xdr:colOff>
      <xdr:row>201</xdr:row>
      <xdr:rowOff>177168</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1800" y="42586275"/>
          <a:ext cx="1581915" cy="1348743"/>
        </a:xfrm>
        <a:prstGeom prst="rect">
          <a:avLst/>
        </a:prstGeom>
      </xdr:spPr>
    </xdr:pic>
    <xdr:clientData/>
  </xdr:twoCellAnchor>
  <xdr:twoCellAnchor editAs="oneCell">
    <xdr:from>
      <xdr:col>2</xdr:col>
      <xdr:colOff>95250</xdr:colOff>
      <xdr:row>194</xdr:row>
      <xdr:rowOff>114300</xdr:rowOff>
    </xdr:from>
    <xdr:to>
      <xdr:col>5</xdr:col>
      <xdr:colOff>1258065</xdr:colOff>
      <xdr:row>201</xdr:row>
      <xdr:rowOff>129543</xdr:rowOff>
    </xdr:to>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42538650"/>
          <a:ext cx="1581915" cy="1348743"/>
        </a:xfrm>
        <a:prstGeom prst="rect">
          <a:avLst/>
        </a:prstGeom>
      </xdr:spPr>
    </xdr:pic>
    <xdr:clientData/>
  </xdr:twoCellAnchor>
  <xdr:twoCellAnchor editAs="oneCell">
    <xdr:from>
      <xdr:col>8</xdr:col>
      <xdr:colOff>942975</xdr:colOff>
      <xdr:row>268</xdr:row>
      <xdr:rowOff>21450</xdr:rowOff>
    </xdr:from>
    <xdr:to>
      <xdr:col>9</xdr:col>
      <xdr:colOff>414529</xdr:colOff>
      <xdr:row>269</xdr:row>
      <xdr:rowOff>166231</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57628650"/>
          <a:ext cx="490729" cy="335281"/>
        </a:xfrm>
        <a:prstGeom prst="rect">
          <a:avLst/>
        </a:prstGeom>
      </xdr:spPr>
    </xdr:pic>
    <xdr:clientData/>
  </xdr:twoCellAnchor>
  <xdr:twoCellAnchor editAs="oneCell">
    <xdr:from>
      <xdr:col>11</xdr:col>
      <xdr:colOff>207150</xdr:colOff>
      <xdr:row>266</xdr:row>
      <xdr:rowOff>85725</xdr:rowOff>
    </xdr:from>
    <xdr:to>
      <xdr:col>12</xdr:col>
      <xdr:colOff>693690</xdr:colOff>
      <xdr:row>272</xdr:row>
      <xdr:rowOff>177168</xdr:rowOff>
    </xdr:to>
    <xdr:pic>
      <xdr:nvPicPr>
        <xdr:cNvPr id="12" name="Picture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4700" y="57197625"/>
          <a:ext cx="1581915" cy="1348743"/>
        </a:xfrm>
        <a:prstGeom prst="rect">
          <a:avLst/>
        </a:prstGeom>
      </xdr:spPr>
    </xdr:pic>
    <xdr:clientData/>
  </xdr:twoCellAnchor>
  <xdr:twoCellAnchor editAs="oneCell">
    <xdr:from>
      <xdr:col>5</xdr:col>
      <xdr:colOff>9525</xdr:colOff>
      <xdr:row>266</xdr:row>
      <xdr:rowOff>219075</xdr:rowOff>
    </xdr:from>
    <xdr:to>
      <xdr:col>5</xdr:col>
      <xdr:colOff>1247948</xdr:colOff>
      <xdr:row>271</xdr:row>
      <xdr:rowOff>181119</xdr:rowOff>
    </xdr:to>
    <xdr:pic>
      <xdr:nvPicPr>
        <xdr:cNvPr id="15"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9150" y="57330975"/>
          <a:ext cx="1238423" cy="1028844"/>
        </a:xfrm>
        <a:prstGeom prst="rect">
          <a:avLst/>
        </a:prstGeom>
      </xdr:spPr>
    </xdr:pic>
    <xdr:clientData/>
  </xdr:twoCellAnchor>
  <xdr:twoCellAnchor editAs="oneCell">
    <xdr:from>
      <xdr:col>8</xdr:col>
      <xdr:colOff>781050</xdr:colOff>
      <xdr:row>328</xdr:row>
      <xdr:rowOff>78600</xdr:rowOff>
    </xdr:from>
    <xdr:to>
      <xdr:col>9</xdr:col>
      <xdr:colOff>252604</xdr:colOff>
      <xdr:row>329</xdr:row>
      <xdr:rowOff>185281</xdr:rowOff>
    </xdr:to>
    <xdr:pic>
      <xdr:nvPicPr>
        <xdr:cNvPr id="16" name="Picture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575" y="69753975"/>
          <a:ext cx="490729" cy="335281"/>
        </a:xfrm>
        <a:prstGeom prst="rect">
          <a:avLst/>
        </a:prstGeom>
      </xdr:spPr>
    </xdr:pic>
    <xdr:clientData/>
  </xdr:twoCellAnchor>
  <xdr:twoCellAnchor editAs="oneCell">
    <xdr:from>
      <xdr:col>11</xdr:col>
      <xdr:colOff>45225</xdr:colOff>
      <xdr:row>326</xdr:row>
      <xdr:rowOff>104775</xdr:rowOff>
    </xdr:from>
    <xdr:to>
      <xdr:col>12</xdr:col>
      <xdr:colOff>531765</xdr:colOff>
      <xdr:row>332</xdr:row>
      <xdr:rowOff>81918</xdr:rowOff>
    </xdr:to>
    <xdr:pic>
      <xdr:nvPicPr>
        <xdr:cNvPr id="17"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12775" y="69322950"/>
          <a:ext cx="1581915" cy="1348743"/>
        </a:xfrm>
        <a:prstGeom prst="rect">
          <a:avLst/>
        </a:prstGeom>
      </xdr:spPr>
    </xdr:pic>
    <xdr:clientData/>
  </xdr:twoCellAnchor>
  <xdr:twoCellAnchor editAs="oneCell">
    <xdr:from>
      <xdr:col>8</xdr:col>
      <xdr:colOff>857250</xdr:colOff>
      <xdr:row>390</xdr:row>
      <xdr:rowOff>21450</xdr:rowOff>
    </xdr:from>
    <xdr:to>
      <xdr:col>9</xdr:col>
      <xdr:colOff>328804</xdr:colOff>
      <xdr:row>391</xdr:row>
      <xdr:rowOff>128131</xdr:rowOff>
    </xdr:to>
    <xdr:pic>
      <xdr:nvPicPr>
        <xdr:cNvPr id="19" name="Picture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82727025"/>
          <a:ext cx="490729" cy="335281"/>
        </a:xfrm>
        <a:prstGeom prst="rect">
          <a:avLst/>
        </a:prstGeom>
      </xdr:spPr>
    </xdr:pic>
    <xdr:clientData/>
  </xdr:twoCellAnchor>
  <xdr:twoCellAnchor editAs="oneCell">
    <xdr:from>
      <xdr:col>11</xdr:col>
      <xdr:colOff>121425</xdr:colOff>
      <xdr:row>388</xdr:row>
      <xdr:rowOff>47625</xdr:rowOff>
    </xdr:from>
    <xdr:to>
      <xdr:col>12</xdr:col>
      <xdr:colOff>607965</xdr:colOff>
      <xdr:row>394</xdr:row>
      <xdr:rowOff>24768</xdr:rowOff>
    </xdr:to>
    <xdr:pic>
      <xdr:nvPicPr>
        <xdr:cNvPr id="20" name="Picture 1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88975" y="82296000"/>
          <a:ext cx="1581915" cy="1348743"/>
        </a:xfrm>
        <a:prstGeom prst="rect">
          <a:avLst/>
        </a:prstGeom>
      </xdr:spPr>
    </xdr:pic>
    <xdr:clientData/>
  </xdr:twoCellAnchor>
  <xdr:twoCellAnchor editAs="oneCell">
    <xdr:from>
      <xdr:col>5</xdr:col>
      <xdr:colOff>0</xdr:colOff>
      <xdr:row>390</xdr:row>
      <xdr:rowOff>0</xdr:rowOff>
    </xdr:from>
    <xdr:to>
      <xdr:col>5</xdr:col>
      <xdr:colOff>1251945</xdr:colOff>
      <xdr:row>394</xdr:row>
      <xdr:rowOff>219075</xdr:rowOff>
    </xdr:to>
    <xdr:pic>
      <xdr:nvPicPr>
        <xdr:cNvPr id="22" name="Picture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 y="82705575"/>
          <a:ext cx="1251945" cy="1133475"/>
        </a:xfrm>
        <a:prstGeom prst="rect">
          <a:avLst/>
        </a:prstGeom>
      </xdr:spPr>
    </xdr:pic>
    <xdr:clientData/>
  </xdr:twoCellAnchor>
  <xdr:twoCellAnchor editAs="oneCell">
    <xdr:from>
      <xdr:col>9</xdr:col>
      <xdr:colOff>19050</xdr:colOff>
      <xdr:row>449</xdr:row>
      <xdr:rowOff>50025</xdr:rowOff>
    </xdr:from>
    <xdr:to>
      <xdr:col>9</xdr:col>
      <xdr:colOff>509779</xdr:colOff>
      <xdr:row>450</xdr:row>
      <xdr:rowOff>156706</xdr:rowOff>
    </xdr:to>
    <xdr:pic>
      <xdr:nvPicPr>
        <xdr:cNvPr id="23" name="Picture 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0" y="95176200"/>
          <a:ext cx="490729" cy="335281"/>
        </a:xfrm>
        <a:prstGeom prst="rect">
          <a:avLst/>
        </a:prstGeom>
      </xdr:spPr>
    </xdr:pic>
    <xdr:clientData/>
  </xdr:twoCellAnchor>
  <xdr:twoCellAnchor editAs="oneCell">
    <xdr:from>
      <xdr:col>11</xdr:col>
      <xdr:colOff>302400</xdr:colOff>
      <xdr:row>447</xdr:row>
      <xdr:rowOff>76200</xdr:rowOff>
    </xdr:from>
    <xdr:to>
      <xdr:col>12</xdr:col>
      <xdr:colOff>788940</xdr:colOff>
      <xdr:row>453</xdr:row>
      <xdr:rowOff>72393</xdr:rowOff>
    </xdr:to>
    <xdr:pic>
      <xdr:nvPicPr>
        <xdr:cNvPr id="24" name="Picture 2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9950" y="94745175"/>
          <a:ext cx="1581915" cy="1348743"/>
        </a:xfrm>
        <a:prstGeom prst="rect">
          <a:avLst/>
        </a:prstGeom>
      </xdr:spPr>
    </xdr:pic>
    <xdr:clientData/>
  </xdr:twoCellAnchor>
  <xdr:twoCellAnchor editAs="oneCell">
    <xdr:from>
      <xdr:col>5</xdr:col>
      <xdr:colOff>466725</xdr:colOff>
      <xdr:row>449</xdr:row>
      <xdr:rowOff>40500</xdr:rowOff>
    </xdr:from>
    <xdr:to>
      <xdr:col>5</xdr:col>
      <xdr:colOff>957454</xdr:colOff>
      <xdr:row>450</xdr:row>
      <xdr:rowOff>147181</xdr:rowOff>
    </xdr:to>
    <xdr:pic>
      <xdr:nvPicPr>
        <xdr:cNvPr id="26" name="Picture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95166675"/>
          <a:ext cx="490729" cy="335281"/>
        </a:xfrm>
        <a:prstGeom prst="rect">
          <a:avLst/>
        </a:prstGeom>
      </xdr:spPr>
    </xdr:pic>
    <xdr:clientData/>
  </xdr:twoCellAnchor>
  <xdr:twoCellAnchor editAs="oneCell">
    <xdr:from>
      <xdr:col>8</xdr:col>
      <xdr:colOff>809625</xdr:colOff>
      <xdr:row>511</xdr:row>
      <xdr:rowOff>69075</xdr:rowOff>
    </xdr:from>
    <xdr:to>
      <xdr:col>9</xdr:col>
      <xdr:colOff>281179</xdr:colOff>
      <xdr:row>512</xdr:row>
      <xdr:rowOff>156706</xdr:rowOff>
    </xdr:to>
    <xdr:pic>
      <xdr:nvPicPr>
        <xdr:cNvPr id="27" name="Picture 2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108130200"/>
          <a:ext cx="490729" cy="335281"/>
        </a:xfrm>
        <a:prstGeom prst="rect">
          <a:avLst/>
        </a:prstGeom>
      </xdr:spPr>
    </xdr:pic>
    <xdr:clientData/>
  </xdr:twoCellAnchor>
  <xdr:twoCellAnchor editAs="oneCell">
    <xdr:from>
      <xdr:col>11</xdr:col>
      <xdr:colOff>73800</xdr:colOff>
      <xdr:row>509</xdr:row>
      <xdr:rowOff>95250</xdr:rowOff>
    </xdr:from>
    <xdr:to>
      <xdr:col>12</xdr:col>
      <xdr:colOff>560340</xdr:colOff>
      <xdr:row>515</xdr:row>
      <xdr:rowOff>91443</xdr:rowOff>
    </xdr:to>
    <xdr:pic>
      <xdr:nvPicPr>
        <xdr:cNvPr id="28" name="Picture 2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1350" y="107699175"/>
          <a:ext cx="1581915" cy="1348743"/>
        </a:xfrm>
        <a:prstGeom prst="rect">
          <a:avLst/>
        </a:prstGeom>
      </xdr:spPr>
    </xdr:pic>
    <xdr:clientData/>
  </xdr:twoCellAnchor>
  <xdr:twoCellAnchor editAs="oneCell">
    <xdr:from>
      <xdr:col>5</xdr:col>
      <xdr:colOff>333375</xdr:colOff>
      <xdr:row>511</xdr:row>
      <xdr:rowOff>95250</xdr:rowOff>
    </xdr:from>
    <xdr:to>
      <xdr:col>5</xdr:col>
      <xdr:colOff>1168529</xdr:colOff>
      <xdr:row>512</xdr:row>
      <xdr:rowOff>48768</xdr:rowOff>
    </xdr:to>
    <xdr:pic>
      <xdr:nvPicPr>
        <xdr:cNvPr id="29" name="Picture 2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43000" y="108156375"/>
          <a:ext cx="835154" cy="201168"/>
        </a:xfrm>
        <a:prstGeom prst="rect">
          <a:avLst/>
        </a:prstGeom>
      </xdr:spPr>
    </xdr:pic>
    <xdr:clientData/>
  </xdr:twoCellAnchor>
  <xdr:twoCellAnchor editAs="oneCell">
    <xdr:from>
      <xdr:col>8</xdr:col>
      <xdr:colOff>790575</xdr:colOff>
      <xdr:row>574</xdr:row>
      <xdr:rowOff>50025</xdr:rowOff>
    </xdr:from>
    <xdr:to>
      <xdr:col>9</xdr:col>
      <xdr:colOff>262129</xdr:colOff>
      <xdr:row>575</xdr:row>
      <xdr:rowOff>156706</xdr:rowOff>
    </xdr:to>
    <xdr:pic>
      <xdr:nvPicPr>
        <xdr:cNvPr id="30" name="Picture 2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121750950"/>
          <a:ext cx="490729" cy="335281"/>
        </a:xfrm>
        <a:prstGeom prst="rect">
          <a:avLst/>
        </a:prstGeom>
      </xdr:spPr>
    </xdr:pic>
    <xdr:clientData/>
  </xdr:twoCellAnchor>
  <xdr:twoCellAnchor editAs="oneCell">
    <xdr:from>
      <xdr:col>11</xdr:col>
      <xdr:colOff>54750</xdr:colOff>
      <xdr:row>572</xdr:row>
      <xdr:rowOff>95250</xdr:rowOff>
    </xdr:from>
    <xdr:to>
      <xdr:col>12</xdr:col>
      <xdr:colOff>541290</xdr:colOff>
      <xdr:row>578</xdr:row>
      <xdr:rowOff>167643</xdr:rowOff>
    </xdr:to>
    <xdr:pic>
      <xdr:nvPicPr>
        <xdr:cNvPr id="31" name="Picture 3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2300" y="121319925"/>
          <a:ext cx="1581915" cy="1348743"/>
        </a:xfrm>
        <a:prstGeom prst="rect">
          <a:avLst/>
        </a:prstGeom>
      </xdr:spPr>
    </xdr:pic>
    <xdr:clientData/>
  </xdr:twoCellAnchor>
  <xdr:twoCellAnchor editAs="oneCell">
    <xdr:from>
      <xdr:col>5</xdr:col>
      <xdr:colOff>247650</xdr:colOff>
      <xdr:row>574</xdr:row>
      <xdr:rowOff>28575</xdr:rowOff>
    </xdr:from>
    <xdr:to>
      <xdr:col>5</xdr:col>
      <xdr:colOff>1056896</xdr:colOff>
      <xdr:row>577</xdr:row>
      <xdr:rowOff>40768</xdr:rowOff>
    </xdr:to>
    <xdr:pic>
      <xdr:nvPicPr>
        <xdr:cNvPr id="32" name="Picture 3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57275" y="121729500"/>
          <a:ext cx="809246" cy="621793"/>
        </a:xfrm>
        <a:prstGeom prst="rect">
          <a:avLst/>
        </a:prstGeom>
      </xdr:spPr>
    </xdr:pic>
    <xdr:clientData/>
  </xdr:twoCellAnchor>
  <xdr:twoCellAnchor editAs="oneCell">
    <xdr:from>
      <xdr:col>8</xdr:col>
      <xdr:colOff>819150</xdr:colOff>
      <xdr:row>634</xdr:row>
      <xdr:rowOff>173850</xdr:rowOff>
    </xdr:from>
    <xdr:to>
      <xdr:col>9</xdr:col>
      <xdr:colOff>290704</xdr:colOff>
      <xdr:row>636</xdr:row>
      <xdr:rowOff>90031</xdr:rowOff>
    </xdr:to>
    <xdr:pic>
      <xdr:nvPicPr>
        <xdr:cNvPr id="33" name="Picture 3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5" y="134019150"/>
          <a:ext cx="490729" cy="335281"/>
        </a:xfrm>
        <a:prstGeom prst="rect">
          <a:avLst/>
        </a:prstGeom>
      </xdr:spPr>
    </xdr:pic>
    <xdr:clientData/>
  </xdr:twoCellAnchor>
  <xdr:twoCellAnchor editAs="oneCell">
    <xdr:from>
      <xdr:col>11</xdr:col>
      <xdr:colOff>83325</xdr:colOff>
      <xdr:row>632</xdr:row>
      <xdr:rowOff>219075</xdr:rowOff>
    </xdr:from>
    <xdr:to>
      <xdr:col>12</xdr:col>
      <xdr:colOff>569865</xdr:colOff>
      <xdr:row>639</xdr:row>
      <xdr:rowOff>100968</xdr:rowOff>
    </xdr:to>
    <xdr:pic>
      <xdr:nvPicPr>
        <xdr:cNvPr id="34" name="Picture 3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0875" y="133588125"/>
          <a:ext cx="1581915" cy="1348743"/>
        </a:xfrm>
        <a:prstGeom prst="rect">
          <a:avLst/>
        </a:prstGeom>
      </xdr:spPr>
    </xdr:pic>
    <xdr:clientData/>
  </xdr:twoCellAnchor>
  <xdr:twoCellAnchor editAs="oneCell">
    <xdr:from>
      <xdr:col>5</xdr:col>
      <xdr:colOff>76200</xdr:colOff>
      <xdr:row>633</xdr:row>
      <xdr:rowOff>85725</xdr:rowOff>
    </xdr:from>
    <xdr:to>
      <xdr:col>5</xdr:col>
      <xdr:colOff>1275893</xdr:colOff>
      <xdr:row>639</xdr:row>
      <xdr:rowOff>47168</xdr:rowOff>
    </xdr:to>
    <xdr:pic>
      <xdr:nvPicPr>
        <xdr:cNvPr id="35" name="Picture 3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5825" y="133683375"/>
          <a:ext cx="1199693" cy="1199693"/>
        </a:xfrm>
        <a:prstGeom prst="rect">
          <a:avLst/>
        </a:prstGeom>
      </xdr:spPr>
    </xdr:pic>
    <xdr:clientData/>
  </xdr:twoCellAnchor>
  <xdr:twoCellAnchor editAs="oneCell">
    <xdr:from>
      <xdr:col>8</xdr:col>
      <xdr:colOff>752475</xdr:colOff>
      <xdr:row>698</xdr:row>
      <xdr:rowOff>40500</xdr:rowOff>
    </xdr:from>
    <xdr:to>
      <xdr:col>9</xdr:col>
      <xdr:colOff>224029</xdr:colOff>
      <xdr:row>699</xdr:row>
      <xdr:rowOff>147181</xdr:rowOff>
    </xdr:to>
    <xdr:pic>
      <xdr:nvPicPr>
        <xdr:cNvPr id="36" name="Picture 3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46068275"/>
          <a:ext cx="490729" cy="335281"/>
        </a:xfrm>
        <a:prstGeom prst="rect">
          <a:avLst/>
        </a:prstGeom>
      </xdr:spPr>
    </xdr:pic>
    <xdr:clientData/>
  </xdr:twoCellAnchor>
  <xdr:twoCellAnchor editAs="oneCell">
    <xdr:from>
      <xdr:col>11</xdr:col>
      <xdr:colOff>16650</xdr:colOff>
      <xdr:row>696</xdr:row>
      <xdr:rowOff>66675</xdr:rowOff>
    </xdr:from>
    <xdr:to>
      <xdr:col>12</xdr:col>
      <xdr:colOff>503190</xdr:colOff>
      <xdr:row>702</xdr:row>
      <xdr:rowOff>5718</xdr:rowOff>
    </xdr:to>
    <xdr:pic>
      <xdr:nvPicPr>
        <xdr:cNvPr id="37" name="Picture 3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84200" y="145637250"/>
          <a:ext cx="1581915" cy="1348743"/>
        </a:xfrm>
        <a:prstGeom prst="rect">
          <a:avLst/>
        </a:prstGeom>
      </xdr:spPr>
    </xdr:pic>
    <xdr:clientData/>
  </xdr:twoCellAnchor>
  <xdr:twoCellAnchor editAs="oneCell">
    <xdr:from>
      <xdr:col>5</xdr:col>
      <xdr:colOff>438150</xdr:colOff>
      <xdr:row>697</xdr:row>
      <xdr:rowOff>180975</xdr:rowOff>
    </xdr:from>
    <xdr:to>
      <xdr:col>5</xdr:col>
      <xdr:colOff>1174123</xdr:colOff>
      <xdr:row>700</xdr:row>
      <xdr:rowOff>161504</xdr:rowOff>
    </xdr:to>
    <xdr:pic>
      <xdr:nvPicPr>
        <xdr:cNvPr id="38" name="Picture 37"/>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47775" y="145980150"/>
          <a:ext cx="735973" cy="666329"/>
        </a:xfrm>
        <a:prstGeom prst="rect">
          <a:avLst/>
        </a:prstGeom>
      </xdr:spPr>
    </xdr:pic>
    <xdr:clientData/>
  </xdr:twoCellAnchor>
  <xdr:twoCellAnchor editAs="oneCell">
    <xdr:from>
      <xdr:col>8</xdr:col>
      <xdr:colOff>752475</xdr:colOff>
      <xdr:row>763</xdr:row>
      <xdr:rowOff>192900</xdr:rowOff>
    </xdr:from>
    <xdr:to>
      <xdr:col>9</xdr:col>
      <xdr:colOff>224029</xdr:colOff>
      <xdr:row>765</xdr:row>
      <xdr:rowOff>109081</xdr:rowOff>
    </xdr:to>
    <xdr:pic>
      <xdr:nvPicPr>
        <xdr:cNvPr id="39" name="Picture 3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59917625"/>
          <a:ext cx="490729" cy="335281"/>
        </a:xfrm>
        <a:prstGeom prst="rect">
          <a:avLst/>
        </a:prstGeom>
      </xdr:spPr>
    </xdr:pic>
    <xdr:clientData/>
  </xdr:twoCellAnchor>
  <xdr:twoCellAnchor editAs="oneCell">
    <xdr:from>
      <xdr:col>11</xdr:col>
      <xdr:colOff>16650</xdr:colOff>
      <xdr:row>762</xdr:row>
      <xdr:rowOff>9525</xdr:rowOff>
    </xdr:from>
    <xdr:to>
      <xdr:col>12</xdr:col>
      <xdr:colOff>503190</xdr:colOff>
      <xdr:row>768</xdr:row>
      <xdr:rowOff>120018</xdr:rowOff>
    </xdr:to>
    <xdr:pic>
      <xdr:nvPicPr>
        <xdr:cNvPr id="40" name="Picture 3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84200" y="159486600"/>
          <a:ext cx="1581915" cy="1348743"/>
        </a:xfrm>
        <a:prstGeom prst="rect">
          <a:avLst/>
        </a:prstGeom>
      </xdr:spPr>
    </xdr:pic>
    <xdr:clientData/>
  </xdr:twoCellAnchor>
  <xdr:twoCellAnchor editAs="oneCell">
    <xdr:from>
      <xdr:col>5</xdr:col>
      <xdr:colOff>180975</xdr:colOff>
      <xdr:row>762</xdr:row>
      <xdr:rowOff>200025</xdr:rowOff>
    </xdr:from>
    <xdr:to>
      <xdr:col>5</xdr:col>
      <xdr:colOff>1616586</xdr:colOff>
      <xdr:row>767</xdr:row>
      <xdr:rowOff>153545</xdr:rowOff>
    </xdr:to>
    <xdr:pic>
      <xdr:nvPicPr>
        <xdr:cNvPr id="41" name="Picture 4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90600" y="159677100"/>
          <a:ext cx="1435611" cy="1001270"/>
        </a:xfrm>
        <a:prstGeom prst="rect">
          <a:avLst/>
        </a:prstGeom>
      </xdr:spPr>
    </xdr:pic>
    <xdr:clientData/>
  </xdr:twoCellAnchor>
  <xdr:twoCellAnchor editAs="oneCell">
    <xdr:from>
      <xdr:col>8</xdr:col>
      <xdr:colOff>828675</xdr:colOff>
      <xdr:row>831</xdr:row>
      <xdr:rowOff>21450</xdr:rowOff>
    </xdr:from>
    <xdr:to>
      <xdr:col>9</xdr:col>
      <xdr:colOff>300229</xdr:colOff>
      <xdr:row>832</xdr:row>
      <xdr:rowOff>166231</xdr:rowOff>
    </xdr:to>
    <xdr:pic>
      <xdr:nvPicPr>
        <xdr:cNvPr id="42" name="Picture 4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0" y="174395625"/>
          <a:ext cx="490729" cy="335281"/>
        </a:xfrm>
        <a:prstGeom prst="rect">
          <a:avLst/>
        </a:prstGeom>
      </xdr:spPr>
    </xdr:pic>
    <xdr:clientData/>
  </xdr:twoCellAnchor>
  <xdr:twoCellAnchor editAs="oneCell">
    <xdr:from>
      <xdr:col>11</xdr:col>
      <xdr:colOff>92850</xdr:colOff>
      <xdr:row>829</xdr:row>
      <xdr:rowOff>66675</xdr:rowOff>
    </xdr:from>
    <xdr:to>
      <xdr:col>12</xdr:col>
      <xdr:colOff>579390</xdr:colOff>
      <xdr:row>835</xdr:row>
      <xdr:rowOff>177168</xdr:rowOff>
    </xdr:to>
    <xdr:pic>
      <xdr:nvPicPr>
        <xdr:cNvPr id="43" name="Picture 4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60400" y="173964600"/>
          <a:ext cx="1581915" cy="1348743"/>
        </a:xfrm>
        <a:prstGeom prst="rect">
          <a:avLst/>
        </a:prstGeom>
      </xdr:spPr>
    </xdr:pic>
    <xdr:clientData/>
  </xdr:twoCellAnchor>
  <xdr:twoCellAnchor editAs="oneCell">
    <xdr:from>
      <xdr:col>8</xdr:col>
      <xdr:colOff>828675</xdr:colOff>
      <xdr:row>896</xdr:row>
      <xdr:rowOff>202425</xdr:rowOff>
    </xdr:from>
    <xdr:to>
      <xdr:col>9</xdr:col>
      <xdr:colOff>300229</xdr:colOff>
      <xdr:row>898</xdr:row>
      <xdr:rowOff>99556</xdr:rowOff>
    </xdr:to>
    <xdr:pic>
      <xdr:nvPicPr>
        <xdr:cNvPr id="44" name="Picture 4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0" y="188054475"/>
          <a:ext cx="490729" cy="335281"/>
        </a:xfrm>
        <a:prstGeom prst="rect">
          <a:avLst/>
        </a:prstGeom>
      </xdr:spPr>
    </xdr:pic>
    <xdr:clientData/>
  </xdr:twoCellAnchor>
  <xdr:twoCellAnchor editAs="oneCell">
    <xdr:from>
      <xdr:col>11</xdr:col>
      <xdr:colOff>92850</xdr:colOff>
      <xdr:row>895</xdr:row>
      <xdr:rowOff>19050</xdr:rowOff>
    </xdr:from>
    <xdr:to>
      <xdr:col>12</xdr:col>
      <xdr:colOff>579390</xdr:colOff>
      <xdr:row>901</xdr:row>
      <xdr:rowOff>110493</xdr:rowOff>
    </xdr:to>
    <xdr:pic>
      <xdr:nvPicPr>
        <xdr:cNvPr id="45" name="Picture 4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60400" y="187623450"/>
          <a:ext cx="1581915" cy="1348743"/>
        </a:xfrm>
        <a:prstGeom prst="rect">
          <a:avLst/>
        </a:prstGeom>
      </xdr:spPr>
    </xdr:pic>
    <xdr:clientData/>
  </xdr:twoCellAnchor>
  <xdr:twoCellAnchor editAs="oneCell">
    <xdr:from>
      <xdr:col>4</xdr:col>
      <xdr:colOff>95250</xdr:colOff>
      <xdr:row>896</xdr:row>
      <xdr:rowOff>190500</xdr:rowOff>
    </xdr:from>
    <xdr:to>
      <xdr:col>5</xdr:col>
      <xdr:colOff>1581153</xdr:colOff>
      <xdr:row>901</xdr:row>
      <xdr:rowOff>95252</xdr:rowOff>
    </xdr:to>
    <xdr:pic>
      <xdr:nvPicPr>
        <xdr:cNvPr id="46" name="Picture 45"/>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90575" y="188042550"/>
          <a:ext cx="1600203" cy="914402"/>
        </a:xfrm>
        <a:prstGeom prst="rect">
          <a:avLst/>
        </a:prstGeom>
      </xdr:spPr>
    </xdr:pic>
    <xdr:clientData/>
  </xdr:twoCellAnchor>
  <xdr:twoCellAnchor editAs="oneCell">
    <xdr:from>
      <xdr:col>8</xdr:col>
      <xdr:colOff>847725</xdr:colOff>
      <xdr:row>956</xdr:row>
      <xdr:rowOff>211950</xdr:rowOff>
    </xdr:from>
    <xdr:to>
      <xdr:col>9</xdr:col>
      <xdr:colOff>319279</xdr:colOff>
      <xdr:row>958</xdr:row>
      <xdr:rowOff>70981</xdr:rowOff>
    </xdr:to>
    <xdr:pic>
      <xdr:nvPicPr>
        <xdr:cNvPr id="47" name="Picture 4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00475075"/>
          <a:ext cx="490729" cy="335281"/>
        </a:xfrm>
        <a:prstGeom prst="rect">
          <a:avLst/>
        </a:prstGeom>
      </xdr:spPr>
    </xdr:pic>
    <xdr:clientData/>
  </xdr:twoCellAnchor>
  <xdr:twoCellAnchor editAs="oneCell">
    <xdr:from>
      <xdr:col>11</xdr:col>
      <xdr:colOff>111900</xdr:colOff>
      <xdr:row>955</xdr:row>
      <xdr:rowOff>9525</xdr:rowOff>
    </xdr:from>
    <xdr:to>
      <xdr:col>12</xdr:col>
      <xdr:colOff>598440</xdr:colOff>
      <xdr:row>961</xdr:row>
      <xdr:rowOff>43818</xdr:rowOff>
    </xdr:to>
    <xdr:pic>
      <xdr:nvPicPr>
        <xdr:cNvPr id="48" name="Picture 4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79450" y="200044050"/>
          <a:ext cx="1581915" cy="1348743"/>
        </a:xfrm>
        <a:prstGeom prst="rect">
          <a:avLst/>
        </a:prstGeom>
      </xdr:spPr>
    </xdr:pic>
    <xdr:clientData/>
  </xdr:twoCellAnchor>
  <xdr:twoCellAnchor editAs="oneCell">
    <xdr:from>
      <xdr:col>5</xdr:col>
      <xdr:colOff>0</xdr:colOff>
      <xdr:row>956</xdr:row>
      <xdr:rowOff>200025</xdr:rowOff>
    </xdr:from>
    <xdr:to>
      <xdr:col>5</xdr:col>
      <xdr:colOff>1600203</xdr:colOff>
      <xdr:row>961</xdr:row>
      <xdr:rowOff>28577</xdr:rowOff>
    </xdr:to>
    <xdr:pic>
      <xdr:nvPicPr>
        <xdr:cNvPr id="49" name="Picture 48"/>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09625" y="200463150"/>
          <a:ext cx="1600203" cy="914402"/>
        </a:xfrm>
        <a:prstGeom prst="rect">
          <a:avLst/>
        </a:prstGeom>
      </xdr:spPr>
    </xdr:pic>
    <xdr:clientData/>
  </xdr:twoCellAnchor>
  <xdr:twoCellAnchor editAs="oneCell">
    <xdr:from>
      <xdr:col>8</xdr:col>
      <xdr:colOff>742950</xdr:colOff>
      <xdr:row>1014</xdr:row>
      <xdr:rowOff>40500</xdr:rowOff>
    </xdr:from>
    <xdr:to>
      <xdr:col>9</xdr:col>
      <xdr:colOff>214504</xdr:colOff>
      <xdr:row>1015</xdr:row>
      <xdr:rowOff>147181</xdr:rowOff>
    </xdr:to>
    <xdr:pic>
      <xdr:nvPicPr>
        <xdr:cNvPr id="50" name="Picture 4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2475" y="212257500"/>
          <a:ext cx="490729" cy="335281"/>
        </a:xfrm>
        <a:prstGeom prst="rect">
          <a:avLst/>
        </a:prstGeom>
      </xdr:spPr>
    </xdr:pic>
    <xdr:clientData/>
  </xdr:twoCellAnchor>
  <xdr:twoCellAnchor editAs="oneCell">
    <xdr:from>
      <xdr:col>11</xdr:col>
      <xdr:colOff>7125</xdr:colOff>
      <xdr:row>1012</xdr:row>
      <xdr:rowOff>66675</xdr:rowOff>
    </xdr:from>
    <xdr:to>
      <xdr:col>12</xdr:col>
      <xdr:colOff>493665</xdr:colOff>
      <xdr:row>1018</xdr:row>
      <xdr:rowOff>24768</xdr:rowOff>
    </xdr:to>
    <xdr:pic>
      <xdr:nvPicPr>
        <xdr:cNvPr id="51" name="Picture 5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74675" y="211826475"/>
          <a:ext cx="1581915" cy="1348743"/>
        </a:xfrm>
        <a:prstGeom prst="rect">
          <a:avLst/>
        </a:prstGeom>
      </xdr:spPr>
    </xdr:pic>
    <xdr:clientData/>
  </xdr:twoCellAnchor>
  <xdr:twoCellAnchor editAs="oneCell">
    <xdr:from>
      <xdr:col>2</xdr:col>
      <xdr:colOff>171450</xdr:colOff>
      <xdr:row>1013</xdr:row>
      <xdr:rowOff>219075</xdr:rowOff>
    </xdr:from>
    <xdr:to>
      <xdr:col>5</xdr:col>
      <xdr:colOff>1503429</xdr:colOff>
      <xdr:row>1016</xdr:row>
      <xdr:rowOff>77344</xdr:rowOff>
    </xdr:to>
    <xdr:pic>
      <xdr:nvPicPr>
        <xdr:cNvPr id="52" name="Picture 5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61975" y="212207475"/>
          <a:ext cx="1751079" cy="544069"/>
        </a:xfrm>
        <a:prstGeom prst="rect">
          <a:avLst/>
        </a:prstGeom>
      </xdr:spPr>
    </xdr:pic>
    <xdr:clientData/>
  </xdr:twoCellAnchor>
  <xdr:twoCellAnchor editAs="oneCell">
    <xdr:from>
      <xdr:col>8</xdr:col>
      <xdr:colOff>762000</xdr:colOff>
      <xdr:row>1084</xdr:row>
      <xdr:rowOff>30975</xdr:rowOff>
    </xdr:from>
    <xdr:to>
      <xdr:col>9</xdr:col>
      <xdr:colOff>233554</xdr:colOff>
      <xdr:row>1085</xdr:row>
      <xdr:rowOff>137656</xdr:rowOff>
    </xdr:to>
    <xdr:pic>
      <xdr:nvPicPr>
        <xdr:cNvPr id="53" name="Picture 5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1525" y="226564050"/>
          <a:ext cx="490729" cy="335281"/>
        </a:xfrm>
        <a:prstGeom prst="rect">
          <a:avLst/>
        </a:prstGeom>
      </xdr:spPr>
    </xdr:pic>
    <xdr:clientData/>
  </xdr:twoCellAnchor>
  <xdr:twoCellAnchor editAs="oneCell">
    <xdr:from>
      <xdr:col>11</xdr:col>
      <xdr:colOff>26175</xdr:colOff>
      <xdr:row>1082</xdr:row>
      <xdr:rowOff>57150</xdr:rowOff>
    </xdr:from>
    <xdr:to>
      <xdr:col>12</xdr:col>
      <xdr:colOff>512715</xdr:colOff>
      <xdr:row>1088</xdr:row>
      <xdr:rowOff>34293</xdr:rowOff>
    </xdr:to>
    <xdr:pic>
      <xdr:nvPicPr>
        <xdr:cNvPr id="54" name="Picture 5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93725" y="226133025"/>
          <a:ext cx="1581915" cy="1348743"/>
        </a:xfrm>
        <a:prstGeom prst="rect">
          <a:avLst/>
        </a:prstGeom>
      </xdr:spPr>
    </xdr:pic>
    <xdr:clientData/>
  </xdr:twoCellAnchor>
  <xdr:twoCellAnchor editAs="oneCell">
    <xdr:from>
      <xdr:col>2</xdr:col>
      <xdr:colOff>76200</xdr:colOff>
      <xdr:row>1082</xdr:row>
      <xdr:rowOff>85725</xdr:rowOff>
    </xdr:from>
    <xdr:to>
      <xdr:col>5</xdr:col>
      <xdr:colOff>1239015</xdr:colOff>
      <xdr:row>1088</xdr:row>
      <xdr:rowOff>62868</xdr:rowOff>
    </xdr:to>
    <xdr:pic>
      <xdr:nvPicPr>
        <xdr:cNvPr id="55" name="Picture 5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 y="226161600"/>
          <a:ext cx="1581915" cy="1348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173</xdr:row>
      <xdr:rowOff>28575</xdr:rowOff>
    </xdr:from>
    <xdr:to>
      <xdr:col>9</xdr:col>
      <xdr:colOff>885825</xdr:colOff>
      <xdr:row>173</xdr:row>
      <xdr:rowOff>28575</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200400" y="21183600"/>
          <a:ext cx="1657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95250</xdr:colOff>
      <xdr:row>172</xdr:row>
      <xdr:rowOff>219075</xdr:rowOff>
    </xdr:from>
    <xdr:to>
      <xdr:col>14</xdr:col>
      <xdr:colOff>9525</xdr:colOff>
      <xdr:row>172</xdr:row>
      <xdr:rowOff>219075</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5153025" y="21602700"/>
          <a:ext cx="3952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276</xdr:row>
      <xdr:rowOff>28575</xdr:rowOff>
    </xdr:from>
    <xdr:to>
      <xdr:col>9</xdr:col>
      <xdr:colOff>885825</xdr:colOff>
      <xdr:row>276</xdr:row>
      <xdr:rowOff>28575</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a:off x="3200400" y="21183600"/>
          <a:ext cx="1657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95250</xdr:colOff>
      <xdr:row>276</xdr:row>
      <xdr:rowOff>38100</xdr:rowOff>
    </xdr:from>
    <xdr:to>
      <xdr:col>14</xdr:col>
      <xdr:colOff>9525</xdr:colOff>
      <xdr:row>276</xdr:row>
      <xdr:rowOff>38100</xdr:rowOff>
    </xdr:to>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a:off x="5153025" y="37442775"/>
          <a:ext cx="2000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638175</xdr:colOff>
      <xdr:row>171</xdr:row>
      <xdr:rowOff>142875</xdr:rowOff>
    </xdr:from>
    <xdr:to>
      <xdr:col>9</xdr:col>
      <xdr:colOff>62104</xdr:colOff>
      <xdr:row>173</xdr:row>
      <xdr:rowOff>20956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3300" y="22212300"/>
          <a:ext cx="490729" cy="335281"/>
        </a:xfrm>
        <a:prstGeom prst="rect">
          <a:avLst/>
        </a:prstGeom>
      </xdr:spPr>
    </xdr:pic>
    <xdr:clientData/>
  </xdr:twoCellAnchor>
  <xdr:twoCellAnchor editAs="oneCell">
    <xdr:from>
      <xdr:col>10</xdr:col>
      <xdr:colOff>997725</xdr:colOff>
      <xdr:row>169</xdr:row>
      <xdr:rowOff>169050</xdr:rowOff>
    </xdr:from>
    <xdr:to>
      <xdr:col>12</xdr:col>
      <xdr:colOff>550815</xdr:colOff>
      <xdr:row>175</xdr:row>
      <xdr:rowOff>146193</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55500" y="21781275"/>
          <a:ext cx="1581915" cy="1348743"/>
        </a:xfrm>
        <a:prstGeom prst="rect">
          <a:avLst/>
        </a:prstGeom>
      </xdr:spPr>
    </xdr:pic>
    <xdr:clientData/>
  </xdr:twoCellAnchor>
  <xdr:twoCellAnchor editAs="oneCell">
    <xdr:from>
      <xdr:col>7</xdr:col>
      <xdr:colOff>923925</xdr:colOff>
      <xdr:row>274</xdr:row>
      <xdr:rowOff>116700</xdr:rowOff>
    </xdr:from>
    <xdr:to>
      <xdr:col>9</xdr:col>
      <xdr:colOff>347854</xdr:colOff>
      <xdr:row>275</xdr:row>
      <xdr:rowOff>223381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29050" y="37521375"/>
          <a:ext cx="490729" cy="335281"/>
        </a:xfrm>
        <a:prstGeom prst="rect">
          <a:avLst/>
        </a:prstGeom>
      </xdr:spPr>
    </xdr:pic>
    <xdr:clientData/>
  </xdr:twoCellAnchor>
  <xdr:twoCellAnchor editAs="oneCell">
    <xdr:from>
      <xdr:col>11</xdr:col>
      <xdr:colOff>235725</xdr:colOff>
      <xdr:row>272</xdr:row>
      <xdr:rowOff>142875</xdr:rowOff>
    </xdr:from>
    <xdr:to>
      <xdr:col>12</xdr:col>
      <xdr:colOff>836565</xdr:colOff>
      <xdr:row>278</xdr:row>
      <xdr:rowOff>120018</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41250" y="37090350"/>
          <a:ext cx="1581915" cy="1348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28576</xdr:rowOff>
    </xdr:from>
    <xdr:to>
      <xdr:col>3</xdr:col>
      <xdr:colOff>105537</xdr:colOff>
      <xdr:row>6</xdr:row>
      <xdr:rowOff>95813</xdr:rowOff>
    </xdr:to>
    <xdr:pic>
      <xdr:nvPicPr>
        <xdr:cNvPr id="2" name="Picture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8576"/>
          <a:ext cx="1353312" cy="1267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ver%20PC\Desktop\Budget%20Office%20Files\Budget%20Office%20Files\BUDGET%202022\Annual-Budget-2022-FINAL%20COPY%20(S'%20Arjay's%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1"/>
      <sheetName val="LBP NO. 2"/>
      <sheetName val="LBP NO. 2a"/>
      <sheetName val="LBP NO. 3a per office"/>
      <sheetName val="LBP No. 4"/>
      <sheetName val="LBP NO. 5"/>
      <sheetName val="LBP NO. 6"/>
      <sheetName val="PROPOSED BUDGET"/>
      <sheetName val="2022 Annual Budget"/>
    </sheetNames>
    <sheetDataSet>
      <sheetData sheetId="0"/>
      <sheetData sheetId="1">
        <row r="21">
          <cell r="I21">
            <v>55000</v>
          </cell>
        </row>
        <row r="1004">
          <cell r="H1004" t="str">
            <v>5-01-02-990</v>
          </cell>
        </row>
      </sheetData>
      <sheetData sheetId="2">
        <row r="43">
          <cell r="G43">
            <v>5262350.0999999996</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X1910"/>
  <sheetViews>
    <sheetView tabSelected="1" workbookViewId="0">
      <selection activeCell="H5" sqref="H5"/>
    </sheetView>
  </sheetViews>
  <sheetFormatPr defaultRowHeight="15"/>
  <cols>
    <col min="1" max="1" width="2.7109375" style="53" customWidth="1"/>
    <col min="2" max="2" width="3.140625" style="53" customWidth="1"/>
    <col min="3" max="3" width="3" style="53" customWidth="1"/>
    <col min="4" max="4" width="1.5703125" style="53" customWidth="1"/>
    <col min="5" max="5" width="1.7109375" style="53" customWidth="1"/>
    <col min="6" max="6" width="33.140625" style="53" customWidth="1"/>
    <col min="7" max="7" width="4.85546875" style="53" hidden="1" customWidth="1"/>
    <col min="8" max="8" width="12" style="52" customWidth="1"/>
    <col min="9" max="9" width="15.28515625" style="52" customWidth="1"/>
    <col min="10" max="10" width="18.28515625" style="52" customWidth="1"/>
    <col min="11" max="11" width="15.140625" style="52" customWidth="1"/>
    <col min="12" max="12" width="16.42578125" style="52" customWidth="1"/>
    <col min="13" max="13" width="15.28515625" style="52" customWidth="1"/>
    <col min="14" max="14" width="9.140625" style="53"/>
    <col min="15" max="15" width="18.85546875" style="166" bestFit="1" customWidth="1"/>
    <col min="16" max="16" width="17.5703125" style="53" bestFit="1" customWidth="1"/>
    <col min="17" max="21" width="14" style="53" bestFit="1" customWidth="1"/>
    <col min="22" max="16384" width="9.140625" style="53"/>
  </cols>
  <sheetData>
    <row r="1" spans="1:15" s="138" customFormat="1" ht="12.75">
      <c r="A1" s="137" t="s">
        <v>546</v>
      </c>
      <c r="B1" s="137"/>
      <c r="C1" s="137"/>
      <c r="D1" s="137"/>
      <c r="E1" s="137"/>
      <c r="F1" s="137"/>
      <c r="G1" s="137"/>
      <c r="H1" s="137"/>
      <c r="I1" s="137"/>
      <c r="J1" s="137"/>
      <c r="K1" s="137"/>
      <c r="L1" s="137"/>
      <c r="M1" s="137"/>
      <c r="O1" s="232"/>
    </row>
    <row r="2" spans="1:15" s="138" customFormat="1" ht="14.45" customHeight="1">
      <c r="A2" s="137" t="s">
        <v>547</v>
      </c>
      <c r="B2" s="137"/>
      <c r="C2" s="137"/>
      <c r="D2" s="137"/>
      <c r="E2" s="137"/>
      <c r="F2" s="137"/>
      <c r="G2" s="137"/>
      <c r="H2" s="137"/>
      <c r="I2" s="137"/>
      <c r="J2" s="137"/>
      <c r="K2" s="137"/>
      <c r="L2" s="137"/>
      <c r="M2" s="137"/>
      <c r="O2" s="232"/>
    </row>
    <row r="3" spans="1:15" s="138" customFormat="1" ht="14.45" customHeight="1">
      <c r="A3" s="137" t="s">
        <v>548</v>
      </c>
      <c r="B3" s="137"/>
      <c r="C3" s="137"/>
      <c r="D3" s="137"/>
      <c r="E3" s="137"/>
      <c r="F3" s="137"/>
      <c r="G3" s="137"/>
      <c r="H3" s="137"/>
      <c r="I3" s="137"/>
      <c r="J3" s="137"/>
      <c r="K3" s="137"/>
      <c r="L3" s="137"/>
      <c r="M3" s="137"/>
      <c r="O3" s="232"/>
    </row>
    <row r="4" spans="1:15" s="138" customFormat="1" ht="12.75">
      <c r="A4" s="137"/>
      <c r="B4" s="137"/>
      <c r="C4" s="137"/>
      <c r="D4" s="137"/>
      <c r="E4" s="137"/>
      <c r="F4" s="137"/>
      <c r="G4" s="137"/>
      <c r="H4" s="137"/>
      <c r="I4" s="137"/>
      <c r="J4" s="137"/>
      <c r="K4" s="137"/>
      <c r="L4" s="137"/>
      <c r="M4" s="137"/>
      <c r="O4" s="232"/>
    </row>
    <row r="5" spans="1:15" s="138" customFormat="1" ht="12.75">
      <c r="A5" s="137"/>
      <c r="B5" s="137"/>
      <c r="C5" s="137"/>
      <c r="D5" s="137"/>
      <c r="E5" s="137"/>
      <c r="F5" s="137"/>
      <c r="G5" s="137"/>
      <c r="H5" s="137"/>
      <c r="I5" s="137"/>
      <c r="J5" s="137"/>
      <c r="K5" s="137"/>
      <c r="L5" s="137"/>
      <c r="M5" s="137"/>
      <c r="O5" s="232"/>
    </row>
    <row r="6" spans="1:15" s="138" customFormat="1" ht="12.75">
      <c r="A6" s="137"/>
      <c r="B6" s="137"/>
      <c r="C6" s="137"/>
      <c r="D6" s="137"/>
      <c r="E6" s="137"/>
      <c r="F6" s="137"/>
      <c r="G6" s="137"/>
      <c r="H6" s="137"/>
      <c r="I6" s="137"/>
      <c r="J6" s="137"/>
      <c r="K6" s="137"/>
      <c r="L6" s="137"/>
      <c r="M6" s="137"/>
      <c r="O6" s="232"/>
    </row>
    <row r="7" spans="1:15" s="141" customFormat="1" ht="15.75">
      <c r="A7" s="519" t="s">
        <v>549</v>
      </c>
      <c r="B7" s="519"/>
      <c r="C7" s="519"/>
      <c r="D7" s="519"/>
      <c r="E7" s="519"/>
      <c r="F7" s="519"/>
      <c r="G7" s="519"/>
      <c r="H7" s="519"/>
      <c r="I7" s="519"/>
      <c r="J7" s="519"/>
      <c r="K7" s="519"/>
      <c r="L7" s="519"/>
      <c r="M7" s="519"/>
      <c r="O7" s="233"/>
    </row>
    <row r="8" spans="1:15" s="141" customFormat="1" ht="15.75">
      <c r="A8" s="142"/>
      <c r="B8" s="142"/>
      <c r="C8" s="142"/>
      <c r="D8" s="142"/>
      <c r="E8" s="142"/>
      <c r="F8" s="142"/>
      <c r="G8" s="142"/>
      <c r="H8" s="142"/>
      <c r="I8" s="142"/>
      <c r="J8" s="142"/>
      <c r="K8" s="142"/>
      <c r="L8" s="142"/>
      <c r="M8" s="142"/>
      <c r="O8" s="233"/>
    </row>
    <row r="9" spans="1:15" s="141" customFormat="1" ht="15.75">
      <c r="A9" s="142" t="s">
        <v>550</v>
      </c>
      <c r="B9" s="142"/>
      <c r="C9" s="142"/>
      <c r="F9" s="142" t="s">
        <v>37</v>
      </c>
      <c r="G9" s="142"/>
      <c r="H9" s="142"/>
      <c r="I9" s="142"/>
      <c r="J9" s="142" t="s">
        <v>551</v>
      </c>
      <c r="K9" s="170" t="s">
        <v>604</v>
      </c>
      <c r="L9" s="142"/>
      <c r="M9" s="142"/>
      <c r="O9" s="233"/>
    </row>
    <row r="10" spans="1:15" s="141" customFormat="1" ht="15.75">
      <c r="A10" s="142" t="s">
        <v>552</v>
      </c>
      <c r="B10" s="142"/>
      <c r="C10" s="142"/>
      <c r="E10" s="142"/>
      <c r="F10" s="142" t="s">
        <v>554</v>
      </c>
      <c r="G10" s="142"/>
      <c r="H10" s="142"/>
      <c r="I10" s="142"/>
      <c r="J10" s="142" t="s">
        <v>553</v>
      </c>
      <c r="K10" s="50" t="s">
        <v>457</v>
      </c>
      <c r="L10" s="142"/>
      <c r="M10" s="142"/>
      <c r="O10" s="233"/>
    </row>
    <row r="11" spans="1:15" s="141" customFormat="1" ht="15.75">
      <c r="A11" s="142" t="s">
        <v>555</v>
      </c>
      <c r="B11" s="142"/>
      <c r="C11" s="142"/>
      <c r="D11" s="142"/>
      <c r="E11" s="142"/>
      <c r="F11" s="142"/>
      <c r="G11" s="142"/>
      <c r="H11" s="142"/>
      <c r="I11" s="142"/>
      <c r="J11" s="142"/>
      <c r="K11" s="142"/>
      <c r="L11" s="142"/>
      <c r="M11" s="142"/>
      <c r="O11" s="233"/>
    </row>
    <row r="12" spans="1:15" ht="18" customHeight="1" thickBot="1">
      <c r="A12" s="168"/>
      <c r="B12" s="168"/>
      <c r="C12" s="168"/>
      <c r="D12" s="168"/>
      <c r="E12" s="168"/>
      <c r="F12" s="168"/>
      <c r="G12" s="168"/>
      <c r="H12" s="168"/>
      <c r="I12" s="168"/>
      <c r="J12" s="168"/>
      <c r="K12" s="168"/>
      <c r="L12" s="168"/>
      <c r="M12" s="168"/>
    </row>
    <row r="13" spans="1:15" ht="18" customHeight="1">
      <c r="A13" s="255"/>
      <c r="B13" s="256"/>
      <c r="C13" s="256"/>
      <c r="D13" s="256"/>
      <c r="E13" s="256"/>
      <c r="F13" s="257"/>
      <c r="G13" s="258"/>
      <c r="H13" s="259"/>
      <c r="I13" s="259" t="s">
        <v>6</v>
      </c>
      <c r="J13" s="520" t="s">
        <v>545</v>
      </c>
      <c r="K13" s="521"/>
      <c r="L13" s="522"/>
      <c r="M13" s="260" t="s">
        <v>7</v>
      </c>
    </row>
    <row r="14" spans="1:15" ht="18" customHeight="1">
      <c r="A14" s="523"/>
      <c r="B14" s="524"/>
      <c r="C14" s="524"/>
      <c r="D14" s="524"/>
      <c r="E14" s="524"/>
      <c r="F14" s="525"/>
      <c r="G14" s="448"/>
      <c r="H14" s="261"/>
      <c r="I14" s="261">
        <v>2022</v>
      </c>
      <c r="J14" s="261" t="s">
        <v>192</v>
      </c>
      <c r="K14" s="261" t="s">
        <v>193</v>
      </c>
      <c r="L14" s="261"/>
      <c r="M14" s="262">
        <v>2024</v>
      </c>
    </row>
    <row r="15" spans="1:15" ht="18" customHeight="1">
      <c r="A15" s="523" t="s">
        <v>13</v>
      </c>
      <c r="B15" s="524"/>
      <c r="C15" s="524"/>
      <c r="D15" s="524"/>
      <c r="E15" s="524"/>
      <c r="F15" s="525"/>
      <c r="G15" s="263"/>
      <c r="H15" s="264" t="s">
        <v>243</v>
      </c>
      <c r="I15" s="261" t="s">
        <v>191</v>
      </c>
      <c r="J15" s="261" t="s">
        <v>191</v>
      </c>
      <c r="K15" s="261" t="s">
        <v>194</v>
      </c>
      <c r="L15" s="261" t="s">
        <v>11</v>
      </c>
      <c r="M15" s="262" t="s">
        <v>196</v>
      </c>
    </row>
    <row r="16" spans="1:15" ht="18" customHeight="1">
      <c r="A16" s="265"/>
      <c r="B16" s="266"/>
      <c r="C16" s="266"/>
      <c r="D16" s="266"/>
      <c r="E16" s="266"/>
      <c r="F16" s="267"/>
      <c r="G16" s="263"/>
      <c r="H16" s="261"/>
      <c r="I16" s="261"/>
      <c r="J16" s="261">
        <v>2023</v>
      </c>
      <c r="K16" s="261">
        <v>2023</v>
      </c>
      <c r="L16" s="261"/>
      <c r="M16" s="262"/>
    </row>
    <row r="17" spans="1:24" ht="18" customHeight="1" thickBot="1">
      <c r="A17" s="526"/>
      <c r="B17" s="527"/>
      <c r="C17" s="527"/>
      <c r="D17" s="527"/>
      <c r="E17" s="527"/>
      <c r="F17" s="528"/>
      <c r="G17" s="449"/>
      <c r="H17" s="268"/>
      <c r="I17" s="369"/>
      <c r="J17" s="268"/>
      <c r="K17" s="268"/>
      <c r="L17" s="268"/>
      <c r="M17" s="269"/>
    </row>
    <row r="18" spans="1:24" ht="18" customHeight="1">
      <c r="A18" s="462"/>
      <c r="B18" s="193" t="s">
        <v>66</v>
      </c>
      <c r="C18" s="283"/>
      <c r="D18" s="193"/>
      <c r="E18" s="193"/>
      <c r="F18" s="463"/>
      <c r="G18" s="464"/>
      <c r="H18" s="465"/>
      <c r="I18" s="466"/>
      <c r="J18" s="467"/>
      <c r="K18" s="467"/>
      <c r="L18" s="467"/>
      <c r="M18" s="467"/>
    </row>
    <row r="19" spans="1:24" ht="18" customHeight="1">
      <c r="A19" s="270"/>
      <c r="B19" s="271"/>
      <c r="C19" s="271" t="s">
        <v>148</v>
      </c>
      <c r="D19" s="271"/>
      <c r="E19" s="271"/>
      <c r="F19" s="272"/>
      <c r="G19" s="273"/>
      <c r="H19" s="274"/>
      <c r="I19" s="208"/>
      <c r="J19" s="209"/>
      <c r="K19" s="209"/>
      <c r="L19" s="209"/>
      <c r="M19" s="209"/>
    </row>
    <row r="20" spans="1:24" ht="18" customHeight="1">
      <c r="A20" s="270"/>
      <c r="B20" s="271"/>
      <c r="C20" s="271"/>
      <c r="D20" s="271" t="s">
        <v>149</v>
      </c>
      <c r="E20" s="271"/>
      <c r="F20" s="272"/>
      <c r="G20" s="273" t="s">
        <v>213</v>
      </c>
      <c r="H20" s="275" t="s">
        <v>257</v>
      </c>
      <c r="I20" s="190">
        <v>4582487</v>
      </c>
      <c r="J20" s="62">
        <v>5657097</v>
      </c>
      <c r="K20" s="62">
        <f>5722908-J20</f>
        <v>65811</v>
      </c>
      <c r="L20" s="62">
        <f>SUM(K20+J20)</f>
        <v>5722908</v>
      </c>
      <c r="M20" s="62">
        <v>5600000</v>
      </c>
      <c r="P20" s="81"/>
      <c r="Q20" s="81"/>
      <c r="R20" s="81"/>
      <c r="S20" s="81"/>
      <c r="T20" s="81"/>
    </row>
    <row r="21" spans="1:24" ht="18" customHeight="1">
      <c r="A21" s="270"/>
      <c r="B21" s="271"/>
      <c r="C21" s="271"/>
      <c r="D21" s="271" t="s">
        <v>106</v>
      </c>
      <c r="E21" s="271"/>
      <c r="F21" s="272"/>
      <c r="G21" s="273"/>
      <c r="H21" s="275" t="s">
        <v>259</v>
      </c>
      <c r="I21" s="190">
        <v>1659684</v>
      </c>
      <c r="J21" s="62">
        <v>1411386.37</v>
      </c>
      <c r="K21" s="62">
        <f>1723800-J21</f>
        <v>312413.62999999989</v>
      </c>
      <c r="L21" s="62">
        <f>SUM(K21+J21)</f>
        <v>1723800</v>
      </c>
      <c r="M21" s="62">
        <v>1723800</v>
      </c>
      <c r="P21" s="81"/>
      <c r="Q21" s="81"/>
      <c r="R21" s="81"/>
      <c r="S21" s="81"/>
    </row>
    <row r="22" spans="1:24" ht="18" customHeight="1">
      <c r="A22" s="270"/>
      <c r="B22" s="271"/>
      <c r="C22" s="271" t="s">
        <v>150</v>
      </c>
      <c r="D22" s="271"/>
      <c r="E22" s="271"/>
      <c r="F22" s="272"/>
      <c r="G22" s="273"/>
      <c r="H22" s="276"/>
      <c r="I22" s="190"/>
      <c r="J22" s="62"/>
      <c r="K22" s="62"/>
      <c r="L22" s="62"/>
      <c r="M22" s="62"/>
    </row>
    <row r="23" spans="1:24" ht="18" customHeight="1">
      <c r="A23" s="270"/>
      <c r="B23" s="271"/>
      <c r="C23" s="271"/>
      <c r="D23" s="271" t="s">
        <v>151</v>
      </c>
      <c r="E23" s="271"/>
      <c r="F23" s="272"/>
      <c r="G23" s="273" t="s">
        <v>214</v>
      </c>
      <c r="H23" s="275" t="s">
        <v>258</v>
      </c>
      <c r="I23" s="190">
        <v>662000</v>
      </c>
      <c r="J23" s="62">
        <v>707909.09</v>
      </c>
      <c r="K23" s="62">
        <f>744000-J23</f>
        <v>36090.910000000033</v>
      </c>
      <c r="L23" s="62">
        <f t="shared" ref="L23:L43" si="0">SUM(K23+J23)</f>
        <v>744000</v>
      </c>
      <c r="M23" s="62">
        <v>744000</v>
      </c>
      <c r="P23" s="81"/>
      <c r="Q23" s="81"/>
      <c r="R23" s="81"/>
      <c r="S23" s="81"/>
    </row>
    <row r="24" spans="1:24" ht="18" customHeight="1">
      <c r="A24" s="270"/>
      <c r="B24" s="271"/>
      <c r="C24" s="271"/>
      <c r="D24" s="271" t="s">
        <v>161</v>
      </c>
      <c r="E24" s="271"/>
      <c r="F24" s="272"/>
      <c r="G24" s="273" t="s">
        <v>215</v>
      </c>
      <c r="H24" s="275" t="s">
        <v>259</v>
      </c>
      <c r="I24" s="190">
        <v>91800</v>
      </c>
      <c r="J24" s="62">
        <v>91800</v>
      </c>
      <c r="K24" s="62">
        <f>91800-J24</f>
        <v>0</v>
      </c>
      <c r="L24" s="62">
        <f t="shared" si="0"/>
        <v>91800</v>
      </c>
      <c r="M24" s="62">
        <v>91800</v>
      </c>
      <c r="P24" s="81"/>
      <c r="Q24" s="81"/>
      <c r="R24" s="81"/>
      <c r="S24" s="81"/>
      <c r="T24" s="81"/>
      <c r="U24" s="81"/>
      <c r="V24" s="81"/>
      <c r="W24" s="81"/>
      <c r="X24" s="81"/>
    </row>
    <row r="25" spans="1:24" ht="18" customHeight="1">
      <c r="A25" s="270"/>
      <c r="B25" s="271"/>
      <c r="C25" s="271"/>
      <c r="D25" s="271" t="s">
        <v>160</v>
      </c>
      <c r="E25" s="271"/>
      <c r="F25" s="272"/>
      <c r="G25" s="273" t="s">
        <v>216</v>
      </c>
      <c r="H25" s="275" t="s">
        <v>260</v>
      </c>
      <c r="I25" s="190">
        <v>0</v>
      </c>
      <c r="J25" s="62">
        <v>0</v>
      </c>
      <c r="K25" s="62">
        <f>0-J25</f>
        <v>0</v>
      </c>
      <c r="L25" s="62">
        <f t="shared" si="0"/>
        <v>0</v>
      </c>
      <c r="M25" s="62">
        <v>91800</v>
      </c>
      <c r="P25" s="81"/>
      <c r="Q25" s="81"/>
      <c r="R25" s="81"/>
      <c r="S25" s="81"/>
    </row>
    <row r="26" spans="1:24" ht="18" customHeight="1">
      <c r="A26" s="270"/>
      <c r="B26" s="271"/>
      <c r="C26" s="271"/>
      <c r="D26" s="271" t="s">
        <v>162</v>
      </c>
      <c r="E26" s="271"/>
      <c r="F26" s="272"/>
      <c r="G26" s="273" t="s">
        <v>217</v>
      </c>
      <c r="H26" s="275" t="s">
        <v>261</v>
      </c>
      <c r="I26" s="190">
        <v>162000</v>
      </c>
      <c r="J26" s="62">
        <v>174000</v>
      </c>
      <c r="K26" s="62">
        <f>186000-J26</f>
        <v>12000</v>
      </c>
      <c r="L26" s="62">
        <f t="shared" si="0"/>
        <v>186000</v>
      </c>
      <c r="M26" s="62">
        <v>186000</v>
      </c>
      <c r="P26" s="81"/>
      <c r="Q26" s="81"/>
      <c r="R26" s="81"/>
      <c r="S26" s="81"/>
    </row>
    <row r="27" spans="1:24" ht="18" customHeight="1">
      <c r="A27" s="270"/>
      <c r="B27" s="271"/>
      <c r="C27" s="271"/>
      <c r="D27" s="271" t="s">
        <v>255</v>
      </c>
      <c r="E27" s="271"/>
      <c r="F27" s="272"/>
      <c r="G27" s="273" t="s">
        <v>219</v>
      </c>
      <c r="H27" s="275" t="s">
        <v>262</v>
      </c>
      <c r="I27" s="190">
        <v>150000</v>
      </c>
      <c r="J27" s="62">
        <v>145000</v>
      </c>
      <c r="K27" s="62">
        <f>155000-J27</f>
        <v>10000</v>
      </c>
      <c r="L27" s="62">
        <f t="shared" si="0"/>
        <v>155000</v>
      </c>
      <c r="M27" s="62">
        <v>155000</v>
      </c>
      <c r="P27" s="81"/>
      <c r="Q27" s="81"/>
      <c r="R27" s="81"/>
      <c r="S27" s="81"/>
    </row>
    <row r="28" spans="1:24" ht="18" customHeight="1">
      <c r="A28" s="270"/>
      <c r="B28" s="271"/>
      <c r="C28" s="271"/>
      <c r="D28" s="271" t="s">
        <v>164</v>
      </c>
      <c r="E28" s="271"/>
      <c r="F28" s="272"/>
      <c r="G28" s="273" t="s">
        <v>108</v>
      </c>
      <c r="H28" s="275" t="s">
        <v>263</v>
      </c>
      <c r="I28" s="190">
        <v>0</v>
      </c>
      <c r="J28" s="62">
        <v>10000</v>
      </c>
      <c r="K28" s="62">
        <f>10000-J28</f>
        <v>0</v>
      </c>
      <c r="L28" s="62">
        <f t="shared" si="0"/>
        <v>10000</v>
      </c>
      <c r="M28" s="62">
        <v>15000</v>
      </c>
      <c r="P28" s="81"/>
      <c r="Q28" s="81"/>
      <c r="R28" s="81"/>
      <c r="S28" s="81"/>
    </row>
    <row r="29" spans="1:24" ht="18" customHeight="1">
      <c r="A29" s="270"/>
      <c r="B29" s="271"/>
      <c r="C29" s="271"/>
      <c r="D29" s="271" t="s">
        <v>475</v>
      </c>
      <c r="E29" s="271"/>
      <c r="F29" s="272"/>
      <c r="G29" s="273"/>
      <c r="H29" s="275" t="s">
        <v>263</v>
      </c>
      <c r="I29" s="190">
        <v>264940.14</v>
      </c>
      <c r="J29" s="62">
        <v>0</v>
      </c>
      <c r="K29" s="62">
        <f>0-J29</f>
        <v>0</v>
      </c>
      <c r="L29" s="62">
        <f t="shared" si="0"/>
        <v>0</v>
      </c>
      <c r="M29" s="62">
        <v>0</v>
      </c>
      <c r="P29" s="81"/>
      <c r="Q29" s="81"/>
      <c r="R29" s="81"/>
      <c r="S29" s="81"/>
    </row>
    <row r="30" spans="1:24" ht="18" customHeight="1">
      <c r="A30" s="270"/>
      <c r="B30" s="271"/>
      <c r="C30" s="271"/>
      <c r="D30" s="271" t="s">
        <v>67</v>
      </c>
      <c r="E30" s="271"/>
      <c r="F30" s="272"/>
      <c r="G30" s="273"/>
      <c r="H30" s="275" t="s">
        <v>280</v>
      </c>
      <c r="I30" s="190"/>
      <c r="J30" s="62">
        <v>0</v>
      </c>
      <c r="K30" s="62">
        <f>50000-J30</f>
        <v>50000</v>
      </c>
      <c r="L30" s="62">
        <f t="shared" si="0"/>
        <v>50000</v>
      </c>
      <c r="M30" s="62">
        <v>75000</v>
      </c>
      <c r="P30" s="81"/>
      <c r="Q30" s="81"/>
      <c r="R30" s="81"/>
      <c r="S30" s="81"/>
    </row>
    <row r="31" spans="1:24" ht="18" customHeight="1">
      <c r="A31" s="270"/>
      <c r="B31" s="271"/>
      <c r="C31" s="271"/>
      <c r="D31" s="271" t="s">
        <v>166</v>
      </c>
      <c r="E31" s="271"/>
      <c r="F31" s="272"/>
      <c r="G31" s="273" t="s">
        <v>222</v>
      </c>
      <c r="H31" s="275" t="s">
        <v>264</v>
      </c>
      <c r="I31" s="190">
        <v>150000</v>
      </c>
      <c r="J31" s="62">
        <v>142000</v>
      </c>
      <c r="K31" s="62">
        <f>155000-J31</f>
        <v>13000</v>
      </c>
      <c r="L31" s="62">
        <f t="shared" si="0"/>
        <v>155000</v>
      </c>
      <c r="M31" s="62">
        <v>155000</v>
      </c>
      <c r="P31" s="81"/>
      <c r="Q31" s="81"/>
      <c r="R31" s="81"/>
      <c r="S31" s="81"/>
    </row>
    <row r="32" spans="1:24" ht="18" customHeight="1">
      <c r="A32" s="270"/>
      <c r="B32" s="271"/>
      <c r="C32" s="271"/>
      <c r="D32" s="271" t="s">
        <v>374</v>
      </c>
      <c r="E32" s="271"/>
      <c r="F32" s="271"/>
      <c r="G32" s="277" t="s">
        <v>108</v>
      </c>
      <c r="H32" s="275" t="s">
        <v>263</v>
      </c>
      <c r="I32" s="190">
        <v>503320</v>
      </c>
      <c r="J32" s="62">
        <v>575095</v>
      </c>
      <c r="K32" s="62">
        <f>620587-J32</f>
        <v>45492</v>
      </c>
      <c r="L32" s="62">
        <f t="shared" si="0"/>
        <v>620587</v>
      </c>
      <c r="M32" s="62">
        <v>608446</v>
      </c>
      <c r="P32" s="81"/>
      <c r="Q32" s="81"/>
      <c r="R32" s="81"/>
      <c r="S32" s="81"/>
    </row>
    <row r="33" spans="1:19" ht="18" hidden="1" customHeight="1">
      <c r="A33" s="270"/>
      <c r="B33" s="271"/>
      <c r="C33" s="271"/>
      <c r="D33" s="271" t="s">
        <v>487</v>
      </c>
      <c r="E33" s="271"/>
      <c r="F33" s="271"/>
      <c r="G33" s="277"/>
      <c r="H33" s="275" t="s">
        <v>263</v>
      </c>
      <c r="I33" s="190">
        <v>0</v>
      </c>
      <c r="J33" s="62">
        <v>0</v>
      </c>
      <c r="K33" s="62">
        <f>0-J33</f>
        <v>0</v>
      </c>
      <c r="L33" s="62">
        <f t="shared" si="0"/>
        <v>0</v>
      </c>
      <c r="M33" s="62">
        <v>0</v>
      </c>
      <c r="P33" s="81"/>
      <c r="Q33" s="81"/>
      <c r="R33" s="81"/>
      <c r="S33" s="81"/>
    </row>
    <row r="34" spans="1:19" ht="18" customHeight="1">
      <c r="A34" s="270"/>
      <c r="B34" s="271"/>
      <c r="C34" s="271"/>
      <c r="D34" s="271" t="s">
        <v>165</v>
      </c>
      <c r="E34" s="271"/>
      <c r="F34" s="272"/>
      <c r="G34" s="277" t="s">
        <v>220</v>
      </c>
      <c r="H34" s="275" t="s">
        <v>279</v>
      </c>
      <c r="I34" s="190">
        <v>15000</v>
      </c>
      <c r="J34" s="62"/>
      <c r="K34" s="62">
        <f>0-J34</f>
        <v>0</v>
      </c>
      <c r="L34" s="62">
        <f t="shared" si="0"/>
        <v>0</v>
      </c>
      <c r="M34" s="62">
        <v>0</v>
      </c>
      <c r="P34" s="81"/>
      <c r="Q34" s="81"/>
      <c r="R34" s="81"/>
      <c r="S34" s="81"/>
    </row>
    <row r="35" spans="1:19" ht="18" customHeight="1">
      <c r="A35" s="270"/>
      <c r="B35" s="271"/>
      <c r="C35" s="271"/>
      <c r="D35" s="271" t="s">
        <v>167</v>
      </c>
      <c r="E35" s="271"/>
      <c r="F35" s="272"/>
      <c r="G35" s="273" t="s">
        <v>223</v>
      </c>
      <c r="H35" s="275" t="s">
        <v>265</v>
      </c>
      <c r="I35" s="190">
        <v>577942</v>
      </c>
      <c r="J35" s="62">
        <v>573870</v>
      </c>
      <c r="K35" s="62">
        <f>620587-J35</f>
        <v>46717</v>
      </c>
      <c r="L35" s="62">
        <f t="shared" si="0"/>
        <v>620587</v>
      </c>
      <c r="M35" s="62">
        <v>608599</v>
      </c>
      <c r="P35" s="81"/>
      <c r="Q35" s="81"/>
      <c r="R35" s="81"/>
      <c r="S35" s="81"/>
    </row>
    <row r="36" spans="1:19" ht="18" customHeight="1">
      <c r="A36" s="270"/>
      <c r="B36" s="271"/>
      <c r="C36" s="271"/>
      <c r="D36" s="271" t="s">
        <v>249</v>
      </c>
      <c r="E36" s="271"/>
      <c r="F36" s="272"/>
      <c r="G36" s="273" t="s">
        <v>224</v>
      </c>
      <c r="H36" s="275" t="s">
        <v>266</v>
      </c>
      <c r="I36" s="190">
        <v>756600</v>
      </c>
      <c r="J36" s="62">
        <v>876242.09</v>
      </c>
      <c r="K36" s="62">
        <f>894000-J36</f>
        <v>17757.910000000033</v>
      </c>
      <c r="L36" s="62">
        <f t="shared" si="0"/>
        <v>894000</v>
      </c>
      <c r="M36" s="62">
        <v>880000</v>
      </c>
      <c r="P36" s="81"/>
      <c r="Q36" s="81"/>
      <c r="R36" s="81"/>
      <c r="S36" s="81"/>
    </row>
    <row r="37" spans="1:19" ht="18" customHeight="1">
      <c r="A37" s="270"/>
      <c r="B37" s="271"/>
      <c r="C37" s="271"/>
      <c r="D37" s="271" t="s">
        <v>168</v>
      </c>
      <c r="E37" s="271"/>
      <c r="F37" s="272"/>
      <c r="G37" s="273" t="s">
        <v>225</v>
      </c>
      <c r="H37" s="275" t="s">
        <v>267</v>
      </c>
      <c r="I37" s="190">
        <v>49750</v>
      </c>
      <c r="J37" s="62">
        <v>35900</v>
      </c>
      <c r="K37" s="62">
        <f>55800-J37</f>
        <v>19900</v>
      </c>
      <c r="L37" s="62">
        <f t="shared" si="0"/>
        <v>55800</v>
      </c>
      <c r="M37" s="62">
        <v>55800</v>
      </c>
      <c r="P37" s="81"/>
      <c r="Q37" s="81"/>
      <c r="R37" s="81"/>
      <c r="S37" s="81"/>
    </row>
    <row r="38" spans="1:19" ht="18" customHeight="1">
      <c r="A38" s="270"/>
      <c r="B38" s="271"/>
      <c r="C38" s="271"/>
      <c r="D38" s="271" t="s">
        <v>169</v>
      </c>
      <c r="E38" s="271"/>
      <c r="F38" s="272"/>
      <c r="G38" s="273" t="s">
        <v>226</v>
      </c>
      <c r="H38" s="275" t="s">
        <v>268</v>
      </c>
      <c r="I38" s="190">
        <v>126060</v>
      </c>
      <c r="J38" s="62">
        <v>134385</v>
      </c>
      <c r="K38" s="62">
        <f>168000-J38</f>
        <v>33615</v>
      </c>
      <c r="L38" s="62">
        <f t="shared" si="0"/>
        <v>168000</v>
      </c>
      <c r="M38" s="62">
        <v>183500</v>
      </c>
      <c r="P38" s="81"/>
      <c r="Q38" s="81"/>
      <c r="R38" s="81"/>
      <c r="S38" s="81"/>
    </row>
    <row r="39" spans="1:19" ht="18" customHeight="1">
      <c r="A39" s="270"/>
      <c r="B39" s="271"/>
      <c r="C39" s="271"/>
      <c r="D39" s="271" t="s">
        <v>248</v>
      </c>
      <c r="E39" s="271"/>
      <c r="F39" s="272"/>
      <c r="G39" s="273" t="s">
        <v>227</v>
      </c>
      <c r="H39" s="275" t="s">
        <v>269</v>
      </c>
      <c r="I39" s="190">
        <v>33100</v>
      </c>
      <c r="J39" s="62">
        <v>37200</v>
      </c>
      <c r="K39" s="62">
        <f>37200-J39</f>
        <v>0</v>
      </c>
      <c r="L39" s="62">
        <f t="shared" si="0"/>
        <v>37200</v>
      </c>
      <c r="M39" s="62">
        <v>37200</v>
      </c>
      <c r="P39" s="81"/>
      <c r="Q39" s="81"/>
      <c r="R39" s="81"/>
      <c r="S39" s="81"/>
    </row>
    <row r="40" spans="1:19" ht="18" customHeight="1">
      <c r="A40" s="270"/>
      <c r="B40" s="271"/>
      <c r="C40" s="271"/>
      <c r="D40" s="271" t="s">
        <v>69</v>
      </c>
      <c r="E40" s="271"/>
      <c r="F40" s="272"/>
      <c r="G40" s="273" t="s">
        <v>228</v>
      </c>
      <c r="H40" s="275" t="s">
        <v>270</v>
      </c>
      <c r="I40" s="190">
        <v>1300000</v>
      </c>
      <c r="J40" s="62">
        <v>0</v>
      </c>
      <c r="K40" s="62">
        <f>0-J40</f>
        <v>0</v>
      </c>
      <c r="L40" s="62">
        <f t="shared" si="0"/>
        <v>0</v>
      </c>
      <c r="M40" s="62">
        <v>0</v>
      </c>
      <c r="P40" s="81"/>
      <c r="Q40" s="81"/>
      <c r="R40" s="81"/>
      <c r="S40" s="81"/>
    </row>
    <row r="41" spans="1:19" ht="18" customHeight="1">
      <c r="A41" s="270"/>
      <c r="B41" s="271"/>
      <c r="C41" s="271"/>
      <c r="D41" s="271" t="s">
        <v>171</v>
      </c>
      <c r="E41" s="271"/>
      <c r="F41" s="272"/>
      <c r="G41" s="273" t="s">
        <v>82</v>
      </c>
      <c r="H41" s="275" t="s">
        <v>281</v>
      </c>
      <c r="I41" s="190">
        <v>0</v>
      </c>
      <c r="J41" s="62">
        <v>0</v>
      </c>
      <c r="K41" s="62">
        <f>0-J41</f>
        <v>0</v>
      </c>
      <c r="L41" s="62">
        <f t="shared" si="0"/>
        <v>0</v>
      </c>
      <c r="M41" s="62"/>
      <c r="P41" s="81"/>
      <c r="Q41" s="81"/>
      <c r="R41" s="81"/>
      <c r="S41" s="81"/>
    </row>
    <row r="42" spans="1:19" ht="18" customHeight="1">
      <c r="A42" s="270"/>
      <c r="B42" s="271"/>
      <c r="C42" s="271"/>
      <c r="D42" s="271" t="s">
        <v>620</v>
      </c>
      <c r="E42" s="271"/>
      <c r="F42" s="272"/>
      <c r="G42" s="273"/>
      <c r="H42" s="275" t="s">
        <v>281</v>
      </c>
      <c r="I42" s="190">
        <v>1109448.56</v>
      </c>
      <c r="J42" s="62">
        <v>1040000</v>
      </c>
      <c r="K42" s="62">
        <f>1040000-J42</f>
        <v>0</v>
      </c>
      <c r="L42" s="62">
        <f t="shared" si="0"/>
        <v>1040000</v>
      </c>
      <c r="M42" s="62">
        <v>0</v>
      </c>
      <c r="P42" s="81"/>
      <c r="Q42" s="81"/>
      <c r="R42" s="81"/>
      <c r="S42" s="81"/>
    </row>
    <row r="43" spans="1:19" s="64" customFormat="1" ht="18" customHeight="1">
      <c r="A43" s="270"/>
      <c r="B43" s="271"/>
      <c r="C43" s="271"/>
      <c r="D43" s="271" t="s">
        <v>619</v>
      </c>
      <c r="E43" s="271"/>
      <c r="F43" s="272"/>
      <c r="G43" s="273"/>
      <c r="H43" s="275" t="s">
        <v>281</v>
      </c>
      <c r="I43" s="190">
        <v>784000</v>
      </c>
      <c r="J43" s="62">
        <v>922500</v>
      </c>
      <c r="K43" s="62">
        <f>922500-J43</f>
        <v>0</v>
      </c>
      <c r="L43" s="62">
        <f t="shared" si="0"/>
        <v>922500</v>
      </c>
      <c r="M43" s="62">
        <v>0</v>
      </c>
      <c r="O43" s="234"/>
    </row>
    <row r="44" spans="1:19" ht="18" customHeight="1">
      <c r="A44" s="278"/>
      <c r="B44" s="279"/>
      <c r="C44" s="279"/>
      <c r="D44" s="279" t="s">
        <v>68</v>
      </c>
      <c r="E44" s="279"/>
      <c r="F44" s="280"/>
      <c r="G44" s="281"/>
      <c r="H44" s="274"/>
      <c r="I44" s="171">
        <f>SUM(I20:I43)</f>
        <v>12978131.700000001</v>
      </c>
      <c r="J44" s="171">
        <f t="shared" ref="J44:M44" si="1">SUM(J20:J43)</f>
        <v>12534384.550000001</v>
      </c>
      <c r="K44" s="171">
        <f t="shared" si="1"/>
        <v>662797.44999999995</v>
      </c>
      <c r="L44" s="171">
        <f>SUM(L20:L43)</f>
        <v>13197182</v>
      </c>
      <c r="M44" s="171">
        <f t="shared" si="1"/>
        <v>11210945</v>
      </c>
    </row>
    <row r="45" spans="1:19" ht="18" customHeight="1">
      <c r="A45" s="270"/>
      <c r="B45" s="271" t="s">
        <v>172</v>
      </c>
      <c r="C45" s="271"/>
      <c r="D45" s="271"/>
      <c r="E45" s="271"/>
      <c r="F45" s="272"/>
      <c r="G45" s="273"/>
      <c r="H45" s="276"/>
      <c r="I45" s="190"/>
      <c r="J45" s="62"/>
      <c r="K45" s="62"/>
      <c r="L45" s="62"/>
      <c r="M45" s="62"/>
    </row>
    <row r="46" spans="1:19" ht="18" customHeight="1">
      <c r="A46" s="270"/>
      <c r="B46" s="271"/>
      <c r="C46" s="271"/>
      <c r="D46" s="271" t="s">
        <v>173</v>
      </c>
      <c r="E46" s="271"/>
      <c r="F46" s="272"/>
      <c r="G46" s="273" t="s">
        <v>75</v>
      </c>
      <c r="H46" s="275" t="s">
        <v>271</v>
      </c>
      <c r="I46" s="190">
        <v>726242</v>
      </c>
      <c r="J46" s="62">
        <v>1202019</v>
      </c>
      <c r="K46" s="62">
        <f>1300000-J46</f>
        <v>97981</v>
      </c>
      <c r="L46" s="62">
        <f t="shared" ref="L46:L58" si="2">SUM(K46+J46)</f>
        <v>1300000</v>
      </c>
      <c r="M46" s="62">
        <v>950000</v>
      </c>
    </row>
    <row r="47" spans="1:19" ht="18" customHeight="1">
      <c r="A47" s="270"/>
      <c r="B47" s="271"/>
      <c r="C47" s="271"/>
      <c r="D47" s="271" t="s">
        <v>107</v>
      </c>
      <c r="E47" s="271"/>
      <c r="F47" s="272"/>
      <c r="G47" s="273" t="s">
        <v>76</v>
      </c>
      <c r="H47" s="275" t="s">
        <v>272</v>
      </c>
      <c r="I47" s="190">
        <v>454295</v>
      </c>
      <c r="J47" s="62">
        <v>474695.22</v>
      </c>
      <c r="K47" s="62">
        <f>530000-J47</f>
        <v>55304.780000000028</v>
      </c>
      <c r="L47" s="62">
        <f t="shared" si="2"/>
        <v>530000</v>
      </c>
      <c r="M47" s="62">
        <v>800000</v>
      </c>
      <c r="N47" s="65"/>
    </row>
    <row r="48" spans="1:19" ht="18" customHeight="1">
      <c r="A48" s="270"/>
      <c r="B48" s="271"/>
      <c r="C48" s="271"/>
      <c r="D48" s="271" t="s">
        <v>73</v>
      </c>
      <c r="E48" s="271"/>
      <c r="F48" s="272"/>
      <c r="G48" s="273" t="s">
        <v>78</v>
      </c>
      <c r="H48" s="275" t="s">
        <v>273</v>
      </c>
      <c r="I48" s="190">
        <v>1138218.1200000001</v>
      </c>
      <c r="J48" s="62">
        <v>907119</v>
      </c>
      <c r="K48" s="62">
        <f>1000000-J48</f>
        <v>92881</v>
      </c>
      <c r="L48" s="62">
        <f t="shared" si="2"/>
        <v>1000000</v>
      </c>
      <c r="M48" s="62">
        <v>1450000</v>
      </c>
    </row>
    <row r="49" spans="1:19" ht="18" customHeight="1">
      <c r="A49" s="270"/>
      <c r="B49" s="271"/>
      <c r="C49" s="271"/>
      <c r="D49" s="271" t="s">
        <v>177</v>
      </c>
      <c r="E49" s="271"/>
      <c r="F49" s="272"/>
      <c r="G49" s="273" t="s">
        <v>232</v>
      </c>
      <c r="H49" s="275" t="s">
        <v>274</v>
      </c>
      <c r="I49" s="190">
        <v>0</v>
      </c>
      <c r="J49" s="62">
        <v>0</v>
      </c>
      <c r="K49" s="62">
        <f>10000-J49</f>
        <v>10000</v>
      </c>
      <c r="L49" s="62">
        <f t="shared" si="2"/>
        <v>10000</v>
      </c>
      <c r="M49" s="62">
        <v>10000</v>
      </c>
    </row>
    <row r="50" spans="1:19" ht="18" customHeight="1">
      <c r="A50" s="270"/>
      <c r="B50" s="271"/>
      <c r="C50" s="271"/>
      <c r="D50" s="271" t="s">
        <v>179</v>
      </c>
      <c r="E50" s="271"/>
      <c r="F50" s="272"/>
      <c r="G50" s="273" t="s">
        <v>79</v>
      </c>
      <c r="H50" s="275" t="s">
        <v>275</v>
      </c>
      <c r="I50" s="190">
        <v>72000</v>
      </c>
      <c r="J50" s="62">
        <v>136000</v>
      </c>
      <c r="K50" s="62">
        <f>136000-J50</f>
        <v>0</v>
      </c>
      <c r="L50" s="62">
        <f t="shared" si="2"/>
        <v>136000</v>
      </c>
      <c r="M50" s="62">
        <v>132000</v>
      </c>
      <c r="P50" s="81"/>
      <c r="Q50" s="81"/>
      <c r="R50" s="81"/>
      <c r="S50" s="81"/>
    </row>
    <row r="51" spans="1:19" ht="18" customHeight="1">
      <c r="A51" s="270"/>
      <c r="B51" s="271"/>
      <c r="C51" s="271"/>
      <c r="D51" s="271" t="s">
        <v>432</v>
      </c>
      <c r="E51" s="271"/>
      <c r="F51" s="272"/>
      <c r="G51" s="273" t="s">
        <v>80</v>
      </c>
      <c r="H51" s="275" t="s">
        <v>276</v>
      </c>
      <c r="I51" s="190">
        <v>171118</v>
      </c>
      <c r="J51" s="62">
        <v>49050</v>
      </c>
      <c r="K51" s="62">
        <f>50000-J51</f>
        <v>950</v>
      </c>
      <c r="L51" s="62">
        <f t="shared" si="2"/>
        <v>50000</v>
      </c>
      <c r="M51" s="62">
        <v>300000</v>
      </c>
    </row>
    <row r="52" spans="1:19" ht="18" customHeight="1">
      <c r="A52" s="270"/>
      <c r="B52" s="271"/>
      <c r="C52" s="271"/>
      <c r="D52" s="271" t="s">
        <v>182</v>
      </c>
      <c r="E52" s="271"/>
      <c r="F52" s="272"/>
      <c r="G52" s="273" t="s">
        <v>237</v>
      </c>
      <c r="H52" s="275" t="s">
        <v>289</v>
      </c>
      <c r="I52" s="190">
        <v>46125</v>
      </c>
      <c r="J52" s="62">
        <v>52660</v>
      </c>
      <c r="K52" s="62">
        <f>82601-J52</f>
        <v>29941</v>
      </c>
      <c r="L52" s="62">
        <f t="shared" si="2"/>
        <v>82601</v>
      </c>
      <c r="M52" s="62">
        <v>70904</v>
      </c>
    </row>
    <row r="53" spans="1:19" ht="18" customHeight="1">
      <c r="A53" s="270"/>
      <c r="B53" s="271"/>
      <c r="C53" s="271"/>
      <c r="D53" s="271" t="s">
        <v>181</v>
      </c>
      <c r="E53" s="271"/>
      <c r="F53" s="272"/>
      <c r="G53" s="273"/>
      <c r="H53" s="275" t="s">
        <v>287</v>
      </c>
      <c r="I53" s="190">
        <v>0</v>
      </c>
      <c r="J53" s="62">
        <v>0</v>
      </c>
      <c r="K53" s="62">
        <v>0</v>
      </c>
      <c r="L53" s="62">
        <f t="shared" si="2"/>
        <v>0</v>
      </c>
      <c r="M53" s="62">
        <v>290000</v>
      </c>
    </row>
    <row r="54" spans="1:19" ht="18" customHeight="1">
      <c r="A54" s="270"/>
      <c r="B54" s="271"/>
      <c r="C54" s="271"/>
      <c r="D54" s="271" t="s">
        <v>185</v>
      </c>
      <c r="E54" s="271"/>
      <c r="F54" s="272"/>
      <c r="G54" s="273" t="s">
        <v>81</v>
      </c>
      <c r="H54" s="275" t="s">
        <v>277</v>
      </c>
      <c r="I54" s="190">
        <v>299960</v>
      </c>
      <c r="J54" s="62">
        <v>304339</v>
      </c>
      <c r="K54" s="62">
        <f>355000-J54</f>
        <v>50661</v>
      </c>
      <c r="L54" s="62">
        <f t="shared" si="2"/>
        <v>355000</v>
      </c>
      <c r="M54" s="62">
        <v>100000</v>
      </c>
    </row>
    <row r="55" spans="1:19" ht="18" customHeight="1">
      <c r="A55" s="270"/>
      <c r="B55" s="271"/>
      <c r="C55" s="271"/>
      <c r="D55" s="271" t="s">
        <v>502</v>
      </c>
      <c r="E55" s="271"/>
      <c r="F55" s="272"/>
      <c r="G55" s="273"/>
      <c r="H55" s="275" t="s">
        <v>277</v>
      </c>
      <c r="I55" s="190">
        <v>1325000</v>
      </c>
      <c r="J55" s="62">
        <v>0</v>
      </c>
      <c r="K55" s="62">
        <f>0-J55</f>
        <v>0</v>
      </c>
      <c r="L55" s="62">
        <f t="shared" si="2"/>
        <v>0</v>
      </c>
      <c r="M55" s="62">
        <v>0</v>
      </c>
      <c r="O55" s="235"/>
    </row>
    <row r="56" spans="1:19" ht="18" customHeight="1">
      <c r="A56" s="270"/>
      <c r="B56" s="271"/>
      <c r="C56" s="271"/>
      <c r="D56" s="271" t="s">
        <v>503</v>
      </c>
      <c r="E56" s="271"/>
      <c r="F56" s="272"/>
      <c r="G56" s="273"/>
      <c r="H56" s="275" t="s">
        <v>277</v>
      </c>
      <c r="I56" s="190">
        <v>0</v>
      </c>
      <c r="J56" s="62">
        <v>0</v>
      </c>
      <c r="K56" s="62">
        <f t="shared" ref="K56:K57" si="3">0-J56</f>
        <v>0</v>
      </c>
      <c r="L56" s="62">
        <f t="shared" si="2"/>
        <v>0</v>
      </c>
      <c r="M56" s="62">
        <v>0</v>
      </c>
    </row>
    <row r="57" spans="1:19" s="64" customFormat="1" ht="18" customHeight="1">
      <c r="A57" s="270"/>
      <c r="B57" s="271"/>
      <c r="C57" s="271"/>
      <c r="D57" s="271" t="s">
        <v>590</v>
      </c>
      <c r="E57" s="271"/>
      <c r="F57" s="272"/>
      <c r="G57" s="273"/>
      <c r="H57" s="275" t="s">
        <v>277</v>
      </c>
      <c r="I57" s="190">
        <v>288000</v>
      </c>
      <c r="J57" s="62">
        <v>0</v>
      </c>
      <c r="K57" s="62">
        <f t="shared" si="3"/>
        <v>0</v>
      </c>
      <c r="L57" s="62">
        <f t="shared" si="2"/>
        <v>0</v>
      </c>
      <c r="M57" s="62">
        <v>0</v>
      </c>
      <c r="O57" s="234"/>
      <c r="P57" s="88"/>
      <c r="Q57" s="88"/>
      <c r="R57" s="88"/>
      <c r="S57" s="88"/>
    </row>
    <row r="58" spans="1:19" ht="18" customHeight="1">
      <c r="A58" s="270"/>
      <c r="B58" s="271"/>
      <c r="C58" s="271"/>
      <c r="D58" s="271" t="s">
        <v>488</v>
      </c>
      <c r="E58" s="271"/>
      <c r="F58" s="272"/>
      <c r="G58" s="273"/>
      <c r="H58" s="275" t="s">
        <v>277</v>
      </c>
      <c r="I58" s="190">
        <v>994000</v>
      </c>
      <c r="J58" s="62">
        <v>819000</v>
      </c>
      <c r="K58" s="62">
        <f>850000-J58</f>
        <v>31000</v>
      </c>
      <c r="L58" s="62">
        <f t="shared" si="2"/>
        <v>850000</v>
      </c>
      <c r="M58" s="62">
        <v>0</v>
      </c>
    </row>
    <row r="59" spans="1:19" ht="18" customHeight="1">
      <c r="A59" s="278"/>
      <c r="B59" s="279"/>
      <c r="C59" s="279"/>
      <c r="D59" s="279" t="s">
        <v>322</v>
      </c>
      <c r="E59" s="279"/>
      <c r="F59" s="280"/>
      <c r="G59" s="281"/>
      <c r="H59" s="274"/>
      <c r="I59" s="171">
        <f>SUM(I46:I58)</f>
        <v>5514958.1200000001</v>
      </c>
      <c r="J59" s="171">
        <f>SUM(J46:J58)</f>
        <v>3944882.2199999997</v>
      </c>
      <c r="K59" s="171">
        <f>SUM(K46:K58)</f>
        <v>368718.78</v>
      </c>
      <c r="L59" s="171">
        <f>SUM(L46:L58)</f>
        <v>4313601</v>
      </c>
      <c r="M59" s="171">
        <f>SUM(M46:M58)</f>
        <v>4102904</v>
      </c>
    </row>
    <row r="60" spans="1:19" ht="18" customHeight="1">
      <c r="A60" s="270"/>
      <c r="B60" s="271" t="s">
        <v>186</v>
      </c>
      <c r="C60" s="271"/>
      <c r="D60" s="271"/>
      <c r="E60" s="271"/>
      <c r="F60" s="272"/>
      <c r="G60" s="273"/>
      <c r="H60" s="276"/>
      <c r="I60" s="190"/>
      <c r="J60" s="62"/>
      <c r="K60" s="62"/>
      <c r="L60" s="62"/>
      <c r="M60" s="62"/>
    </row>
    <row r="61" spans="1:19" ht="18" customHeight="1">
      <c r="A61" s="270"/>
      <c r="B61" s="271"/>
      <c r="C61" s="271"/>
      <c r="D61" s="271" t="s">
        <v>256</v>
      </c>
      <c r="E61" s="271"/>
      <c r="F61" s="272"/>
      <c r="G61" s="273" t="s">
        <v>409</v>
      </c>
      <c r="H61" s="275" t="s">
        <v>410</v>
      </c>
      <c r="I61" s="190">
        <v>795784</v>
      </c>
      <c r="J61" s="190"/>
      <c r="K61" s="190">
        <f>0-J61</f>
        <v>0</v>
      </c>
      <c r="L61" s="62">
        <f t="shared" ref="L61:L65" si="4">SUM(K61+J61)</f>
        <v>0</v>
      </c>
      <c r="M61" s="62">
        <v>550000</v>
      </c>
    </row>
    <row r="62" spans="1:19" ht="18" customHeight="1">
      <c r="A62" s="270"/>
      <c r="B62" s="271"/>
      <c r="C62" s="271"/>
      <c r="D62" s="271" t="s">
        <v>415</v>
      </c>
      <c r="E62" s="271"/>
      <c r="F62" s="272"/>
      <c r="G62" s="273" t="s">
        <v>440</v>
      </c>
      <c r="H62" s="275" t="s">
        <v>418</v>
      </c>
      <c r="I62" s="190">
        <v>8124800</v>
      </c>
      <c r="J62" s="62">
        <v>1000000</v>
      </c>
      <c r="K62" s="190">
        <f>1000000-J62</f>
        <v>0</v>
      </c>
      <c r="L62" s="62">
        <f t="shared" si="4"/>
        <v>1000000</v>
      </c>
      <c r="M62" s="62">
        <v>0</v>
      </c>
    </row>
    <row r="63" spans="1:19" ht="18" hidden="1" customHeight="1">
      <c r="A63" s="270"/>
      <c r="B63" s="271"/>
      <c r="C63" s="271"/>
      <c r="D63" s="271" t="s">
        <v>464</v>
      </c>
      <c r="E63" s="271"/>
      <c r="F63" s="272"/>
      <c r="G63" s="273"/>
      <c r="H63" s="275" t="s">
        <v>443</v>
      </c>
      <c r="I63" s="190">
        <v>0</v>
      </c>
      <c r="J63" s="62"/>
      <c r="K63" s="190">
        <f>0-J63</f>
        <v>0</v>
      </c>
      <c r="L63" s="62">
        <f t="shared" si="4"/>
        <v>0</v>
      </c>
      <c r="M63" s="62"/>
    </row>
    <row r="64" spans="1:19" ht="18" hidden="1" customHeight="1">
      <c r="A64" s="270"/>
      <c r="B64" s="271"/>
      <c r="C64" s="271"/>
      <c r="D64" s="271" t="s">
        <v>480</v>
      </c>
      <c r="E64" s="271"/>
      <c r="F64" s="272"/>
      <c r="G64" s="273"/>
      <c r="H64" s="275" t="s">
        <v>479</v>
      </c>
      <c r="I64" s="190">
        <v>0</v>
      </c>
      <c r="J64" s="62"/>
      <c r="K64" s="190">
        <f>0-J64</f>
        <v>0</v>
      </c>
      <c r="L64" s="62">
        <f t="shared" si="4"/>
        <v>0</v>
      </c>
      <c r="M64" s="62"/>
    </row>
    <row r="65" spans="1:19" ht="18" customHeight="1">
      <c r="A65" s="270"/>
      <c r="B65" s="271"/>
      <c r="C65" s="271"/>
      <c r="D65" s="271" t="s">
        <v>433</v>
      </c>
      <c r="E65" s="271"/>
      <c r="F65" s="272"/>
      <c r="G65" s="273" t="s">
        <v>444</v>
      </c>
      <c r="H65" s="275" t="s">
        <v>434</v>
      </c>
      <c r="I65" s="190">
        <v>299808.28999999998</v>
      </c>
      <c r="J65" s="62">
        <v>899543.6</v>
      </c>
      <c r="K65" s="190">
        <f>900000-J65</f>
        <v>456.40000000002328</v>
      </c>
      <c r="L65" s="62">
        <f t="shared" si="4"/>
        <v>900000</v>
      </c>
      <c r="M65" s="62">
        <v>1000000</v>
      </c>
    </row>
    <row r="66" spans="1:19" ht="18" customHeight="1">
      <c r="A66" s="278"/>
      <c r="B66" s="279"/>
      <c r="C66" s="279"/>
      <c r="D66" s="279" t="s">
        <v>366</v>
      </c>
      <c r="E66" s="279"/>
      <c r="F66" s="280"/>
      <c r="G66" s="281"/>
      <c r="H66" s="274"/>
      <c r="I66" s="171">
        <f>SUM(I61:I65)</f>
        <v>9220392.2899999991</v>
      </c>
      <c r="J66" s="171">
        <f>SUM(J61:J65)</f>
        <v>1899543.6</v>
      </c>
      <c r="K66" s="171">
        <f>SUM(K61:K65)</f>
        <v>456.40000000002328</v>
      </c>
      <c r="L66" s="171">
        <f>SUM(L61:L65)</f>
        <v>1900000</v>
      </c>
      <c r="M66" s="171">
        <f>SUM(M61:M65)</f>
        <v>1550000</v>
      </c>
    </row>
    <row r="67" spans="1:19" s="64" customFormat="1" ht="5.0999999999999996" customHeight="1">
      <c r="A67" s="278"/>
      <c r="B67" s="279"/>
      <c r="C67" s="279"/>
      <c r="D67" s="279"/>
      <c r="E67" s="279"/>
      <c r="F67" s="280"/>
      <c r="G67" s="281"/>
      <c r="H67" s="274"/>
      <c r="I67" s="171"/>
      <c r="J67" s="191"/>
      <c r="K67" s="191"/>
      <c r="L67" s="191"/>
      <c r="M67" s="191"/>
      <c r="N67" s="89"/>
      <c r="O67" s="234"/>
      <c r="P67" s="88"/>
      <c r="Q67" s="88"/>
      <c r="R67" s="88"/>
      <c r="S67" s="88"/>
    </row>
    <row r="68" spans="1:19" s="64" customFormat="1" ht="18" customHeight="1">
      <c r="A68" s="278" t="s">
        <v>611</v>
      </c>
      <c r="B68" s="279"/>
      <c r="C68" s="279"/>
      <c r="D68" s="279"/>
      <c r="E68" s="279"/>
      <c r="F68" s="280"/>
      <c r="G68" s="468"/>
      <c r="H68" s="274"/>
      <c r="I68" s="171">
        <f>SUM(I66+I59+I44)</f>
        <v>27713482.109999999</v>
      </c>
      <c r="J68" s="171">
        <f>SUM(J66+J59+J44)</f>
        <v>18378810.370000001</v>
      </c>
      <c r="K68" s="171">
        <f t="shared" ref="K68:M68" si="5">SUM(K66+K59+K44)</f>
        <v>1031972.63</v>
      </c>
      <c r="L68" s="171">
        <f t="shared" si="5"/>
        <v>19410783</v>
      </c>
      <c r="M68" s="171">
        <f t="shared" si="5"/>
        <v>16863849</v>
      </c>
      <c r="O68" s="234"/>
    </row>
    <row r="69" spans="1:19" s="64" customFormat="1" ht="18" customHeight="1">
      <c r="A69" s="469"/>
      <c r="B69" s="469"/>
      <c r="C69" s="469"/>
      <c r="D69" s="469"/>
      <c r="E69" s="469"/>
      <c r="F69" s="469"/>
      <c r="G69" s="470"/>
      <c r="H69" s="471"/>
      <c r="I69" s="472"/>
      <c r="J69" s="472"/>
      <c r="K69" s="472"/>
      <c r="L69" s="472"/>
      <c r="M69" s="472"/>
      <c r="O69" s="234"/>
    </row>
    <row r="70" spans="1:19" ht="18" customHeight="1">
      <c r="A70" s="54"/>
      <c r="B70" s="71"/>
      <c r="C70" s="54"/>
      <c r="D70" s="54"/>
      <c r="E70" s="54"/>
      <c r="F70" s="54"/>
      <c r="G70" s="54"/>
      <c r="H70" s="135"/>
      <c r="I70" s="135"/>
      <c r="J70" s="72"/>
      <c r="K70" s="72"/>
      <c r="L70" s="72"/>
      <c r="M70" s="72"/>
    </row>
    <row r="71" spans="1:19" s="361" customFormat="1" ht="18" customHeight="1">
      <c r="A71" s="368" t="s">
        <v>556</v>
      </c>
      <c r="B71" s="368"/>
      <c r="C71" s="368"/>
      <c r="D71" s="368"/>
      <c r="E71" s="368"/>
      <c r="F71" s="368"/>
      <c r="G71" s="368"/>
      <c r="H71" s="368"/>
      <c r="I71" s="368"/>
      <c r="J71" s="368"/>
      <c r="K71" s="368"/>
      <c r="L71" s="368"/>
      <c r="M71" s="368"/>
      <c r="O71" s="236"/>
    </row>
    <row r="72" spans="1:19" s="361" customFormat="1" ht="28.9" customHeight="1">
      <c r="A72" s="362"/>
      <c r="B72" s="363"/>
      <c r="C72" s="362"/>
      <c r="D72" s="362"/>
      <c r="E72" s="362"/>
      <c r="F72" s="364"/>
      <c r="G72" s="362"/>
      <c r="H72" s="365"/>
      <c r="I72" s="365"/>
      <c r="K72" s="136"/>
      <c r="L72" s="136"/>
      <c r="M72" s="72"/>
      <c r="O72" s="236"/>
    </row>
    <row r="73" spans="1:19" s="361" customFormat="1" ht="15.75">
      <c r="A73" s="139" t="s">
        <v>245</v>
      </c>
      <c r="B73" s="139"/>
      <c r="D73" s="139"/>
      <c r="E73" s="139"/>
      <c r="G73" s="139"/>
      <c r="H73" s="139"/>
      <c r="I73" s="139" t="s">
        <v>246</v>
      </c>
      <c r="J73" s="139"/>
      <c r="K73" s="139"/>
      <c r="L73" s="139" t="s">
        <v>43</v>
      </c>
      <c r="M73" s="139"/>
      <c r="O73" s="236"/>
    </row>
    <row r="74" spans="1:19" s="52" customFormat="1" ht="15.75">
      <c r="A74" s="51"/>
      <c r="B74" s="50"/>
      <c r="D74" s="51"/>
      <c r="E74" s="51"/>
      <c r="G74" s="51"/>
      <c r="I74" s="51"/>
      <c r="J74" s="135"/>
      <c r="K74" s="76"/>
      <c r="L74" s="75"/>
      <c r="M74" s="136"/>
      <c r="O74" s="236"/>
    </row>
    <row r="75" spans="1:19" s="73" customFormat="1" ht="15.75">
      <c r="A75" s="519" t="s">
        <v>460</v>
      </c>
      <c r="B75" s="519"/>
      <c r="C75" s="519"/>
      <c r="D75" s="519"/>
      <c r="E75" s="519"/>
      <c r="F75" s="519"/>
      <c r="G75" s="50"/>
      <c r="I75" s="519" t="s">
        <v>12</v>
      </c>
      <c r="J75" s="519"/>
      <c r="K75" s="74"/>
      <c r="L75" s="519" t="s">
        <v>460</v>
      </c>
      <c r="M75" s="519"/>
      <c r="O75" s="237"/>
    </row>
    <row r="76" spans="1:19" s="33" customFormat="1" ht="15" customHeight="1">
      <c r="A76" s="517" t="s">
        <v>557</v>
      </c>
      <c r="B76" s="517"/>
      <c r="C76" s="517"/>
      <c r="D76" s="517"/>
      <c r="E76" s="517"/>
      <c r="F76" s="517"/>
      <c r="I76" s="517" t="s">
        <v>558</v>
      </c>
      <c r="J76" s="517"/>
      <c r="L76" s="517" t="s">
        <v>559</v>
      </c>
      <c r="M76" s="517"/>
      <c r="O76" s="236"/>
    </row>
    <row r="77" spans="1:19" s="162" customFormat="1" ht="15" customHeight="1">
      <c r="O77" s="166"/>
    </row>
    <row r="78" spans="1:19" s="33" customFormat="1" ht="15" customHeight="1">
      <c r="A78" s="519" t="s">
        <v>549</v>
      </c>
      <c r="B78" s="519"/>
      <c r="C78" s="519"/>
      <c r="D78" s="519"/>
      <c r="E78" s="519"/>
      <c r="F78" s="519"/>
      <c r="G78" s="519"/>
      <c r="H78" s="519"/>
      <c r="I78" s="519"/>
      <c r="J78" s="519"/>
      <c r="K78" s="519"/>
      <c r="L78" s="519"/>
      <c r="M78" s="519"/>
      <c r="O78" s="236"/>
    </row>
    <row r="79" spans="1:19" s="33" customFormat="1" ht="15" customHeight="1">
      <c r="A79" s="142"/>
      <c r="B79" s="142"/>
      <c r="C79" s="142"/>
      <c r="D79" s="142"/>
      <c r="E79" s="142"/>
      <c r="F79" s="142"/>
      <c r="G79" s="142"/>
      <c r="H79" s="142"/>
      <c r="I79" s="142"/>
      <c r="J79" s="142"/>
      <c r="K79" s="142"/>
      <c r="L79" s="142"/>
      <c r="M79" s="142"/>
      <c r="O79" s="236"/>
    </row>
    <row r="80" spans="1:19" s="33" customFormat="1" ht="15" customHeight="1">
      <c r="A80" s="142" t="s">
        <v>550</v>
      </c>
      <c r="B80" s="142"/>
      <c r="C80" s="142"/>
      <c r="D80" s="141"/>
      <c r="E80" s="141"/>
      <c r="F80" s="142" t="s">
        <v>37</v>
      </c>
      <c r="G80" s="142"/>
      <c r="H80" s="142"/>
      <c r="I80" s="142"/>
      <c r="J80" s="142" t="s">
        <v>551</v>
      </c>
      <c r="K80" s="170" t="s">
        <v>604</v>
      </c>
      <c r="L80" s="142"/>
      <c r="M80" s="142"/>
      <c r="O80" s="236"/>
    </row>
    <row r="81" spans="1:15" s="33" customFormat="1" ht="15" customHeight="1">
      <c r="A81" s="142" t="s">
        <v>552</v>
      </c>
      <c r="B81" s="142"/>
      <c r="C81" s="142"/>
      <c r="D81" s="141"/>
      <c r="E81" s="142"/>
      <c r="F81" s="142" t="s">
        <v>554</v>
      </c>
      <c r="G81" s="142"/>
      <c r="H81" s="142"/>
      <c r="I81" s="142"/>
      <c r="J81" s="142" t="s">
        <v>553</v>
      </c>
      <c r="K81" s="50" t="s">
        <v>457</v>
      </c>
      <c r="L81" s="142"/>
      <c r="M81" s="142"/>
      <c r="O81" s="236"/>
    </row>
    <row r="82" spans="1:15" s="33" customFormat="1" ht="15" customHeight="1">
      <c r="A82" s="142" t="s">
        <v>555</v>
      </c>
      <c r="B82" s="142"/>
      <c r="C82" s="142"/>
      <c r="D82" s="142"/>
      <c r="E82" s="142"/>
      <c r="F82" s="142"/>
      <c r="G82" s="142"/>
      <c r="H82" s="142"/>
      <c r="I82" s="142"/>
      <c r="J82" s="142"/>
      <c r="K82" s="142"/>
      <c r="L82" s="142"/>
      <c r="M82" s="142"/>
      <c r="O82" s="236"/>
    </row>
    <row r="83" spans="1:15" s="33" customFormat="1" ht="15" customHeight="1" thickBot="1">
      <c r="A83" s="168"/>
      <c r="B83" s="168"/>
      <c r="C83" s="168"/>
      <c r="D83" s="168"/>
      <c r="E83" s="168"/>
      <c r="F83" s="168"/>
      <c r="G83" s="168"/>
      <c r="H83" s="168"/>
      <c r="I83" s="168"/>
      <c r="J83" s="168"/>
      <c r="K83" s="168"/>
      <c r="L83" s="168"/>
      <c r="M83" s="168"/>
      <c r="O83" s="236"/>
    </row>
    <row r="84" spans="1:15" s="33" customFormat="1" ht="15" customHeight="1">
      <c r="A84" s="255"/>
      <c r="B84" s="256"/>
      <c r="C84" s="256"/>
      <c r="D84" s="256"/>
      <c r="E84" s="256"/>
      <c r="F84" s="257"/>
      <c r="G84" s="258"/>
      <c r="H84" s="259"/>
      <c r="I84" s="259" t="s">
        <v>6</v>
      </c>
      <c r="J84" s="520" t="s">
        <v>545</v>
      </c>
      <c r="K84" s="521"/>
      <c r="L84" s="522"/>
      <c r="M84" s="260" t="s">
        <v>7</v>
      </c>
      <c r="O84" s="236"/>
    </row>
    <row r="85" spans="1:15" s="33" customFormat="1" ht="15" customHeight="1">
      <c r="A85" s="523"/>
      <c r="B85" s="524"/>
      <c r="C85" s="524"/>
      <c r="D85" s="524"/>
      <c r="E85" s="524"/>
      <c r="F85" s="525"/>
      <c r="G85" s="448"/>
      <c r="H85" s="261"/>
      <c r="I85" s="261">
        <v>2022</v>
      </c>
      <c r="J85" s="261" t="s">
        <v>192</v>
      </c>
      <c r="K85" s="261" t="s">
        <v>193</v>
      </c>
      <c r="L85" s="261"/>
      <c r="M85" s="262">
        <v>2024</v>
      </c>
      <c r="O85" s="236"/>
    </row>
    <row r="86" spans="1:15" s="33" customFormat="1" ht="15" customHeight="1">
      <c r="A86" s="523" t="s">
        <v>13</v>
      </c>
      <c r="B86" s="524"/>
      <c r="C86" s="524"/>
      <c r="D86" s="524"/>
      <c r="E86" s="524"/>
      <c r="F86" s="525"/>
      <c r="G86" s="263"/>
      <c r="H86" s="264" t="s">
        <v>243</v>
      </c>
      <c r="I86" s="261" t="s">
        <v>191</v>
      </c>
      <c r="J86" s="261" t="s">
        <v>191</v>
      </c>
      <c r="K86" s="261" t="s">
        <v>194</v>
      </c>
      <c r="L86" s="261" t="s">
        <v>11</v>
      </c>
      <c r="M86" s="262" t="s">
        <v>196</v>
      </c>
      <c r="O86" s="236"/>
    </row>
    <row r="87" spans="1:15" s="33" customFormat="1" ht="15" customHeight="1">
      <c r="A87" s="265"/>
      <c r="B87" s="266"/>
      <c r="C87" s="266"/>
      <c r="D87" s="266"/>
      <c r="E87" s="266"/>
      <c r="F87" s="267"/>
      <c r="G87" s="263"/>
      <c r="H87" s="261"/>
      <c r="I87" s="261"/>
      <c r="J87" s="261">
        <v>2023</v>
      </c>
      <c r="K87" s="261">
        <v>2023</v>
      </c>
      <c r="L87" s="261"/>
      <c r="M87" s="262"/>
      <c r="O87" s="236"/>
    </row>
    <row r="88" spans="1:15" s="33" customFormat="1" ht="15" customHeight="1" thickBot="1">
      <c r="A88" s="526"/>
      <c r="B88" s="527"/>
      <c r="C88" s="527"/>
      <c r="D88" s="527"/>
      <c r="E88" s="527"/>
      <c r="F88" s="528"/>
      <c r="G88" s="449"/>
      <c r="H88" s="268"/>
      <c r="I88" s="369"/>
      <c r="J88" s="268"/>
      <c r="K88" s="268"/>
      <c r="L88" s="268"/>
      <c r="M88" s="269"/>
      <c r="O88" s="236"/>
    </row>
    <row r="89" spans="1:15" s="33" customFormat="1" ht="15" customHeight="1">
      <c r="A89" s="282"/>
      <c r="B89" s="284" t="s">
        <v>187</v>
      </c>
      <c r="C89" s="479"/>
      <c r="D89" s="479"/>
      <c r="E89" s="479"/>
      <c r="F89" s="479"/>
      <c r="G89" s="480"/>
      <c r="H89" s="286"/>
      <c r="I89" s="188"/>
      <c r="J89" s="188"/>
      <c r="K89" s="188"/>
      <c r="L89" s="188"/>
      <c r="M89" s="188"/>
      <c r="O89" s="236"/>
    </row>
    <row r="90" spans="1:15" s="33" customFormat="1" ht="15" customHeight="1">
      <c r="A90" s="278"/>
      <c r="B90" s="279"/>
      <c r="C90" s="279"/>
      <c r="D90" s="39" t="s">
        <v>368</v>
      </c>
      <c r="E90" s="279"/>
      <c r="F90" s="280"/>
      <c r="G90" s="281"/>
      <c r="H90" s="3">
        <v>1181</v>
      </c>
      <c r="I90" s="41">
        <v>1090005</v>
      </c>
      <c r="J90" s="172">
        <v>1075322.68</v>
      </c>
      <c r="K90" s="172">
        <f>1100000-J90</f>
        <v>24677.320000000065</v>
      </c>
      <c r="L90" s="172">
        <f>K90+J90</f>
        <v>1100000</v>
      </c>
      <c r="M90" s="172">
        <v>1100000</v>
      </c>
      <c r="O90" s="236"/>
    </row>
    <row r="91" spans="1:15" s="33" customFormat="1" ht="15" customHeight="1">
      <c r="A91" s="278"/>
      <c r="B91" s="279"/>
      <c r="C91" s="279"/>
      <c r="D91" s="39" t="s">
        <v>369</v>
      </c>
      <c r="E91" s="279"/>
      <c r="F91" s="280"/>
      <c r="G91" s="281"/>
      <c r="H91" s="3">
        <v>1191</v>
      </c>
      <c r="I91" s="41">
        <v>551024.79</v>
      </c>
      <c r="J91" s="172">
        <f>541892.55+48499</f>
        <v>590391.55000000005</v>
      </c>
      <c r="K91" s="172">
        <f>635000-J91</f>
        <v>44608.449999999953</v>
      </c>
      <c r="L91" s="172">
        <f t="shared" ref="L91:L116" si="6">K91+J91</f>
        <v>635000</v>
      </c>
      <c r="M91" s="172">
        <v>635000</v>
      </c>
      <c r="O91" s="236"/>
    </row>
    <row r="92" spans="1:15" s="33" customFormat="1" ht="15" customHeight="1">
      <c r="A92" s="278"/>
      <c r="B92" s="279"/>
      <c r="C92" s="279"/>
      <c r="D92" s="39" t="s">
        <v>370</v>
      </c>
      <c r="E92" s="279"/>
      <c r="F92" s="280"/>
      <c r="G92" s="281"/>
      <c r="H92" s="3">
        <v>1158</v>
      </c>
      <c r="I92" s="41">
        <v>66289.59</v>
      </c>
      <c r="J92" s="172">
        <v>66664.600000000006</v>
      </c>
      <c r="K92" s="172">
        <f>70000-J92</f>
        <v>3335.3999999999942</v>
      </c>
      <c r="L92" s="172">
        <f t="shared" si="6"/>
        <v>70000</v>
      </c>
      <c r="M92" s="172">
        <v>70000</v>
      </c>
      <c r="O92" s="236"/>
    </row>
    <row r="93" spans="1:15" s="33" customFormat="1" ht="15" customHeight="1">
      <c r="A93" s="278"/>
      <c r="B93" s="279"/>
      <c r="C93" s="279"/>
      <c r="D93" s="39" t="s">
        <v>371</v>
      </c>
      <c r="E93" s="279"/>
      <c r="F93" s="280"/>
      <c r="G93" s="281"/>
      <c r="H93" s="3">
        <v>1111</v>
      </c>
      <c r="I93" s="41">
        <v>98988</v>
      </c>
      <c r="J93" s="172">
        <v>94400</v>
      </c>
      <c r="K93" s="172">
        <f>100000-J93</f>
        <v>5600</v>
      </c>
      <c r="L93" s="172">
        <f t="shared" si="6"/>
        <v>100000</v>
      </c>
      <c r="M93" s="172">
        <v>100000</v>
      </c>
      <c r="O93" s="236"/>
    </row>
    <row r="94" spans="1:15" s="33" customFormat="1" ht="15" customHeight="1">
      <c r="A94" s="278"/>
      <c r="B94" s="279"/>
      <c r="C94" s="279"/>
      <c r="D94" s="39" t="s">
        <v>372</v>
      </c>
      <c r="E94" s="279"/>
      <c r="F94" s="280"/>
      <c r="G94" s="281"/>
      <c r="H94" s="3" t="s">
        <v>47</v>
      </c>
      <c r="I94" s="41">
        <v>30000</v>
      </c>
      <c r="J94" s="172">
        <v>30000</v>
      </c>
      <c r="K94" s="172">
        <f>33000-J94</f>
        <v>3000</v>
      </c>
      <c r="L94" s="172">
        <f t="shared" si="6"/>
        <v>33000</v>
      </c>
      <c r="M94" s="172">
        <v>33000</v>
      </c>
      <c r="O94" s="236"/>
    </row>
    <row r="95" spans="1:15" s="33" customFormat="1" ht="15" customHeight="1">
      <c r="A95" s="278"/>
      <c r="B95" s="279"/>
      <c r="C95" s="279"/>
      <c r="D95" s="39" t="s">
        <v>373</v>
      </c>
      <c r="E95" s="279"/>
      <c r="F95" s="280"/>
      <c r="G95" s="281"/>
      <c r="H95" s="3" t="s">
        <v>16</v>
      </c>
      <c r="I95" s="41">
        <v>30000</v>
      </c>
      <c r="J95" s="172">
        <v>30000</v>
      </c>
      <c r="K95" s="172">
        <f>33000-J95</f>
        <v>3000</v>
      </c>
      <c r="L95" s="172">
        <f t="shared" si="6"/>
        <v>33000</v>
      </c>
      <c r="M95" s="172">
        <v>33000</v>
      </c>
      <c r="O95" s="236"/>
    </row>
    <row r="96" spans="1:15" s="33" customFormat="1" ht="15" customHeight="1">
      <c r="A96" s="278"/>
      <c r="B96" s="279"/>
      <c r="C96" s="279"/>
      <c r="D96" s="39" t="s">
        <v>376</v>
      </c>
      <c r="E96" s="279"/>
      <c r="F96" s="280"/>
      <c r="G96" s="281"/>
      <c r="H96" s="3" t="s">
        <v>17</v>
      </c>
      <c r="I96" s="41">
        <v>189408</v>
      </c>
      <c r="J96" s="172">
        <v>140552.84</v>
      </c>
      <c r="K96" s="172">
        <f>200000-J96</f>
        <v>59447.16</v>
      </c>
      <c r="L96" s="172">
        <f t="shared" si="6"/>
        <v>200000</v>
      </c>
      <c r="M96" s="172">
        <v>200000</v>
      </c>
      <c r="O96" s="236"/>
    </row>
    <row r="97" spans="1:15" s="33" customFormat="1" ht="15" customHeight="1">
      <c r="A97" s="278"/>
      <c r="B97" s="279"/>
      <c r="C97" s="279"/>
      <c r="D97" s="39" t="s">
        <v>377</v>
      </c>
      <c r="E97" s="279"/>
      <c r="F97" s="280"/>
      <c r="G97" s="281"/>
      <c r="H97" s="3" t="s">
        <v>18</v>
      </c>
      <c r="I97" s="41">
        <v>178034</v>
      </c>
      <c r="J97" s="172">
        <v>192729.75</v>
      </c>
      <c r="K97" s="172">
        <f>200000-J97</f>
        <v>7270.25</v>
      </c>
      <c r="L97" s="172">
        <f t="shared" si="6"/>
        <v>200000</v>
      </c>
      <c r="M97" s="172">
        <v>200000</v>
      </c>
      <c r="O97" s="236"/>
    </row>
    <row r="98" spans="1:15" s="33" customFormat="1" ht="15" customHeight="1">
      <c r="A98" s="278"/>
      <c r="B98" s="279"/>
      <c r="C98" s="279"/>
      <c r="D98" s="39" t="s">
        <v>378</v>
      </c>
      <c r="E98" s="279"/>
      <c r="F98" s="280"/>
      <c r="G98" s="281"/>
      <c r="H98" s="3" t="s">
        <v>19</v>
      </c>
      <c r="I98" s="41">
        <v>28738.42</v>
      </c>
      <c r="J98" s="172">
        <v>22000</v>
      </c>
      <c r="K98" s="172">
        <f>30000-J98</f>
        <v>8000</v>
      </c>
      <c r="L98" s="172">
        <f t="shared" si="6"/>
        <v>30000</v>
      </c>
      <c r="M98" s="172">
        <v>30000</v>
      </c>
      <c r="O98" s="236"/>
    </row>
    <row r="99" spans="1:15" s="33" customFormat="1" ht="15" customHeight="1">
      <c r="A99" s="278"/>
      <c r="B99" s="279"/>
      <c r="C99" s="279"/>
      <c r="D99" s="39" t="s">
        <v>419</v>
      </c>
      <c r="E99" s="279"/>
      <c r="F99" s="280"/>
      <c r="G99" s="281"/>
      <c r="H99" s="3" t="s">
        <v>20</v>
      </c>
      <c r="I99" s="41">
        <v>45900</v>
      </c>
      <c r="J99" s="172">
        <f>94730+0</f>
        <v>94730</v>
      </c>
      <c r="K99" s="172">
        <f>100000-J99</f>
        <v>5270</v>
      </c>
      <c r="L99" s="172">
        <f t="shared" si="6"/>
        <v>100000</v>
      </c>
      <c r="M99" s="172">
        <v>100000</v>
      </c>
      <c r="O99" s="236"/>
    </row>
    <row r="100" spans="1:15" s="33" customFormat="1" ht="15" customHeight="1">
      <c r="A100" s="278"/>
      <c r="B100" s="279"/>
      <c r="C100" s="279"/>
      <c r="D100" s="39" t="s">
        <v>407</v>
      </c>
      <c r="E100" s="279"/>
      <c r="F100" s="280"/>
      <c r="G100" s="281"/>
      <c r="H100" s="3" t="s">
        <v>21</v>
      </c>
      <c r="I100" s="41">
        <v>0</v>
      </c>
      <c r="J100" s="172">
        <v>0</v>
      </c>
      <c r="K100" s="172">
        <f>0-J100</f>
        <v>0</v>
      </c>
      <c r="L100" s="172">
        <f t="shared" si="6"/>
        <v>0</v>
      </c>
      <c r="M100" s="172">
        <v>204000</v>
      </c>
      <c r="O100" s="236"/>
    </row>
    <row r="101" spans="1:15" s="33" customFormat="1" ht="15" customHeight="1">
      <c r="A101" s="278"/>
      <c r="B101" s="279"/>
      <c r="C101" s="279"/>
      <c r="D101" s="39" t="s">
        <v>438</v>
      </c>
      <c r="E101" s="279"/>
      <c r="F101" s="280"/>
      <c r="G101" s="281"/>
      <c r="H101" s="3" t="s">
        <v>85</v>
      </c>
      <c r="I101" s="41">
        <v>299480.56</v>
      </c>
      <c r="J101" s="172">
        <f>137572.38+99917.4</f>
        <v>237489.78</v>
      </c>
      <c r="K101" s="172">
        <f>238000-J101</f>
        <v>510.22000000000116</v>
      </c>
      <c r="L101" s="172">
        <f t="shared" si="6"/>
        <v>238000</v>
      </c>
      <c r="M101" s="172">
        <v>250000</v>
      </c>
      <c r="O101" s="236"/>
    </row>
    <row r="102" spans="1:15" s="33" customFormat="1" ht="15" customHeight="1">
      <c r="A102" s="278"/>
      <c r="B102" s="279"/>
      <c r="C102" s="279"/>
      <c r="D102" s="39" t="s">
        <v>380</v>
      </c>
      <c r="E102" s="279"/>
      <c r="F102" s="280"/>
      <c r="G102" s="281"/>
      <c r="H102" s="3" t="s">
        <v>87</v>
      </c>
      <c r="I102" s="41">
        <v>0</v>
      </c>
      <c r="J102" s="172">
        <v>27260</v>
      </c>
      <c r="K102" s="172">
        <f>30000-J102</f>
        <v>2740</v>
      </c>
      <c r="L102" s="172">
        <f t="shared" si="6"/>
        <v>30000</v>
      </c>
      <c r="M102" s="172">
        <v>30000</v>
      </c>
      <c r="O102" s="236"/>
    </row>
    <row r="103" spans="1:15" s="33" customFormat="1" ht="15" customHeight="1">
      <c r="A103" s="278"/>
      <c r="B103" s="279"/>
      <c r="C103" s="279"/>
      <c r="D103" s="39" t="s">
        <v>381</v>
      </c>
      <c r="E103" s="279"/>
      <c r="F103" s="280"/>
      <c r="G103" s="281"/>
      <c r="H103" s="3" t="s">
        <v>88</v>
      </c>
      <c r="I103" s="41">
        <v>124500</v>
      </c>
      <c r="J103" s="172">
        <v>125500</v>
      </c>
      <c r="K103" s="172">
        <f>176324-J103</f>
        <v>50824</v>
      </c>
      <c r="L103" s="172">
        <f t="shared" si="6"/>
        <v>176324</v>
      </c>
      <c r="M103" s="172">
        <v>126000</v>
      </c>
      <c r="O103" s="236"/>
    </row>
    <row r="104" spans="1:15" s="33" customFormat="1" ht="15" customHeight="1">
      <c r="A104" s="278"/>
      <c r="B104" s="279"/>
      <c r="C104" s="279"/>
      <c r="D104" s="44" t="s">
        <v>467</v>
      </c>
      <c r="E104" s="279"/>
      <c r="F104" s="280"/>
      <c r="G104" s="281"/>
      <c r="H104" s="15" t="s">
        <v>89</v>
      </c>
      <c r="I104" s="47">
        <v>0</v>
      </c>
      <c r="J104" s="173">
        <v>0</v>
      </c>
      <c r="K104" s="173">
        <f>0-J104</f>
        <v>0</v>
      </c>
      <c r="L104" s="173">
        <f t="shared" si="6"/>
        <v>0</v>
      </c>
      <c r="M104" s="173">
        <v>50000</v>
      </c>
      <c r="O104" s="236"/>
    </row>
    <row r="105" spans="1:15" s="33" customFormat="1" ht="14.25" customHeight="1">
      <c r="A105" s="278"/>
      <c r="B105" s="279"/>
      <c r="C105" s="279"/>
      <c r="D105" s="39" t="s">
        <v>383</v>
      </c>
      <c r="E105" s="279"/>
      <c r="F105" s="280"/>
      <c r="G105" s="281"/>
      <c r="H105" s="3" t="s">
        <v>90</v>
      </c>
      <c r="I105" s="41">
        <v>0</v>
      </c>
      <c r="J105" s="172">
        <v>144100</v>
      </c>
      <c r="K105" s="172">
        <f>150000-J105</f>
        <v>5900</v>
      </c>
      <c r="L105" s="172">
        <f t="shared" si="6"/>
        <v>150000</v>
      </c>
      <c r="M105" s="172">
        <v>150000</v>
      </c>
      <c r="O105" s="236"/>
    </row>
    <row r="106" spans="1:15" s="33" customFormat="1" ht="15" customHeight="1">
      <c r="A106" s="278"/>
      <c r="B106" s="279"/>
      <c r="C106" s="279"/>
      <c r="D106" s="39" t="s">
        <v>426</v>
      </c>
      <c r="E106" s="279"/>
      <c r="F106" s="280"/>
      <c r="G106" s="281"/>
      <c r="H106" s="3" t="s">
        <v>91</v>
      </c>
      <c r="I106" s="41">
        <v>1296000</v>
      </c>
      <c r="J106" s="172">
        <v>1284000</v>
      </c>
      <c r="K106" s="172">
        <f>1296000-J106</f>
        <v>12000</v>
      </c>
      <c r="L106" s="172">
        <f t="shared" si="6"/>
        <v>1296000</v>
      </c>
      <c r="M106" s="172">
        <v>1296000</v>
      </c>
      <c r="O106" s="236"/>
    </row>
    <row r="107" spans="1:15" s="33" customFormat="1" ht="15" customHeight="1">
      <c r="A107" s="278"/>
      <c r="B107" s="279"/>
      <c r="C107" s="279"/>
      <c r="D107" s="39" t="s">
        <v>379</v>
      </c>
      <c r="E107" s="279"/>
      <c r="F107" s="280"/>
      <c r="G107" s="281"/>
      <c r="H107" s="3" t="s">
        <v>92</v>
      </c>
      <c r="I107" s="41">
        <v>0</v>
      </c>
      <c r="J107" s="172">
        <v>0</v>
      </c>
      <c r="K107" s="172">
        <f>0-J107</f>
        <v>0</v>
      </c>
      <c r="L107" s="172">
        <f t="shared" si="6"/>
        <v>0</v>
      </c>
      <c r="M107" s="172">
        <v>135000</v>
      </c>
      <c r="O107" s="236"/>
    </row>
    <row r="108" spans="1:15" s="33" customFormat="1" ht="15" customHeight="1">
      <c r="A108" s="278"/>
      <c r="B108" s="279"/>
      <c r="C108" s="279"/>
      <c r="D108" s="515" t="s">
        <v>384</v>
      </c>
      <c r="E108" s="515"/>
      <c r="F108" s="516"/>
      <c r="G108" s="281"/>
      <c r="H108" s="3" t="s">
        <v>93</v>
      </c>
      <c r="I108" s="41">
        <v>239914.2</v>
      </c>
      <c r="J108" s="172">
        <v>243726</v>
      </c>
      <c r="K108" s="172">
        <f>243726-J108</f>
        <v>0</v>
      </c>
      <c r="L108" s="172">
        <f t="shared" si="6"/>
        <v>243726</v>
      </c>
      <c r="M108" s="172">
        <v>243726</v>
      </c>
      <c r="O108" s="236"/>
    </row>
    <row r="109" spans="1:15" s="33" customFormat="1" ht="15" customHeight="1">
      <c r="A109" s="278"/>
      <c r="B109" s="279"/>
      <c r="C109" s="279"/>
      <c r="D109" s="42" t="s">
        <v>429</v>
      </c>
      <c r="E109" s="279"/>
      <c r="F109" s="280"/>
      <c r="G109" s="281"/>
      <c r="H109" s="3" t="s">
        <v>94</v>
      </c>
      <c r="I109" s="43">
        <v>181800</v>
      </c>
      <c r="J109" s="174">
        <v>180000</v>
      </c>
      <c r="K109" s="172">
        <f>201600-J109</f>
        <v>21600</v>
      </c>
      <c r="L109" s="172">
        <f t="shared" si="6"/>
        <v>201600</v>
      </c>
      <c r="M109" s="174">
        <v>180000</v>
      </c>
      <c r="O109" s="236"/>
    </row>
    <row r="110" spans="1:15" s="33" customFormat="1" ht="15" customHeight="1">
      <c r="A110" s="278"/>
      <c r="B110" s="279"/>
      <c r="C110" s="279"/>
      <c r="D110" s="42" t="s">
        <v>445</v>
      </c>
      <c r="E110" s="279"/>
      <c r="F110" s="280"/>
      <c r="G110" s="281"/>
      <c r="H110" s="3" t="s">
        <v>485</v>
      </c>
      <c r="I110" s="43">
        <v>270000</v>
      </c>
      <c r="J110" s="174">
        <v>270000</v>
      </c>
      <c r="K110" s="172">
        <f>335400-J110</f>
        <v>65400</v>
      </c>
      <c r="L110" s="172">
        <f>K110+J110</f>
        <v>335400</v>
      </c>
      <c r="M110" s="174">
        <v>270000</v>
      </c>
      <c r="O110" s="236"/>
    </row>
    <row r="111" spans="1:15" s="33" customFormat="1" ht="15" customHeight="1">
      <c r="A111" s="278"/>
      <c r="B111" s="279"/>
      <c r="C111" s="279"/>
      <c r="D111" s="42" t="s">
        <v>605</v>
      </c>
      <c r="E111" s="279"/>
      <c r="F111" s="280"/>
      <c r="G111" s="281"/>
      <c r="H111" s="3" t="s">
        <v>446</v>
      </c>
      <c r="I111" s="43">
        <v>1024800</v>
      </c>
      <c r="J111" s="174">
        <v>1377600</v>
      </c>
      <c r="K111" s="172">
        <f>1400000-J111</f>
        <v>22400</v>
      </c>
      <c r="L111" s="172">
        <f>K111+J111</f>
        <v>1400000</v>
      </c>
      <c r="M111" s="174">
        <v>1400000</v>
      </c>
      <c r="O111" s="236"/>
    </row>
    <row r="112" spans="1:15" s="33" customFormat="1" ht="15" customHeight="1">
      <c r="A112" s="278"/>
      <c r="B112" s="279"/>
      <c r="C112" s="279"/>
      <c r="D112" s="44" t="s">
        <v>462</v>
      </c>
      <c r="E112" s="279"/>
      <c r="F112" s="280"/>
      <c r="G112" s="281"/>
      <c r="H112" s="3" t="s">
        <v>486</v>
      </c>
      <c r="I112" s="47">
        <v>57660</v>
      </c>
      <c r="J112" s="173">
        <v>70585</v>
      </c>
      <c r="K112" s="172">
        <f>100000-J112</f>
        <v>29415</v>
      </c>
      <c r="L112" s="172">
        <f t="shared" si="6"/>
        <v>100000</v>
      </c>
      <c r="M112" s="173">
        <v>100000</v>
      </c>
      <c r="O112" s="236"/>
    </row>
    <row r="113" spans="1:16" s="33" customFormat="1" ht="15" customHeight="1">
      <c r="A113" s="278"/>
      <c r="B113" s="279"/>
      <c r="C113" s="279"/>
      <c r="D113" s="44" t="s">
        <v>465</v>
      </c>
      <c r="E113" s="279"/>
      <c r="F113" s="280"/>
      <c r="G113" s="281"/>
      <c r="H113" s="3" t="s">
        <v>447</v>
      </c>
      <c r="I113" s="45">
        <v>1220500</v>
      </c>
      <c r="J113" s="175">
        <v>1220000</v>
      </c>
      <c r="K113" s="172">
        <f>1260000-J113</f>
        <v>40000</v>
      </c>
      <c r="L113" s="172">
        <f t="shared" si="6"/>
        <v>1260000</v>
      </c>
      <c r="M113" s="175">
        <v>1260000</v>
      </c>
      <c r="O113" s="236"/>
    </row>
    <row r="114" spans="1:16" s="33" customFormat="1" ht="15" customHeight="1">
      <c r="A114" s="278"/>
      <c r="B114" s="279"/>
      <c r="C114" s="279"/>
      <c r="D114" s="44" t="s">
        <v>382</v>
      </c>
      <c r="E114" s="279"/>
      <c r="F114" s="280"/>
      <c r="G114" s="281"/>
      <c r="H114" s="3" t="s">
        <v>463</v>
      </c>
      <c r="I114" s="45">
        <v>0</v>
      </c>
      <c r="J114" s="173">
        <v>0</v>
      </c>
      <c r="K114" s="172">
        <f>0-J114</f>
        <v>0</v>
      </c>
      <c r="L114" s="172">
        <f t="shared" si="6"/>
        <v>0</v>
      </c>
      <c r="M114" s="173">
        <v>75000</v>
      </c>
      <c r="O114" s="236"/>
    </row>
    <row r="115" spans="1:16" s="33" customFormat="1" ht="15" customHeight="1">
      <c r="A115" s="176"/>
      <c r="B115" s="177"/>
      <c r="C115" s="177"/>
      <c r="D115" s="515" t="s">
        <v>468</v>
      </c>
      <c r="E115" s="515"/>
      <c r="F115" s="516"/>
      <c r="G115" s="178"/>
      <c r="H115" s="85" t="s">
        <v>466</v>
      </c>
      <c r="I115" s="179">
        <v>891000</v>
      </c>
      <c r="J115" s="180">
        <v>1200000</v>
      </c>
      <c r="K115" s="181">
        <f>1200000-J115</f>
        <v>0</v>
      </c>
      <c r="L115" s="181">
        <f t="shared" si="6"/>
        <v>1200000</v>
      </c>
      <c r="M115" s="180">
        <v>1200000</v>
      </c>
      <c r="O115" s="236"/>
    </row>
    <row r="116" spans="1:16" s="33" customFormat="1" ht="15" customHeight="1">
      <c r="A116" s="278"/>
      <c r="B116" s="279"/>
      <c r="C116" s="279"/>
      <c r="D116" s="44" t="s">
        <v>606</v>
      </c>
      <c r="E116" s="279"/>
      <c r="F116" s="280"/>
      <c r="G116" s="281"/>
      <c r="H116" s="3" t="s">
        <v>469</v>
      </c>
      <c r="I116" s="45">
        <v>0</v>
      </c>
      <c r="J116" s="173">
        <v>0</v>
      </c>
      <c r="K116" s="172">
        <f>0-J116</f>
        <v>0</v>
      </c>
      <c r="L116" s="172">
        <f t="shared" si="6"/>
        <v>0</v>
      </c>
      <c r="M116" s="173">
        <v>150000</v>
      </c>
      <c r="O116" s="236"/>
    </row>
    <row r="117" spans="1:16" s="33" customFormat="1" ht="15" customHeight="1">
      <c r="A117" s="278"/>
      <c r="B117" s="279"/>
      <c r="C117" s="279"/>
      <c r="D117" s="44" t="s">
        <v>188</v>
      </c>
      <c r="E117" s="44"/>
      <c r="F117" s="507"/>
      <c r="G117" s="508"/>
      <c r="H117" s="15">
        <v>6911</v>
      </c>
      <c r="I117" s="47">
        <v>40340706.640000001</v>
      </c>
      <c r="J117" s="173">
        <f>3662873.25+30007549.01</f>
        <v>33670422.260000005</v>
      </c>
      <c r="K117" s="173">
        <f>6121686.83+32883178.62-J117</f>
        <v>5334443.1899999976</v>
      </c>
      <c r="L117" s="173">
        <f>K117+J117</f>
        <v>39004865.450000003</v>
      </c>
      <c r="M117" s="173">
        <v>39853711.600000001</v>
      </c>
      <c r="O117" s="236"/>
      <c r="P117" s="242"/>
    </row>
    <row r="118" spans="1:16" s="33" customFormat="1" ht="15" customHeight="1">
      <c r="A118" s="278"/>
      <c r="B118" s="279"/>
      <c r="C118" s="279"/>
      <c r="D118" s="44" t="s">
        <v>48</v>
      </c>
      <c r="E118" s="44"/>
      <c r="F118" s="507"/>
      <c r="G118" s="508"/>
      <c r="H118" s="15">
        <v>9998</v>
      </c>
      <c r="I118" s="47">
        <v>6431158.3600000003</v>
      </c>
      <c r="J118" s="173">
        <f>1049500.5+3703676.57</f>
        <v>4753177.07</v>
      </c>
      <c r="K118" s="173">
        <f>6334634.97+4029530.78-J118</f>
        <v>5610988.6799999997</v>
      </c>
      <c r="L118" s="173">
        <f t="shared" ref="L118:L125" si="7">K118+J118</f>
        <v>10364165.75</v>
      </c>
      <c r="M118" s="173">
        <v>10932427.9</v>
      </c>
      <c r="O118" s="236"/>
      <c r="P118" s="242"/>
    </row>
    <row r="119" spans="1:16" s="33" customFormat="1" ht="15" customHeight="1">
      <c r="A119" s="278"/>
      <c r="B119" s="279"/>
      <c r="C119" s="279"/>
      <c r="D119" s="39" t="s">
        <v>189</v>
      </c>
      <c r="E119" s="39"/>
      <c r="F119" s="40"/>
      <c r="G119" s="281"/>
      <c r="H119" s="3">
        <v>9995</v>
      </c>
      <c r="I119" s="41">
        <v>21000</v>
      </c>
      <c r="J119" s="172">
        <v>21000</v>
      </c>
      <c r="K119" s="172">
        <f>21000-J119</f>
        <v>0</v>
      </c>
      <c r="L119" s="172">
        <f t="shared" si="7"/>
        <v>21000</v>
      </c>
      <c r="M119" s="172">
        <v>21000</v>
      </c>
      <c r="O119" s="236"/>
      <c r="P119" s="242"/>
    </row>
    <row r="120" spans="1:16" s="33" customFormat="1" ht="15" customHeight="1">
      <c r="A120" s="278"/>
      <c r="B120" s="279"/>
      <c r="C120" s="279"/>
      <c r="D120" s="39" t="s">
        <v>389</v>
      </c>
      <c r="E120" s="39"/>
      <c r="F120" s="40"/>
      <c r="G120" s="281"/>
      <c r="H120" s="3" t="s">
        <v>96</v>
      </c>
      <c r="I120" s="41">
        <v>2698829.34</v>
      </c>
      <c r="J120" s="172">
        <f>3259359.42+110304.5</f>
        <v>3369663.92</v>
      </c>
      <c r="K120" s="172">
        <f>4256093.2-J120</f>
        <v>886429.28000000026</v>
      </c>
      <c r="L120" s="172">
        <f>K120+J120</f>
        <v>4256093.2</v>
      </c>
      <c r="M120" s="172">
        <v>4442000</v>
      </c>
      <c r="O120" s="236"/>
    </row>
    <row r="121" spans="1:16" s="33" customFormat="1" ht="15" customHeight="1">
      <c r="A121" s="278"/>
      <c r="B121" s="279"/>
      <c r="C121" s="279"/>
      <c r="D121" s="39" t="s">
        <v>398</v>
      </c>
      <c r="E121" s="39"/>
      <c r="F121" s="40"/>
      <c r="G121" s="281"/>
      <c r="H121" s="3" t="s">
        <v>95</v>
      </c>
      <c r="I121" s="41"/>
      <c r="J121" s="172"/>
      <c r="K121" s="172"/>
      <c r="L121" s="172"/>
      <c r="M121" s="172"/>
      <c r="O121" s="236"/>
    </row>
    <row r="122" spans="1:16" s="33" customFormat="1" ht="15" customHeight="1">
      <c r="A122" s="278"/>
      <c r="B122" s="279"/>
      <c r="C122" s="279"/>
      <c r="D122" s="39" t="s">
        <v>399</v>
      </c>
      <c r="E122" s="39"/>
      <c r="F122" s="40"/>
      <c r="G122" s="281"/>
      <c r="H122" s="3" t="s">
        <v>97</v>
      </c>
      <c r="I122" s="41">
        <v>596738.18000000005</v>
      </c>
      <c r="J122" s="172">
        <v>544189.85</v>
      </c>
      <c r="K122" s="172">
        <f>596000-J122</f>
        <v>51810.150000000023</v>
      </c>
      <c r="L122" s="172">
        <f t="shared" si="7"/>
        <v>596000</v>
      </c>
      <c r="M122" s="172">
        <v>596000</v>
      </c>
      <c r="O122" s="236"/>
    </row>
    <row r="123" spans="1:16" s="33" customFormat="1" ht="15" customHeight="1">
      <c r="A123" s="278"/>
      <c r="B123" s="279"/>
      <c r="C123" s="279"/>
      <c r="D123" s="39" t="s">
        <v>400</v>
      </c>
      <c r="E123" s="39"/>
      <c r="F123" s="40"/>
      <c r="G123" s="281"/>
      <c r="H123" s="3" t="s">
        <v>98</v>
      </c>
      <c r="I123" s="41">
        <v>316639</v>
      </c>
      <c r="J123" s="172">
        <v>320662</v>
      </c>
      <c r="K123" s="172">
        <f>347000-J123</f>
        <v>26338</v>
      </c>
      <c r="L123" s="172">
        <f t="shared" si="7"/>
        <v>347000</v>
      </c>
      <c r="M123" s="172">
        <v>415000</v>
      </c>
      <c r="O123" s="236"/>
    </row>
    <row r="124" spans="1:16" s="33" customFormat="1" ht="15" customHeight="1">
      <c r="A124" s="278"/>
      <c r="B124" s="279"/>
      <c r="C124" s="279"/>
      <c r="D124" s="39" t="s">
        <v>401</v>
      </c>
      <c r="E124" s="39"/>
      <c r="F124" s="40"/>
      <c r="G124" s="281"/>
      <c r="H124" s="3" t="s">
        <v>99</v>
      </c>
      <c r="I124" s="41">
        <v>432203</v>
      </c>
      <c r="J124" s="172">
        <v>474479</v>
      </c>
      <c r="K124" s="172">
        <f>479000-J124</f>
        <v>4521</v>
      </c>
      <c r="L124" s="172">
        <f t="shared" si="7"/>
        <v>479000</v>
      </c>
      <c r="M124" s="172">
        <v>539000</v>
      </c>
      <c r="O124" s="236"/>
    </row>
    <row r="125" spans="1:16" s="33" customFormat="1" ht="15" customHeight="1">
      <c r="A125" s="278"/>
      <c r="B125" s="279"/>
      <c r="C125" s="279"/>
      <c r="D125" s="39" t="s">
        <v>402</v>
      </c>
      <c r="E125" s="39"/>
      <c r="F125" s="40"/>
      <c r="G125" s="281"/>
      <c r="H125" s="3" t="s">
        <v>100</v>
      </c>
      <c r="I125" s="41">
        <v>560571</v>
      </c>
      <c r="J125" s="172">
        <v>198953.63</v>
      </c>
      <c r="K125" s="172">
        <f>453497.69-J125</f>
        <v>254544.06</v>
      </c>
      <c r="L125" s="172">
        <f t="shared" si="7"/>
        <v>453497.69</v>
      </c>
      <c r="M125" s="172">
        <v>442685.58</v>
      </c>
      <c r="O125" s="236"/>
    </row>
    <row r="126" spans="1:16" s="33" customFormat="1" ht="5.0999999999999996" customHeight="1">
      <c r="A126" s="278"/>
      <c r="B126" s="279"/>
      <c r="C126" s="279"/>
      <c r="D126" s="39"/>
      <c r="E126" s="39"/>
      <c r="F126" s="40"/>
      <c r="G126" s="281"/>
      <c r="H126" s="3"/>
      <c r="I126" s="41"/>
      <c r="J126" s="172"/>
      <c r="K126" s="172"/>
      <c r="L126" s="172"/>
      <c r="M126" s="172"/>
      <c r="O126" s="236"/>
    </row>
    <row r="127" spans="1:16" s="33" customFormat="1" ht="15" customHeight="1">
      <c r="A127" s="182"/>
      <c r="B127" s="183"/>
      <c r="C127" s="183"/>
      <c r="D127" s="279" t="s">
        <v>607</v>
      </c>
      <c r="E127" s="184"/>
      <c r="F127" s="185"/>
      <c r="G127" s="186"/>
      <c r="H127" s="85"/>
      <c r="I127" s="187">
        <f>SUM(I90:I125)</f>
        <v>59311888.080000006</v>
      </c>
      <c r="J127" s="187">
        <f>SUM(J90:J125)</f>
        <v>52069599.930000015</v>
      </c>
      <c r="K127" s="187">
        <f>SUM(K90:K125)</f>
        <v>12584072.16</v>
      </c>
      <c r="L127" s="187">
        <f>SUM(L90:L125)</f>
        <v>64653672.090000004</v>
      </c>
      <c r="M127" s="187">
        <f t="shared" ref="M127" si="8">SUM(M90:M125)</f>
        <v>66862551.079999998</v>
      </c>
      <c r="O127" s="236"/>
      <c r="P127" s="242"/>
    </row>
    <row r="128" spans="1:16" s="33" customFormat="1" ht="15" customHeight="1">
      <c r="A128" s="71"/>
      <c r="B128" s="71"/>
      <c r="C128" s="71"/>
      <c r="D128" s="71"/>
      <c r="E128" s="71"/>
      <c r="F128" s="71"/>
      <c r="G128" s="168"/>
      <c r="H128" s="144"/>
      <c r="I128" s="145"/>
      <c r="J128" s="145"/>
      <c r="K128" s="145"/>
      <c r="L128" s="145"/>
      <c r="M128" s="145"/>
      <c r="O128" s="236"/>
    </row>
    <row r="129" spans="1:15" s="33" customFormat="1" ht="15" customHeight="1">
      <c r="A129" s="54"/>
      <c r="B129" s="71"/>
      <c r="C129" s="54"/>
      <c r="D129" s="54"/>
      <c r="E129" s="54"/>
      <c r="F129" s="54"/>
      <c r="G129" s="54"/>
      <c r="H129" s="135"/>
      <c r="I129" s="135"/>
      <c r="J129" s="72"/>
      <c r="K129" s="72"/>
      <c r="L129" s="72"/>
      <c r="M129" s="72"/>
      <c r="O129" s="236"/>
    </row>
    <row r="130" spans="1:15" s="33" customFormat="1" ht="15" customHeight="1">
      <c r="A130" s="368" t="s">
        <v>556</v>
      </c>
      <c r="B130" s="368"/>
      <c r="C130" s="368"/>
      <c r="D130" s="368"/>
      <c r="E130" s="368"/>
      <c r="F130" s="368"/>
      <c r="G130" s="368"/>
      <c r="H130" s="368"/>
      <c r="I130" s="368"/>
      <c r="J130" s="368"/>
      <c r="K130" s="368"/>
      <c r="L130" s="368"/>
      <c r="M130" s="368"/>
      <c r="O130" s="236"/>
    </row>
    <row r="131" spans="1:15" s="33" customFormat="1" ht="15" customHeight="1">
      <c r="A131" s="362"/>
      <c r="B131" s="363"/>
      <c r="C131" s="362"/>
      <c r="D131" s="362"/>
      <c r="E131" s="362"/>
      <c r="F131" s="364"/>
      <c r="G131" s="362"/>
      <c r="H131" s="365"/>
      <c r="I131" s="365"/>
      <c r="J131" s="361"/>
      <c r="K131" s="136"/>
      <c r="L131" s="136"/>
      <c r="M131" s="72"/>
      <c r="O131" s="236"/>
    </row>
    <row r="132" spans="1:15" s="33" customFormat="1" ht="15" customHeight="1">
      <c r="A132" s="139" t="s">
        <v>245</v>
      </c>
      <c r="B132" s="139"/>
      <c r="C132" s="361"/>
      <c r="D132" s="139"/>
      <c r="E132" s="139"/>
      <c r="F132" s="361"/>
      <c r="G132" s="139"/>
      <c r="H132" s="139"/>
      <c r="I132" s="139" t="s">
        <v>246</v>
      </c>
      <c r="J132" s="139"/>
      <c r="K132" s="139"/>
      <c r="L132" s="139" t="s">
        <v>43</v>
      </c>
      <c r="M132" s="139"/>
      <c r="O132" s="236"/>
    </row>
    <row r="133" spans="1:15" s="33" customFormat="1" ht="15" customHeight="1">
      <c r="A133" s="51"/>
      <c r="B133" s="50"/>
      <c r="C133" s="52"/>
      <c r="D133" s="51"/>
      <c r="E133" s="51"/>
      <c r="F133" s="52"/>
      <c r="G133" s="51"/>
      <c r="H133" s="52"/>
      <c r="I133" s="51"/>
      <c r="J133" s="135"/>
      <c r="K133" s="76"/>
      <c r="L133" s="75"/>
      <c r="M133" s="136"/>
      <c r="O133" s="236"/>
    </row>
    <row r="134" spans="1:15" s="33" customFormat="1" ht="15" customHeight="1">
      <c r="A134" s="529" t="s">
        <v>460</v>
      </c>
      <c r="B134" s="529"/>
      <c r="C134" s="529"/>
      <c r="D134" s="529"/>
      <c r="E134" s="529"/>
      <c r="F134" s="529"/>
      <c r="G134" s="50"/>
      <c r="H134" s="73"/>
      <c r="I134" s="529" t="s">
        <v>12</v>
      </c>
      <c r="J134" s="529"/>
      <c r="K134" s="74"/>
      <c r="L134" s="529" t="s">
        <v>460</v>
      </c>
      <c r="M134" s="529"/>
      <c r="O134" s="236"/>
    </row>
    <row r="135" spans="1:15" s="33" customFormat="1" ht="15" customHeight="1">
      <c r="A135" s="517" t="s">
        <v>557</v>
      </c>
      <c r="B135" s="517"/>
      <c r="C135" s="517"/>
      <c r="D135" s="517"/>
      <c r="E135" s="517"/>
      <c r="F135" s="517"/>
      <c r="I135" s="518" t="s">
        <v>558</v>
      </c>
      <c r="J135" s="518"/>
      <c r="L135" s="517" t="s">
        <v>559</v>
      </c>
      <c r="M135" s="517"/>
      <c r="O135" s="236"/>
    </row>
    <row r="136" spans="1:15" s="33" customFormat="1" ht="15" customHeight="1">
      <c r="A136" s="167"/>
      <c r="B136" s="167"/>
      <c r="C136" s="167"/>
      <c r="D136" s="167"/>
      <c r="E136" s="167"/>
      <c r="F136" s="167"/>
      <c r="G136" s="167"/>
      <c r="H136" s="167"/>
      <c r="I136" s="167"/>
      <c r="J136" s="167"/>
      <c r="K136" s="167"/>
      <c r="L136" s="167"/>
      <c r="M136" s="167"/>
      <c r="O136" s="236"/>
    </row>
    <row r="137" spans="1:15" s="33" customFormat="1" ht="15" customHeight="1">
      <c r="A137" s="519" t="s">
        <v>549</v>
      </c>
      <c r="B137" s="519"/>
      <c r="C137" s="519"/>
      <c r="D137" s="519"/>
      <c r="E137" s="519"/>
      <c r="F137" s="519"/>
      <c r="G137" s="519"/>
      <c r="H137" s="519"/>
      <c r="I137" s="519"/>
      <c r="J137" s="519"/>
      <c r="K137" s="519"/>
      <c r="L137" s="519"/>
      <c r="M137" s="519"/>
      <c r="O137" s="236"/>
    </row>
    <row r="138" spans="1:15" s="33" customFormat="1" ht="15" customHeight="1">
      <c r="A138" s="142"/>
      <c r="B138" s="142"/>
      <c r="C138" s="142"/>
      <c r="D138" s="142"/>
      <c r="E138" s="142"/>
      <c r="F138" s="142"/>
      <c r="G138" s="142"/>
      <c r="H138" s="142"/>
      <c r="I138" s="142"/>
      <c r="J138" s="142"/>
      <c r="K138" s="142"/>
      <c r="L138" s="142"/>
      <c r="M138" s="142"/>
      <c r="O138" s="236"/>
    </row>
    <row r="139" spans="1:15" s="33" customFormat="1" ht="15" customHeight="1">
      <c r="A139" s="142" t="s">
        <v>550</v>
      </c>
      <c r="B139" s="142"/>
      <c r="C139" s="142"/>
      <c r="D139" s="141"/>
      <c r="E139" s="141"/>
      <c r="F139" s="142" t="s">
        <v>37</v>
      </c>
      <c r="G139" s="142"/>
      <c r="H139" s="142"/>
      <c r="I139" s="142"/>
      <c r="J139" s="142" t="s">
        <v>551</v>
      </c>
      <c r="K139" s="170" t="s">
        <v>604</v>
      </c>
      <c r="L139" s="142"/>
      <c r="M139" s="142"/>
      <c r="O139" s="236"/>
    </row>
    <row r="140" spans="1:15" s="33" customFormat="1" ht="15" customHeight="1">
      <c r="A140" s="142" t="s">
        <v>552</v>
      </c>
      <c r="B140" s="142"/>
      <c r="C140" s="142"/>
      <c r="D140" s="141"/>
      <c r="E140" s="142"/>
      <c r="F140" s="142" t="s">
        <v>554</v>
      </c>
      <c r="G140" s="142"/>
      <c r="H140" s="142"/>
      <c r="I140" s="142"/>
      <c r="J140" s="142" t="s">
        <v>553</v>
      </c>
      <c r="K140" s="50" t="s">
        <v>457</v>
      </c>
      <c r="L140" s="142"/>
      <c r="M140" s="142"/>
      <c r="O140" s="236"/>
    </row>
    <row r="141" spans="1:15" s="33" customFormat="1" ht="15" customHeight="1">
      <c r="A141" s="142" t="s">
        <v>555</v>
      </c>
      <c r="B141" s="142"/>
      <c r="C141" s="142"/>
      <c r="D141" s="142"/>
      <c r="E141" s="142"/>
      <c r="F141" s="142"/>
      <c r="G141" s="142"/>
      <c r="H141" s="142"/>
      <c r="I141" s="142"/>
      <c r="J141" s="142"/>
      <c r="K141" s="142"/>
      <c r="L141" s="142"/>
      <c r="M141" s="142"/>
      <c r="O141" s="236"/>
    </row>
    <row r="142" spans="1:15" s="33" customFormat="1" ht="15" customHeight="1" thickBot="1">
      <c r="A142" s="168"/>
      <c r="B142" s="168"/>
      <c r="C142" s="168"/>
      <c r="D142" s="168"/>
      <c r="E142" s="168"/>
      <c r="F142" s="168"/>
      <c r="G142" s="168"/>
      <c r="H142" s="168"/>
      <c r="I142" s="168"/>
      <c r="J142" s="168"/>
      <c r="K142" s="168"/>
      <c r="L142" s="168"/>
      <c r="M142" s="168"/>
      <c r="O142" s="236"/>
    </row>
    <row r="143" spans="1:15" s="33" customFormat="1" ht="15" customHeight="1">
      <c r="A143" s="255"/>
      <c r="B143" s="256"/>
      <c r="C143" s="256"/>
      <c r="D143" s="256"/>
      <c r="E143" s="256"/>
      <c r="F143" s="257"/>
      <c r="G143" s="258"/>
      <c r="H143" s="259"/>
      <c r="I143" s="259" t="s">
        <v>6</v>
      </c>
      <c r="J143" s="520" t="s">
        <v>545</v>
      </c>
      <c r="K143" s="521"/>
      <c r="L143" s="522"/>
      <c r="M143" s="260" t="s">
        <v>7</v>
      </c>
      <c r="O143" s="236"/>
    </row>
    <row r="144" spans="1:15" s="33" customFormat="1" ht="15" customHeight="1">
      <c r="A144" s="523"/>
      <c r="B144" s="524"/>
      <c r="C144" s="524"/>
      <c r="D144" s="524"/>
      <c r="E144" s="524"/>
      <c r="F144" s="525"/>
      <c r="G144" s="448"/>
      <c r="H144" s="261"/>
      <c r="I144" s="261">
        <v>2022</v>
      </c>
      <c r="J144" s="261" t="s">
        <v>192</v>
      </c>
      <c r="K144" s="261" t="s">
        <v>193</v>
      </c>
      <c r="L144" s="261"/>
      <c r="M144" s="262">
        <v>2024</v>
      </c>
      <c r="O144" s="236"/>
    </row>
    <row r="145" spans="1:16" s="33" customFormat="1" ht="15" customHeight="1">
      <c r="A145" s="523" t="s">
        <v>13</v>
      </c>
      <c r="B145" s="524"/>
      <c r="C145" s="524"/>
      <c r="D145" s="524"/>
      <c r="E145" s="524"/>
      <c r="F145" s="525"/>
      <c r="G145" s="263"/>
      <c r="H145" s="264" t="s">
        <v>243</v>
      </c>
      <c r="I145" s="261" t="s">
        <v>191</v>
      </c>
      <c r="J145" s="261" t="s">
        <v>191</v>
      </c>
      <c r="K145" s="261" t="s">
        <v>194</v>
      </c>
      <c r="L145" s="261" t="s">
        <v>11</v>
      </c>
      <c r="M145" s="262" t="s">
        <v>196</v>
      </c>
      <c r="O145" s="236"/>
    </row>
    <row r="146" spans="1:16" s="33" customFormat="1" ht="15" customHeight="1">
      <c r="A146" s="265"/>
      <c r="B146" s="266"/>
      <c r="C146" s="266"/>
      <c r="D146" s="266"/>
      <c r="E146" s="266"/>
      <c r="F146" s="267"/>
      <c r="G146" s="263"/>
      <c r="H146" s="261"/>
      <c r="I146" s="261"/>
      <c r="J146" s="261">
        <v>2023</v>
      </c>
      <c r="K146" s="261">
        <v>2023</v>
      </c>
      <c r="L146" s="261"/>
      <c r="M146" s="262"/>
      <c r="O146" s="236"/>
    </row>
    <row r="147" spans="1:16" s="33" customFormat="1" ht="15" customHeight="1" thickBot="1">
      <c r="A147" s="526"/>
      <c r="B147" s="527"/>
      <c r="C147" s="527"/>
      <c r="D147" s="527"/>
      <c r="E147" s="527"/>
      <c r="F147" s="528"/>
      <c r="G147" s="449"/>
      <c r="H147" s="268"/>
      <c r="I147" s="369"/>
      <c r="J147" s="268"/>
      <c r="K147" s="268"/>
      <c r="L147" s="268"/>
      <c r="M147" s="269"/>
      <c r="O147" s="236"/>
    </row>
    <row r="148" spans="1:16" s="33" customFormat="1" ht="15" customHeight="1">
      <c r="A148" s="282"/>
      <c r="B148" s="284" t="s">
        <v>187</v>
      </c>
      <c r="C148" s="479"/>
      <c r="D148" s="479"/>
      <c r="E148" s="479"/>
      <c r="F148" s="479"/>
      <c r="G148" s="480"/>
      <c r="H148" s="286"/>
      <c r="I148" s="188"/>
      <c r="J148" s="188"/>
      <c r="K148" s="188"/>
      <c r="L148" s="188"/>
      <c r="M148" s="188"/>
      <c r="O148" s="236"/>
    </row>
    <row r="149" spans="1:16" s="33" customFormat="1" ht="36" customHeight="1">
      <c r="A149" s="278"/>
      <c r="B149" s="279"/>
      <c r="C149" s="279"/>
      <c r="D149" s="515" t="s">
        <v>421</v>
      </c>
      <c r="E149" s="515"/>
      <c r="F149" s="516"/>
      <c r="G149" s="178"/>
      <c r="H149" s="85" t="s">
        <v>101</v>
      </c>
      <c r="I149" s="86">
        <v>2021525.27</v>
      </c>
      <c r="J149" s="181">
        <f>1220421+428550</f>
        <v>1648971</v>
      </c>
      <c r="K149" s="181">
        <f>1875497.69-J149</f>
        <v>226526.68999999994</v>
      </c>
      <c r="L149" s="181">
        <f>K149+J149</f>
        <v>1875497.69</v>
      </c>
      <c r="M149" s="181">
        <v>1992685.58</v>
      </c>
      <c r="O149" s="236"/>
      <c r="P149" s="231"/>
    </row>
    <row r="150" spans="1:16" s="33" customFormat="1" ht="33" customHeight="1">
      <c r="A150" s="278"/>
      <c r="B150" s="279"/>
      <c r="C150" s="279"/>
      <c r="D150" s="515" t="s">
        <v>403</v>
      </c>
      <c r="E150" s="515"/>
      <c r="F150" s="516"/>
      <c r="G150" s="178"/>
      <c r="H150" s="85" t="s">
        <v>22</v>
      </c>
      <c r="I150" s="86">
        <v>8500346.25</v>
      </c>
      <c r="J150" s="181">
        <f>8203683.83+2250</f>
        <v>8205933.8300000001</v>
      </c>
      <c r="K150" s="181">
        <f>8457622.23-J150</f>
        <v>251688.40000000037</v>
      </c>
      <c r="L150" s="181">
        <f t="shared" ref="L150:L189" si="9">K150+J150</f>
        <v>8457622.2300000004</v>
      </c>
      <c r="M150" s="181">
        <v>5000000</v>
      </c>
      <c r="O150" s="236"/>
      <c r="P150" s="231"/>
    </row>
    <row r="151" spans="1:16" s="33" customFormat="1" ht="36" customHeight="1">
      <c r="A151" s="278"/>
      <c r="B151" s="279"/>
      <c r="C151" s="279"/>
      <c r="D151" s="515" t="s">
        <v>385</v>
      </c>
      <c r="E151" s="515"/>
      <c r="F151" s="516"/>
      <c r="G151" s="178"/>
      <c r="H151" s="85">
        <v>6544</v>
      </c>
      <c r="I151" s="86">
        <v>5108285</v>
      </c>
      <c r="J151" s="181">
        <v>3994801</v>
      </c>
      <c r="K151" s="181">
        <f>4000000-J151</f>
        <v>5199</v>
      </c>
      <c r="L151" s="181">
        <f t="shared" si="9"/>
        <v>4000000</v>
      </c>
      <c r="M151" s="181">
        <v>5000000</v>
      </c>
      <c r="O151" s="236"/>
      <c r="P151" s="231"/>
    </row>
    <row r="152" spans="1:16" s="33" customFormat="1" ht="15" customHeight="1">
      <c r="A152" s="278"/>
      <c r="B152" s="279"/>
      <c r="C152" s="279"/>
      <c r="D152" s="515" t="s">
        <v>441</v>
      </c>
      <c r="E152" s="515"/>
      <c r="F152" s="516"/>
      <c r="G152" s="281"/>
      <c r="H152" s="3">
        <v>8821</v>
      </c>
      <c r="I152" s="41">
        <v>6662153.2699999996</v>
      </c>
      <c r="J152" s="172">
        <v>5219015.25</v>
      </c>
      <c r="K152" s="172">
        <f>6406191.46-J152</f>
        <v>1187176.21</v>
      </c>
      <c r="L152" s="172">
        <f t="shared" si="9"/>
        <v>6406191.46</v>
      </c>
      <c r="M152" s="172">
        <v>6500000</v>
      </c>
      <c r="O152" s="236"/>
      <c r="P152" s="231"/>
    </row>
    <row r="153" spans="1:16" s="33" customFormat="1" ht="15" customHeight="1">
      <c r="A153" s="278"/>
      <c r="B153" s="279"/>
      <c r="C153" s="279"/>
      <c r="D153" s="515" t="s">
        <v>386</v>
      </c>
      <c r="E153" s="515"/>
      <c r="F153" s="516"/>
      <c r="G153" s="281"/>
      <c r="H153" s="3">
        <v>8801</v>
      </c>
      <c r="I153" s="41">
        <v>154171.4</v>
      </c>
      <c r="J153" s="172">
        <v>149950</v>
      </c>
      <c r="K153" s="172">
        <f>400000-J153</f>
        <v>250050</v>
      </c>
      <c r="L153" s="172">
        <f t="shared" si="9"/>
        <v>400000</v>
      </c>
      <c r="M153" s="172">
        <v>500000</v>
      </c>
      <c r="O153" s="236"/>
      <c r="P153" s="231"/>
    </row>
    <row r="154" spans="1:16" s="33" customFormat="1" ht="15" customHeight="1">
      <c r="A154" s="278"/>
      <c r="B154" s="279"/>
      <c r="C154" s="279"/>
      <c r="D154" s="515" t="s">
        <v>405</v>
      </c>
      <c r="E154" s="515"/>
      <c r="F154" s="516"/>
      <c r="G154" s="281"/>
      <c r="H154" s="3">
        <v>8771</v>
      </c>
      <c r="I154" s="41">
        <v>836299.36</v>
      </c>
      <c r="J154" s="172">
        <v>722846.67</v>
      </c>
      <c r="K154" s="172">
        <f>750000-J154</f>
        <v>27153.329999999958</v>
      </c>
      <c r="L154" s="172">
        <f t="shared" si="9"/>
        <v>750000</v>
      </c>
      <c r="M154" s="172">
        <v>1000000</v>
      </c>
      <c r="O154" s="236"/>
      <c r="P154" s="231"/>
    </row>
    <row r="155" spans="1:16" s="33" customFormat="1" ht="15" customHeight="1">
      <c r="A155" s="278"/>
      <c r="B155" s="279"/>
      <c r="C155" s="279"/>
      <c r="D155" s="515" t="s">
        <v>72</v>
      </c>
      <c r="E155" s="515"/>
      <c r="F155" s="516"/>
      <c r="G155" s="281"/>
      <c r="H155" s="3">
        <v>8781</v>
      </c>
      <c r="I155" s="41">
        <v>9300470.5</v>
      </c>
      <c r="J155" s="172">
        <v>7864653.8399999999</v>
      </c>
      <c r="K155" s="172">
        <f>7885000-J155</f>
        <v>20346.160000000149</v>
      </c>
      <c r="L155" s="172">
        <f t="shared" si="9"/>
        <v>7885000</v>
      </c>
      <c r="M155" s="172">
        <v>7500000</v>
      </c>
      <c r="O155" s="236"/>
      <c r="P155" s="231"/>
    </row>
    <row r="156" spans="1:16" s="33" customFormat="1" ht="15" customHeight="1">
      <c r="A156" s="278"/>
      <c r="B156" s="279"/>
      <c r="C156" s="279"/>
      <c r="D156" s="515" t="s">
        <v>406</v>
      </c>
      <c r="E156" s="515"/>
      <c r="F156" s="516"/>
      <c r="G156" s="281"/>
      <c r="H156" s="3">
        <v>8791</v>
      </c>
      <c r="I156" s="41">
        <v>739083.86</v>
      </c>
      <c r="J156" s="172">
        <v>816030.15</v>
      </c>
      <c r="K156" s="172">
        <f>820000-J156</f>
        <v>3969.8499999999767</v>
      </c>
      <c r="L156" s="172">
        <f t="shared" si="9"/>
        <v>820000</v>
      </c>
      <c r="M156" s="172">
        <v>700000</v>
      </c>
      <c r="O156" s="236"/>
      <c r="P156" s="231"/>
    </row>
    <row r="157" spans="1:16" s="33" customFormat="1" ht="15" customHeight="1">
      <c r="A157" s="278"/>
      <c r="B157" s="279"/>
      <c r="C157" s="279"/>
      <c r="D157" s="515" t="s">
        <v>387</v>
      </c>
      <c r="E157" s="515"/>
      <c r="F157" s="516"/>
      <c r="G157" s="281"/>
      <c r="H157" s="3" t="s">
        <v>23</v>
      </c>
      <c r="I157" s="41">
        <v>691641.32</v>
      </c>
      <c r="J157" s="172">
        <v>520503.57</v>
      </c>
      <c r="K157" s="172">
        <f>574000-J157</f>
        <v>53496.429999999993</v>
      </c>
      <c r="L157" s="172">
        <f t="shared" si="9"/>
        <v>574000</v>
      </c>
      <c r="M157" s="172">
        <v>600000</v>
      </c>
      <c r="O157" s="236"/>
      <c r="P157" s="231"/>
    </row>
    <row r="158" spans="1:16" s="33" customFormat="1" ht="15" customHeight="1">
      <c r="A158" s="278"/>
      <c r="B158" s="279"/>
      <c r="C158" s="279"/>
      <c r="D158" s="515" t="s">
        <v>388</v>
      </c>
      <c r="E158" s="515"/>
      <c r="F158" s="516"/>
      <c r="G158" s="281"/>
      <c r="H158" s="3" t="s">
        <v>24</v>
      </c>
      <c r="I158" s="41">
        <v>950000</v>
      </c>
      <c r="J158" s="172">
        <v>540020</v>
      </c>
      <c r="K158" s="172">
        <f>600000-J158</f>
        <v>59980</v>
      </c>
      <c r="L158" s="172">
        <f t="shared" si="9"/>
        <v>600000</v>
      </c>
      <c r="M158" s="172">
        <v>500000</v>
      </c>
      <c r="O158" s="236"/>
      <c r="P158" s="231"/>
    </row>
    <row r="159" spans="1:16" s="33" customFormat="1" ht="15" customHeight="1">
      <c r="A159" s="278"/>
      <c r="B159" s="279"/>
      <c r="C159" s="279"/>
      <c r="D159" s="515" t="s">
        <v>423</v>
      </c>
      <c r="E159" s="515"/>
      <c r="F159" s="516"/>
      <c r="G159" s="281"/>
      <c r="H159" s="3" t="s">
        <v>424</v>
      </c>
      <c r="I159" s="41">
        <v>0</v>
      </c>
      <c r="J159" s="172">
        <v>0</v>
      </c>
      <c r="K159" s="172">
        <f>0-J159</f>
        <v>0</v>
      </c>
      <c r="L159" s="172">
        <f t="shared" si="9"/>
        <v>0</v>
      </c>
      <c r="M159" s="172">
        <v>120000</v>
      </c>
      <c r="O159" s="236"/>
      <c r="P159" s="231"/>
    </row>
    <row r="160" spans="1:16" s="33" customFormat="1" ht="15" customHeight="1">
      <c r="A160" s="278"/>
      <c r="B160" s="279"/>
      <c r="C160" s="279"/>
      <c r="D160" s="515" t="s">
        <v>394</v>
      </c>
      <c r="E160" s="515"/>
      <c r="F160" s="516"/>
      <c r="G160" s="281"/>
      <c r="H160" s="3" t="s">
        <v>102</v>
      </c>
      <c r="I160" s="41">
        <v>595680</v>
      </c>
      <c r="J160" s="172">
        <v>387097</v>
      </c>
      <c r="K160" s="172">
        <f>400000-J160</f>
        <v>12903</v>
      </c>
      <c r="L160" s="172">
        <f t="shared" si="9"/>
        <v>400000</v>
      </c>
      <c r="M160" s="172">
        <v>800000</v>
      </c>
      <c r="O160" s="236"/>
      <c r="P160" s="231"/>
    </row>
    <row r="161" spans="1:16" s="33" customFormat="1" ht="15" customHeight="1">
      <c r="A161" s="278"/>
      <c r="B161" s="279"/>
      <c r="C161" s="279"/>
      <c r="D161" s="515" t="s">
        <v>404</v>
      </c>
      <c r="E161" s="515"/>
      <c r="F161" s="516"/>
      <c r="G161" s="281"/>
      <c r="H161" s="3" t="s">
        <v>25</v>
      </c>
      <c r="I161" s="41">
        <v>864267</v>
      </c>
      <c r="J161" s="172">
        <v>936856</v>
      </c>
      <c r="K161" s="172">
        <f>997000-J161</f>
        <v>60144</v>
      </c>
      <c r="L161" s="172">
        <f t="shared" si="9"/>
        <v>997000</v>
      </c>
      <c r="M161" s="172">
        <v>400000</v>
      </c>
      <c r="O161" s="236"/>
      <c r="P161" s="231"/>
    </row>
    <row r="162" spans="1:16" s="33" customFormat="1" ht="15" customHeight="1">
      <c r="A162" s="278"/>
      <c r="B162" s="279"/>
      <c r="C162" s="279"/>
      <c r="D162" s="515" t="s">
        <v>395</v>
      </c>
      <c r="E162" s="515"/>
      <c r="F162" s="516"/>
      <c r="G162" s="281"/>
      <c r="H162" s="3" t="s">
        <v>26</v>
      </c>
      <c r="I162" s="41">
        <v>0</v>
      </c>
      <c r="J162" s="172">
        <v>0</v>
      </c>
      <c r="K162" s="172">
        <f>0-J162</f>
        <v>0</v>
      </c>
      <c r="L162" s="172">
        <f t="shared" si="9"/>
        <v>0</v>
      </c>
      <c r="M162" s="172">
        <v>50000</v>
      </c>
      <c r="O162" s="236"/>
      <c r="P162" s="231"/>
    </row>
    <row r="163" spans="1:16" s="33" customFormat="1" ht="15" customHeight="1">
      <c r="A163" s="278"/>
      <c r="B163" s="279"/>
      <c r="C163" s="279"/>
      <c r="D163" s="515" t="s">
        <v>396</v>
      </c>
      <c r="E163" s="515"/>
      <c r="F163" s="516"/>
      <c r="G163" s="281"/>
      <c r="H163" s="3" t="s">
        <v>27</v>
      </c>
      <c r="I163" s="41">
        <v>288654</v>
      </c>
      <c r="J163" s="172">
        <f>145470+149080</f>
        <v>294550</v>
      </c>
      <c r="K163" s="172">
        <f>300000-J163</f>
        <v>5450</v>
      </c>
      <c r="L163" s="172">
        <f t="shared" si="9"/>
        <v>300000</v>
      </c>
      <c r="M163" s="172">
        <v>300000</v>
      </c>
      <c r="O163" s="236"/>
      <c r="P163" s="231"/>
    </row>
    <row r="164" spans="1:16" s="33" customFormat="1" ht="15" customHeight="1">
      <c r="A164" s="278"/>
      <c r="B164" s="279"/>
      <c r="C164" s="279"/>
      <c r="D164" s="515" t="s">
        <v>397</v>
      </c>
      <c r="E164" s="515"/>
      <c r="F164" s="516"/>
      <c r="G164" s="281"/>
      <c r="H164" s="3" t="s">
        <v>28</v>
      </c>
      <c r="I164" s="41">
        <v>548840</v>
      </c>
      <c r="J164" s="172">
        <v>454800</v>
      </c>
      <c r="K164" s="172">
        <f>550000-J164</f>
        <v>95200</v>
      </c>
      <c r="L164" s="172">
        <f t="shared" si="9"/>
        <v>550000</v>
      </c>
      <c r="M164" s="172">
        <v>550000</v>
      </c>
      <c r="O164" s="236"/>
      <c r="P164" s="231"/>
    </row>
    <row r="165" spans="1:16" s="33" customFormat="1" ht="15" customHeight="1">
      <c r="A165" s="278"/>
      <c r="B165" s="279"/>
      <c r="C165" s="279"/>
      <c r="D165" s="515" t="s">
        <v>393</v>
      </c>
      <c r="E165" s="515"/>
      <c r="F165" s="516"/>
      <c r="G165" s="281"/>
      <c r="H165" s="3" t="s">
        <v>29</v>
      </c>
      <c r="I165" s="41">
        <v>14000</v>
      </c>
      <c r="J165" s="172">
        <v>6000</v>
      </c>
      <c r="K165" s="172">
        <f>12000-J165</f>
        <v>6000</v>
      </c>
      <c r="L165" s="172">
        <f t="shared" si="9"/>
        <v>12000</v>
      </c>
      <c r="M165" s="172">
        <v>12000</v>
      </c>
      <c r="O165" s="236"/>
      <c r="P165" s="231"/>
    </row>
    <row r="166" spans="1:16" s="33" customFormat="1" ht="15" customHeight="1">
      <c r="A166" s="278"/>
      <c r="B166" s="279"/>
      <c r="C166" s="279"/>
      <c r="D166" s="515" t="s">
        <v>390</v>
      </c>
      <c r="E166" s="515"/>
      <c r="F166" s="516"/>
      <c r="G166" s="281"/>
      <c r="H166" s="3" t="s">
        <v>30</v>
      </c>
      <c r="I166" s="41">
        <v>269290</v>
      </c>
      <c r="J166" s="172">
        <v>310250</v>
      </c>
      <c r="K166" s="172">
        <f>400000-J166</f>
        <v>89750</v>
      </c>
      <c r="L166" s="172">
        <f t="shared" si="9"/>
        <v>400000</v>
      </c>
      <c r="M166" s="172">
        <v>500000</v>
      </c>
      <c r="O166" s="236"/>
      <c r="P166" s="231"/>
    </row>
    <row r="167" spans="1:16" s="33" customFormat="1" ht="15" customHeight="1">
      <c r="A167" s="278"/>
      <c r="B167" s="279"/>
      <c r="C167" s="279"/>
      <c r="D167" s="515" t="s">
        <v>391</v>
      </c>
      <c r="E167" s="515"/>
      <c r="F167" s="516"/>
      <c r="G167" s="281"/>
      <c r="H167" s="3" t="s">
        <v>40</v>
      </c>
      <c r="I167" s="41">
        <v>229085</v>
      </c>
      <c r="J167" s="172">
        <v>201690</v>
      </c>
      <c r="K167" s="172">
        <f>250000-J167</f>
        <v>48310</v>
      </c>
      <c r="L167" s="172">
        <f t="shared" si="9"/>
        <v>250000</v>
      </c>
      <c r="M167" s="172">
        <v>250000</v>
      </c>
      <c r="O167" s="236"/>
      <c r="P167" s="231"/>
    </row>
    <row r="168" spans="1:16" s="33" customFormat="1" ht="15" customHeight="1">
      <c r="A168" s="278"/>
      <c r="B168" s="279"/>
      <c r="C168" s="279"/>
      <c r="D168" s="515" t="s">
        <v>392</v>
      </c>
      <c r="E168" s="515"/>
      <c r="F168" s="516"/>
      <c r="G168" s="281"/>
      <c r="H168" s="3" t="s">
        <v>41</v>
      </c>
      <c r="I168" s="41">
        <v>240400</v>
      </c>
      <c r="J168" s="172">
        <v>239870</v>
      </c>
      <c r="K168" s="172">
        <f>250000-J168</f>
        <v>10130</v>
      </c>
      <c r="L168" s="172">
        <f t="shared" si="9"/>
        <v>250000</v>
      </c>
      <c r="M168" s="172">
        <v>250000</v>
      </c>
      <c r="O168" s="236"/>
      <c r="P168" s="231"/>
    </row>
    <row r="169" spans="1:16" s="33" customFormat="1" ht="15" customHeight="1">
      <c r="A169" s="278"/>
      <c r="B169" s="279"/>
      <c r="C169" s="279"/>
      <c r="D169" s="515" t="s">
        <v>420</v>
      </c>
      <c r="E169" s="515"/>
      <c r="F169" s="516"/>
      <c r="G169" s="281"/>
      <c r="H169" s="3" t="s">
        <v>103</v>
      </c>
      <c r="I169" s="41">
        <v>3627041.2</v>
      </c>
      <c r="J169" s="172">
        <f>717867.6+49452.85+275222.84+81890+386433.22+151660</f>
        <v>1662526.51</v>
      </c>
      <c r="K169" s="172">
        <f>1900000-J169</f>
        <v>237473.49</v>
      </c>
      <c r="L169" s="172">
        <f t="shared" si="9"/>
        <v>1900000</v>
      </c>
      <c r="M169" s="172">
        <v>1900000</v>
      </c>
      <c r="O169" s="236"/>
      <c r="P169" s="231"/>
    </row>
    <row r="170" spans="1:16" s="33" customFormat="1" ht="15" customHeight="1">
      <c r="A170" s="278"/>
      <c r="B170" s="279"/>
      <c r="C170" s="279"/>
      <c r="D170" s="515" t="s">
        <v>70</v>
      </c>
      <c r="E170" s="515"/>
      <c r="F170" s="516"/>
      <c r="G170" s="281"/>
      <c r="H170" s="3" t="s">
        <v>104</v>
      </c>
      <c r="I170" s="41">
        <v>200000</v>
      </c>
      <c r="J170" s="172">
        <v>200000</v>
      </c>
      <c r="K170" s="172">
        <f>200000-J170</f>
        <v>0</v>
      </c>
      <c r="L170" s="172">
        <f t="shared" si="9"/>
        <v>200000</v>
      </c>
      <c r="M170" s="172">
        <v>200000</v>
      </c>
      <c r="O170" s="236"/>
    </row>
    <row r="171" spans="1:16" s="33" customFormat="1" ht="36" customHeight="1">
      <c r="A171" s="278"/>
      <c r="B171" s="279"/>
      <c r="C171" s="279"/>
      <c r="D171" s="515" t="s">
        <v>592</v>
      </c>
      <c r="E171" s="515"/>
      <c r="F171" s="516"/>
      <c r="G171" s="186"/>
      <c r="H171" s="85" t="s">
        <v>42</v>
      </c>
      <c r="I171" s="86">
        <v>599694.02</v>
      </c>
      <c r="J171" s="181">
        <v>0</v>
      </c>
      <c r="K171" s="181">
        <f>0-J171</f>
        <v>0</v>
      </c>
      <c r="L171" s="181">
        <f t="shared" si="9"/>
        <v>0</v>
      </c>
      <c r="M171" s="181">
        <v>0</v>
      </c>
      <c r="O171" s="236"/>
    </row>
    <row r="172" spans="1:16" s="33" customFormat="1" ht="31.5" customHeight="1">
      <c r="A172" s="278"/>
      <c r="B172" s="279"/>
      <c r="C172" s="279"/>
      <c r="D172" s="515" t="s">
        <v>593</v>
      </c>
      <c r="E172" s="515"/>
      <c r="F172" s="516"/>
      <c r="G172" s="186"/>
      <c r="H172" s="85" t="s">
        <v>44</v>
      </c>
      <c r="I172" s="86">
        <v>599772.94999999995</v>
      </c>
      <c r="J172" s="181">
        <v>0</v>
      </c>
      <c r="K172" s="181">
        <f t="shared" ref="K172:K189" si="10">0-J172</f>
        <v>0</v>
      </c>
      <c r="L172" s="181">
        <f t="shared" si="9"/>
        <v>0</v>
      </c>
      <c r="M172" s="181">
        <v>0</v>
      </c>
      <c r="O172" s="236"/>
    </row>
    <row r="173" spans="1:16" s="33" customFormat="1" ht="33.75" customHeight="1">
      <c r="A173" s="278"/>
      <c r="B173" s="279"/>
      <c r="C173" s="279"/>
      <c r="D173" s="515" t="s">
        <v>505</v>
      </c>
      <c r="E173" s="515"/>
      <c r="F173" s="516"/>
      <c r="G173" s="186"/>
      <c r="H173" s="85" t="s">
        <v>45</v>
      </c>
      <c r="I173" s="86">
        <v>999628.68</v>
      </c>
      <c r="J173" s="181">
        <v>0</v>
      </c>
      <c r="K173" s="181">
        <f t="shared" si="10"/>
        <v>0</v>
      </c>
      <c r="L173" s="181">
        <f t="shared" si="9"/>
        <v>0</v>
      </c>
      <c r="M173" s="181">
        <v>0</v>
      </c>
      <c r="O173" s="236"/>
    </row>
    <row r="174" spans="1:16" s="33" customFormat="1" ht="32.25" customHeight="1">
      <c r="A174" s="176"/>
      <c r="B174" s="177"/>
      <c r="C174" s="177"/>
      <c r="D174" s="515" t="s">
        <v>594</v>
      </c>
      <c r="E174" s="515"/>
      <c r="F174" s="516"/>
      <c r="G174" s="186"/>
      <c r="H174" s="85" t="s">
        <v>46</v>
      </c>
      <c r="I174" s="86">
        <v>199895</v>
      </c>
      <c r="J174" s="181">
        <v>0</v>
      </c>
      <c r="K174" s="181">
        <f t="shared" si="10"/>
        <v>0</v>
      </c>
      <c r="L174" s="181">
        <f t="shared" si="9"/>
        <v>0</v>
      </c>
      <c r="M174" s="181">
        <v>0</v>
      </c>
      <c r="O174" s="236"/>
    </row>
    <row r="175" spans="1:16" s="33" customFormat="1" ht="22.5" customHeight="1">
      <c r="A175" s="278"/>
      <c r="B175" s="279"/>
      <c r="C175" s="279"/>
      <c r="D175" s="515" t="s">
        <v>595</v>
      </c>
      <c r="E175" s="515"/>
      <c r="F175" s="516"/>
      <c r="G175" s="186"/>
      <c r="H175" s="85" t="s">
        <v>454</v>
      </c>
      <c r="I175" s="86">
        <v>199640</v>
      </c>
      <c r="J175" s="181">
        <v>0</v>
      </c>
      <c r="K175" s="181">
        <f t="shared" si="10"/>
        <v>0</v>
      </c>
      <c r="L175" s="181">
        <f t="shared" si="9"/>
        <v>0</v>
      </c>
      <c r="M175" s="181">
        <v>0</v>
      </c>
      <c r="O175" s="236"/>
    </row>
    <row r="176" spans="1:16" s="33" customFormat="1" ht="31.5" customHeight="1">
      <c r="A176" s="278"/>
      <c r="B176" s="279"/>
      <c r="C176" s="279"/>
      <c r="D176" s="515" t="s">
        <v>596</v>
      </c>
      <c r="E176" s="515"/>
      <c r="F176" s="516"/>
      <c r="G176" s="186"/>
      <c r="H176" s="85" t="s">
        <v>250</v>
      </c>
      <c r="I176" s="86">
        <v>399614.1</v>
      </c>
      <c r="J176" s="181">
        <v>0</v>
      </c>
      <c r="K176" s="181">
        <f t="shared" si="10"/>
        <v>0</v>
      </c>
      <c r="L176" s="181">
        <f t="shared" si="9"/>
        <v>0</v>
      </c>
      <c r="M176" s="181">
        <v>0</v>
      </c>
      <c r="O176" s="236"/>
    </row>
    <row r="177" spans="1:15" s="33" customFormat="1" ht="31.5" customHeight="1">
      <c r="A177" s="278"/>
      <c r="B177" s="279"/>
      <c r="C177" s="279"/>
      <c r="D177" s="515" t="s">
        <v>597</v>
      </c>
      <c r="E177" s="515"/>
      <c r="F177" s="516"/>
      <c r="G177" s="186"/>
      <c r="H177" s="85" t="s">
        <v>251</v>
      </c>
      <c r="I177" s="86">
        <v>599910</v>
      </c>
      <c r="J177" s="181">
        <v>0</v>
      </c>
      <c r="K177" s="181">
        <f t="shared" si="10"/>
        <v>0</v>
      </c>
      <c r="L177" s="181">
        <f t="shared" si="9"/>
        <v>0</v>
      </c>
      <c r="M177" s="181">
        <v>0</v>
      </c>
      <c r="O177" s="236"/>
    </row>
    <row r="178" spans="1:15" s="33" customFormat="1" ht="29.25" customHeight="1">
      <c r="A178" s="278"/>
      <c r="B178" s="279"/>
      <c r="C178" s="279"/>
      <c r="D178" s="515" t="s">
        <v>506</v>
      </c>
      <c r="E178" s="515"/>
      <c r="F178" s="516"/>
      <c r="G178" s="186"/>
      <c r="H178" s="85" t="s">
        <v>252</v>
      </c>
      <c r="I178" s="86">
        <v>199800</v>
      </c>
      <c r="J178" s="181">
        <v>0</v>
      </c>
      <c r="K178" s="181">
        <f t="shared" si="10"/>
        <v>0</v>
      </c>
      <c r="L178" s="181">
        <f t="shared" si="9"/>
        <v>0</v>
      </c>
      <c r="M178" s="181">
        <v>0</v>
      </c>
      <c r="O178" s="236"/>
    </row>
    <row r="179" spans="1:15" s="33" customFormat="1" ht="21.75" customHeight="1">
      <c r="A179" s="278"/>
      <c r="B179" s="279"/>
      <c r="C179" s="279"/>
      <c r="D179" s="515" t="s">
        <v>507</v>
      </c>
      <c r="E179" s="515"/>
      <c r="F179" s="516"/>
      <c r="G179" s="186"/>
      <c r="H179" s="85" t="s">
        <v>455</v>
      </c>
      <c r="I179" s="86">
        <v>199910</v>
      </c>
      <c r="J179" s="181">
        <v>0</v>
      </c>
      <c r="K179" s="181">
        <f t="shared" si="10"/>
        <v>0</v>
      </c>
      <c r="L179" s="181">
        <f t="shared" si="9"/>
        <v>0</v>
      </c>
      <c r="M179" s="181">
        <v>0</v>
      </c>
      <c r="O179" s="236"/>
    </row>
    <row r="180" spans="1:15" s="33" customFormat="1" ht="21" customHeight="1">
      <c r="A180" s="278"/>
      <c r="B180" s="279"/>
      <c r="C180" s="279"/>
      <c r="D180" s="515" t="s">
        <v>508</v>
      </c>
      <c r="E180" s="515"/>
      <c r="F180" s="516"/>
      <c r="G180" s="186"/>
      <c r="H180" s="85" t="s">
        <v>470</v>
      </c>
      <c r="I180" s="86">
        <v>449527.88</v>
      </c>
      <c r="J180" s="181">
        <v>0</v>
      </c>
      <c r="K180" s="181">
        <f t="shared" si="10"/>
        <v>0</v>
      </c>
      <c r="L180" s="181">
        <f t="shared" si="9"/>
        <v>0</v>
      </c>
      <c r="M180" s="181">
        <v>0</v>
      </c>
      <c r="O180" s="236"/>
    </row>
    <row r="181" spans="1:15" s="33" customFormat="1" ht="30" customHeight="1">
      <c r="A181" s="278"/>
      <c r="B181" s="279"/>
      <c r="C181" s="279"/>
      <c r="D181" s="515" t="s">
        <v>598</v>
      </c>
      <c r="E181" s="515"/>
      <c r="F181" s="516"/>
      <c r="G181" s="186"/>
      <c r="H181" s="85" t="s">
        <v>471</v>
      </c>
      <c r="I181" s="86">
        <v>49915</v>
      </c>
      <c r="J181" s="181">
        <v>0</v>
      </c>
      <c r="K181" s="181">
        <f t="shared" si="10"/>
        <v>0</v>
      </c>
      <c r="L181" s="181">
        <f t="shared" si="9"/>
        <v>0</v>
      </c>
      <c r="M181" s="181">
        <v>0</v>
      </c>
      <c r="O181" s="236"/>
    </row>
    <row r="182" spans="1:15" s="33" customFormat="1" ht="30" customHeight="1">
      <c r="A182" s="278"/>
      <c r="B182" s="279"/>
      <c r="C182" s="279"/>
      <c r="D182" s="515" t="s">
        <v>599</v>
      </c>
      <c r="E182" s="515"/>
      <c r="F182" s="516"/>
      <c r="G182" s="186"/>
      <c r="H182" s="85" t="s">
        <v>472</v>
      </c>
      <c r="I182" s="86">
        <v>49925</v>
      </c>
      <c r="J182" s="181">
        <v>0</v>
      </c>
      <c r="K182" s="181">
        <f t="shared" si="10"/>
        <v>0</v>
      </c>
      <c r="L182" s="181">
        <f t="shared" si="9"/>
        <v>0</v>
      </c>
      <c r="M182" s="181">
        <v>0</v>
      </c>
      <c r="O182" s="236"/>
    </row>
    <row r="183" spans="1:15" s="33" customFormat="1" ht="30" customHeight="1">
      <c r="A183" s="278"/>
      <c r="B183" s="279"/>
      <c r="C183" s="279"/>
      <c r="D183" s="515" t="s">
        <v>600</v>
      </c>
      <c r="E183" s="515"/>
      <c r="F183" s="516"/>
      <c r="G183" s="186"/>
      <c r="H183" s="85" t="s">
        <v>473</v>
      </c>
      <c r="I183" s="86">
        <v>99860</v>
      </c>
      <c r="J183" s="181">
        <v>0</v>
      </c>
      <c r="K183" s="181">
        <f>0-J183</f>
        <v>0</v>
      </c>
      <c r="L183" s="181">
        <f t="shared" si="9"/>
        <v>0</v>
      </c>
      <c r="M183" s="181">
        <v>0</v>
      </c>
      <c r="O183" s="236"/>
    </row>
    <row r="184" spans="1:15" s="33" customFormat="1" ht="30" customHeight="1">
      <c r="A184" s="278"/>
      <c r="B184" s="279"/>
      <c r="C184" s="279"/>
      <c r="D184" s="515" t="s">
        <v>601</v>
      </c>
      <c r="E184" s="515"/>
      <c r="F184" s="516"/>
      <c r="G184" s="186"/>
      <c r="H184" s="85" t="s">
        <v>474</v>
      </c>
      <c r="I184" s="86">
        <v>99970</v>
      </c>
      <c r="J184" s="181"/>
      <c r="K184" s="181"/>
      <c r="L184" s="181"/>
      <c r="M184" s="181"/>
      <c r="O184" s="236"/>
    </row>
    <row r="185" spans="1:15" s="33" customFormat="1" ht="30" customHeight="1">
      <c r="A185" s="278"/>
      <c r="B185" s="279"/>
      <c r="C185" s="279"/>
      <c r="D185" s="515" t="s">
        <v>509</v>
      </c>
      <c r="E185" s="515"/>
      <c r="F185" s="516"/>
      <c r="G185" s="186"/>
      <c r="H185" s="85" t="s">
        <v>478</v>
      </c>
      <c r="I185" s="86">
        <v>199969.38</v>
      </c>
      <c r="J185" s="181"/>
      <c r="K185" s="181"/>
      <c r="L185" s="181">
        <f t="shared" si="9"/>
        <v>0</v>
      </c>
      <c r="M185" s="181"/>
      <c r="O185" s="236"/>
    </row>
    <row r="186" spans="1:15" s="33" customFormat="1" ht="30" customHeight="1">
      <c r="A186" s="278"/>
      <c r="B186" s="279"/>
      <c r="C186" s="279"/>
      <c r="D186" s="515" t="s">
        <v>621</v>
      </c>
      <c r="E186" s="515"/>
      <c r="F186" s="516"/>
      <c r="G186" s="186"/>
      <c r="H186" s="85" t="s">
        <v>42</v>
      </c>
      <c r="I186" s="86"/>
      <c r="J186" s="181">
        <v>99930</v>
      </c>
      <c r="K186" s="181">
        <f>100000-J186</f>
        <v>70</v>
      </c>
      <c r="L186" s="181">
        <f t="shared" si="9"/>
        <v>100000</v>
      </c>
      <c r="M186" s="181"/>
      <c r="O186" s="236"/>
    </row>
    <row r="187" spans="1:15" s="33" customFormat="1" ht="30" customHeight="1">
      <c r="A187" s="278"/>
      <c r="B187" s="279"/>
      <c r="C187" s="279"/>
      <c r="D187" s="515" t="s">
        <v>622</v>
      </c>
      <c r="E187" s="515"/>
      <c r="F187" s="516"/>
      <c r="G187" s="186"/>
      <c r="H187" s="85" t="s">
        <v>44</v>
      </c>
      <c r="I187" s="86"/>
      <c r="J187" s="181">
        <v>99920</v>
      </c>
      <c r="K187" s="181">
        <f>100000-J187</f>
        <v>80</v>
      </c>
      <c r="L187" s="181">
        <f t="shared" si="9"/>
        <v>100000</v>
      </c>
      <c r="M187" s="181"/>
      <c r="O187" s="236"/>
    </row>
    <row r="188" spans="1:15" s="33" customFormat="1" ht="32.25" customHeight="1">
      <c r="A188" s="278"/>
      <c r="B188" s="279"/>
      <c r="C188" s="279"/>
      <c r="D188" s="515" t="s">
        <v>623</v>
      </c>
      <c r="E188" s="515"/>
      <c r="F188" s="516"/>
      <c r="G188" s="186"/>
      <c r="H188" s="85" t="s">
        <v>45</v>
      </c>
      <c r="I188" s="86"/>
      <c r="J188" s="181">
        <v>99920</v>
      </c>
      <c r="K188" s="181">
        <f>100000-J188</f>
        <v>80</v>
      </c>
      <c r="L188" s="181">
        <f t="shared" si="9"/>
        <v>100000</v>
      </c>
      <c r="M188" s="181">
        <v>0</v>
      </c>
      <c r="O188" s="236"/>
    </row>
    <row r="189" spans="1:15" s="33" customFormat="1" ht="22.5" customHeight="1">
      <c r="A189" s="182"/>
      <c r="B189" s="183"/>
      <c r="C189" s="183"/>
      <c r="D189" s="515"/>
      <c r="E189" s="515"/>
      <c r="F189" s="516"/>
      <c r="G189" s="186"/>
      <c r="H189" s="85"/>
      <c r="I189" s="86"/>
      <c r="J189" s="181">
        <v>0</v>
      </c>
      <c r="K189" s="181">
        <f t="shared" si="10"/>
        <v>0</v>
      </c>
      <c r="L189" s="181">
        <f t="shared" si="9"/>
        <v>0</v>
      </c>
      <c r="M189" s="181">
        <v>0</v>
      </c>
      <c r="O189" s="236"/>
    </row>
    <row r="190" spans="1:15" s="33" customFormat="1" ht="15" customHeight="1">
      <c r="A190" s="481"/>
      <c r="B190" s="63"/>
      <c r="C190" s="63"/>
      <c r="D190" s="279" t="s">
        <v>607</v>
      </c>
      <c r="E190" s="184"/>
      <c r="F190" s="185"/>
      <c r="G190" s="186"/>
      <c r="H190" s="85"/>
      <c r="I190" s="187">
        <f>SUM(I149:I189)</f>
        <v>46788265.440000013</v>
      </c>
      <c r="J190" s="187">
        <f>SUM(J149:J189)</f>
        <v>34676134.82</v>
      </c>
      <c r="K190" s="187">
        <f>SUM(K149:K189)</f>
        <v>2651176.5600000005</v>
      </c>
      <c r="L190" s="187">
        <f>SUM(L149:L189)</f>
        <v>37327311.379999995</v>
      </c>
      <c r="M190" s="187">
        <f>SUM(M149:M189)</f>
        <v>34624685.579999998</v>
      </c>
      <c r="O190" s="236"/>
    </row>
    <row r="191" spans="1:15" s="33" customFormat="1" ht="5.0999999999999996" customHeight="1">
      <c r="A191" s="66"/>
      <c r="B191" s="67"/>
      <c r="C191" s="67"/>
      <c r="D191" s="283"/>
      <c r="E191" s="217"/>
      <c r="F191" s="218"/>
      <c r="G191" s="219"/>
      <c r="H191" s="132"/>
      <c r="I191" s="220"/>
      <c r="J191" s="220"/>
      <c r="K191" s="220"/>
      <c r="L191" s="220"/>
      <c r="M191" s="220"/>
      <c r="O191" s="236"/>
    </row>
    <row r="192" spans="1:15" s="33" customFormat="1" ht="15" customHeight="1">
      <c r="A192" s="282" t="s">
        <v>244</v>
      </c>
      <c r="B192" s="283"/>
      <c r="C192" s="283"/>
      <c r="D192" s="283"/>
      <c r="E192" s="283"/>
      <c r="F192" s="284"/>
      <c r="G192" s="285"/>
      <c r="H192" s="286"/>
      <c r="I192" s="188">
        <f>SUM(I190+I127+I68)</f>
        <v>133813635.63000001</v>
      </c>
      <c r="J192" s="188">
        <f>SUM(J190+J127+J68)</f>
        <v>105124545.12000002</v>
      </c>
      <c r="K192" s="188">
        <f>SUM(K190+K127+K68)</f>
        <v>16267221.350000001</v>
      </c>
      <c r="L192" s="188">
        <f>SUM(L190+L127+L68)</f>
        <v>121391766.47</v>
      </c>
      <c r="M192" s="188">
        <f>SUM(M190+M127+M68)</f>
        <v>118351085.66</v>
      </c>
      <c r="O192" s="236"/>
    </row>
    <row r="193" spans="1:15" s="33" customFormat="1" ht="15" customHeight="1">
      <c r="A193" s="287"/>
      <c r="B193" s="287"/>
      <c r="C193" s="287"/>
      <c r="D193" s="287"/>
      <c r="E193" s="287"/>
      <c r="F193" s="287"/>
      <c r="G193" s="447"/>
      <c r="H193" s="371"/>
      <c r="I193" s="189"/>
      <c r="J193" s="189"/>
      <c r="K193" s="189"/>
      <c r="L193" s="189"/>
      <c r="M193" s="189"/>
      <c r="O193" s="236"/>
    </row>
    <row r="194" spans="1:15" s="33" customFormat="1" ht="15" customHeight="1">
      <c r="A194" s="287"/>
      <c r="B194" s="287"/>
      <c r="C194" s="287"/>
      <c r="D194" s="287"/>
      <c r="E194" s="287"/>
      <c r="F194" s="287"/>
      <c r="G194" s="447"/>
      <c r="H194" s="371"/>
      <c r="I194" s="189"/>
      <c r="J194" s="189"/>
      <c r="K194" s="189"/>
      <c r="L194" s="189"/>
      <c r="M194" s="189"/>
      <c r="O194" s="236"/>
    </row>
    <row r="195" spans="1:15" s="33" customFormat="1" ht="15" customHeight="1">
      <c r="A195" s="368" t="s">
        <v>556</v>
      </c>
      <c r="B195" s="368"/>
      <c r="C195" s="368"/>
      <c r="D195" s="368"/>
      <c r="E195" s="368"/>
      <c r="F195" s="368"/>
      <c r="G195" s="368"/>
      <c r="H195" s="368"/>
      <c r="I195" s="368"/>
      <c r="J195" s="368"/>
      <c r="K195" s="368"/>
      <c r="L195" s="368"/>
      <c r="M195" s="368"/>
      <c r="O195" s="236"/>
    </row>
    <row r="196" spans="1:15" s="33" customFormat="1" ht="15" customHeight="1">
      <c r="A196" s="362"/>
      <c r="B196" s="363"/>
      <c r="C196" s="362"/>
      <c r="D196" s="362"/>
      <c r="E196" s="362"/>
      <c r="F196" s="364"/>
      <c r="G196" s="362"/>
      <c r="H196" s="365"/>
      <c r="I196" s="365"/>
      <c r="J196" s="361"/>
      <c r="K196" s="136"/>
      <c r="L196" s="136"/>
      <c r="M196" s="72"/>
      <c r="O196" s="236"/>
    </row>
    <row r="197" spans="1:15" s="33" customFormat="1" ht="15" customHeight="1">
      <c r="A197" s="139" t="s">
        <v>245</v>
      </c>
      <c r="B197" s="139"/>
      <c r="C197" s="361"/>
      <c r="D197" s="139"/>
      <c r="E197" s="139"/>
      <c r="F197" s="361"/>
      <c r="G197" s="139"/>
      <c r="H197" s="139"/>
      <c r="I197" s="139" t="s">
        <v>246</v>
      </c>
      <c r="J197" s="139"/>
      <c r="K197" s="139"/>
      <c r="L197" s="139" t="s">
        <v>43</v>
      </c>
      <c r="M197" s="139"/>
      <c r="O197" s="236"/>
    </row>
    <row r="198" spans="1:15" s="33" customFormat="1" ht="15" customHeight="1">
      <c r="A198" s="51"/>
      <c r="B198" s="50"/>
      <c r="C198" s="52"/>
      <c r="D198" s="51"/>
      <c r="E198" s="51"/>
      <c r="F198" s="52"/>
      <c r="G198" s="51"/>
      <c r="H198" s="52"/>
      <c r="I198" s="51"/>
      <c r="J198" s="135"/>
      <c r="K198" s="76"/>
      <c r="L198" s="75"/>
      <c r="M198" s="136"/>
      <c r="O198" s="236"/>
    </row>
    <row r="199" spans="1:15" s="33" customFormat="1" ht="15" customHeight="1">
      <c r="A199" s="529" t="s">
        <v>460</v>
      </c>
      <c r="B199" s="529"/>
      <c r="C199" s="529"/>
      <c r="D199" s="529"/>
      <c r="E199" s="529"/>
      <c r="F199" s="529"/>
      <c r="G199" s="50"/>
      <c r="H199" s="73"/>
      <c r="I199" s="529" t="s">
        <v>12</v>
      </c>
      <c r="J199" s="529"/>
      <c r="K199" s="74"/>
      <c r="L199" s="529" t="s">
        <v>460</v>
      </c>
      <c r="M199" s="529"/>
      <c r="O199" s="236"/>
    </row>
    <row r="200" spans="1:15" s="33" customFormat="1" ht="15" customHeight="1">
      <c r="A200" s="517" t="s">
        <v>557</v>
      </c>
      <c r="B200" s="517"/>
      <c r="C200" s="517"/>
      <c r="D200" s="517"/>
      <c r="E200" s="517"/>
      <c r="F200" s="517"/>
      <c r="I200" s="518" t="s">
        <v>558</v>
      </c>
      <c r="J200" s="518"/>
      <c r="L200" s="517" t="s">
        <v>559</v>
      </c>
      <c r="M200" s="517"/>
      <c r="O200" s="236"/>
    </row>
    <row r="201" spans="1:15" s="33" customFormat="1" ht="15" customHeight="1">
      <c r="A201" s="167"/>
      <c r="B201" s="167"/>
      <c r="C201" s="167"/>
      <c r="D201" s="167"/>
      <c r="E201" s="167"/>
      <c r="F201" s="167"/>
      <c r="G201" s="167"/>
      <c r="H201" s="167"/>
      <c r="I201" s="167"/>
      <c r="J201" s="167"/>
      <c r="K201" s="167"/>
      <c r="L201" s="167"/>
      <c r="M201" s="167"/>
      <c r="O201" s="236"/>
    </row>
    <row r="202" spans="1:15" s="33" customFormat="1" ht="15" customHeight="1">
      <c r="A202" s="167"/>
      <c r="B202" s="167"/>
      <c r="C202" s="167"/>
      <c r="D202" s="167"/>
      <c r="E202" s="167"/>
      <c r="F202" s="167"/>
      <c r="G202" s="167"/>
      <c r="H202" s="167"/>
      <c r="I202" s="167"/>
      <c r="J202" s="167"/>
      <c r="K202" s="167"/>
      <c r="L202" s="167"/>
      <c r="M202" s="167"/>
      <c r="O202" s="236"/>
    </row>
    <row r="203" spans="1:15" s="33" customFormat="1" ht="15" customHeight="1">
      <c r="A203" s="519" t="s">
        <v>549</v>
      </c>
      <c r="B203" s="519"/>
      <c r="C203" s="519"/>
      <c r="D203" s="519"/>
      <c r="E203" s="519"/>
      <c r="F203" s="519"/>
      <c r="G203" s="519"/>
      <c r="H203" s="519"/>
      <c r="I203" s="519"/>
      <c r="J203" s="519"/>
      <c r="K203" s="519"/>
      <c r="L203" s="519"/>
      <c r="M203" s="519"/>
      <c r="O203" s="236"/>
    </row>
    <row r="204" spans="1:15" s="33" customFormat="1" ht="15" customHeight="1">
      <c r="A204" s="167"/>
      <c r="B204" s="167"/>
      <c r="C204" s="167"/>
      <c r="D204" s="167"/>
      <c r="E204" s="167"/>
      <c r="F204" s="167"/>
      <c r="G204" s="167"/>
      <c r="H204" s="167"/>
      <c r="I204" s="167"/>
      <c r="J204" s="167"/>
      <c r="K204" s="167"/>
      <c r="L204" s="167"/>
      <c r="M204" s="167"/>
      <c r="O204" s="236"/>
    </row>
    <row r="205" spans="1:15" s="138" customFormat="1" ht="16.5" customHeight="1">
      <c r="A205" s="142" t="s">
        <v>550</v>
      </c>
      <c r="B205" s="142"/>
      <c r="C205" s="142"/>
      <c r="D205" s="141"/>
      <c r="E205" s="141"/>
      <c r="F205" s="142" t="s">
        <v>37</v>
      </c>
      <c r="G205" s="142"/>
      <c r="H205" s="142"/>
      <c r="I205" s="142"/>
      <c r="J205" s="142" t="s">
        <v>551</v>
      </c>
      <c r="K205" s="142" t="str">
        <f>$K$9</f>
        <v>2024</v>
      </c>
      <c r="L205" s="142"/>
      <c r="M205" s="142"/>
      <c r="O205" s="232"/>
    </row>
    <row r="206" spans="1:15" s="138" customFormat="1" ht="15.75">
      <c r="A206" s="142" t="s">
        <v>552</v>
      </c>
      <c r="B206" s="142"/>
      <c r="C206" s="142"/>
      <c r="D206" s="141"/>
      <c r="E206" s="142"/>
      <c r="F206" s="142" t="s">
        <v>554</v>
      </c>
      <c r="G206" s="142"/>
      <c r="H206" s="142"/>
      <c r="I206" s="142"/>
      <c r="J206" s="142" t="s">
        <v>553</v>
      </c>
      <c r="K206" s="50" t="s">
        <v>458</v>
      </c>
      <c r="L206" s="142"/>
      <c r="M206" s="142"/>
      <c r="O206" s="232"/>
    </row>
    <row r="207" spans="1:15" s="138" customFormat="1" ht="15.75">
      <c r="A207" s="142" t="s">
        <v>555</v>
      </c>
      <c r="B207" s="142"/>
      <c r="C207" s="142"/>
      <c r="D207" s="142"/>
      <c r="E207" s="142"/>
      <c r="F207" s="142"/>
      <c r="G207" s="142"/>
      <c r="H207" s="142"/>
      <c r="I207" s="142"/>
      <c r="J207" s="142"/>
      <c r="K207" s="142"/>
      <c r="L207" s="142"/>
      <c r="M207" s="142"/>
      <c r="O207" s="232"/>
    </row>
    <row r="208" spans="1:15" ht="18" customHeight="1" thickBot="1">
      <c r="A208" s="140"/>
      <c r="B208" s="140"/>
      <c r="C208" s="140"/>
      <c r="D208" s="140"/>
      <c r="E208" s="140"/>
      <c r="F208" s="140"/>
      <c r="G208" s="140"/>
      <c r="H208" s="140"/>
      <c r="I208" s="140"/>
      <c r="J208" s="140"/>
      <c r="K208" s="140"/>
      <c r="L208" s="140"/>
      <c r="M208" s="140"/>
    </row>
    <row r="209" spans="1:13" ht="18" customHeight="1">
      <c r="A209" s="255"/>
      <c r="B209" s="256"/>
      <c r="C209" s="256"/>
      <c r="D209" s="256"/>
      <c r="E209" s="256"/>
      <c r="F209" s="257"/>
      <c r="G209" s="258"/>
      <c r="H209" s="259"/>
      <c r="I209" s="259" t="s">
        <v>6</v>
      </c>
      <c r="J209" s="520" t="s">
        <v>545</v>
      </c>
      <c r="K209" s="521"/>
      <c r="L209" s="522"/>
      <c r="M209" s="260" t="s">
        <v>7</v>
      </c>
    </row>
    <row r="210" spans="1:13" ht="18" customHeight="1">
      <c r="A210" s="523"/>
      <c r="B210" s="524"/>
      <c r="C210" s="524"/>
      <c r="D210" s="524"/>
      <c r="E210" s="524"/>
      <c r="F210" s="525"/>
      <c r="G210" s="448"/>
      <c r="H210" s="261"/>
      <c r="I210" s="261">
        <v>2022</v>
      </c>
      <c r="J210" s="261" t="s">
        <v>192</v>
      </c>
      <c r="K210" s="261" t="s">
        <v>193</v>
      </c>
      <c r="L210" s="261"/>
      <c r="M210" s="262">
        <v>2024</v>
      </c>
    </row>
    <row r="211" spans="1:13" ht="18" customHeight="1">
      <c r="A211" s="523" t="s">
        <v>13</v>
      </c>
      <c r="B211" s="524"/>
      <c r="C211" s="524"/>
      <c r="D211" s="524"/>
      <c r="E211" s="524"/>
      <c r="F211" s="525"/>
      <c r="G211" s="263"/>
      <c r="H211" s="264" t="s">
        <v>243</v>
      </c>
      <c r="I211" s="261" t="s">
        <v>191</v>
      </c>
      <c r="J211" s="261" t="s">
        <v>191</v>
      </c>
      <c r="K211" s="261" t="s">
        <v>194</v>
      </c>
      <c r="L211" s="261" t="s">
        <v>11</v>
      </c>
      <c r="M211" s="262" t="s">
        <v>196</v>
      </c>
    </row>
    <row r="212" spans="1:13" ht="18" customHeight="1">
      <c r="A212" s="265"/>
      <c r="B212" s="266"/>
      <c r="C212" s="266"/>
      <c r="D212" s="266"/>
      <c r="E212" s="266"/>
      <c r="F212" s="267"/>
      <c r="G212" s="263"/>
      <c r="H212" s="261"/>
      <c r="I212" s="261"/>
      <c r="J212" s="261">
        <v>2023</v>
      </c>
      <c r="K212" s="261">
        <v>2023</v>
      </c>
      <c r="L212" s="261"/>
      <c r="M212" s="262"/>
    </row>
    <row r="213" spans="1:13" ht="18" customHeight="1" thickBot="1">
      <c r="A213" s="526"/>
      <c r="B213" s="527"/>
      <c r="C213" s="527"/>
      <c r="D213" s="527"/>
      <c r="E213" s="527"/>
      <c r="F213" s="528"/>
      <c r="G213" s="449"/>
      <c r="H213" s="268"/>
      <c r="I213" s="369"/>
      <c r="J213" s="268"/>
      <c r="K213" s="268"/>
      <c r="L213" s="268"/>
      <c r="M213" s="269"/>
    </row>
    <row r="214" spans="1:13" ht="18" customHeight="1">
      <c r="A214" s="462"/>
      <c r="B214" s="193" t="s">
        <v>66</v>
      </c>
      <c r="C214" s="283"/>
      <c r="D214" s="193"/>
      <c r="E214" s="193"/>
      <c r="F214" s="463"/>
      <c r="G214" s="464"/>
      <c r="H214" s="489"/>
      <c r="I214" s="490"/>
      <c r="J214" s="491"/>
      <c r="K214" s="491"/>
      <c r="L214" s="491"/>
      <c r="M214" s="491"/>
    </row>
    <row r="215" spans="1:13" ht="18" customHeight="1">
      <c r="A215" s="270"/>
      <c r="B215" s="271"/>
      <c r="C215" s="271" t="s">
        <v>148</v>
      </c>
      <c r="D215" s="271"/>
      <c r="E215" s="271"/>
      <c r="F215" s="272"/>
      <c r="G215" s="273"/>
      <c r="H215" s="288"/>
      <c r="I215" s="289"/>
      <c r="J215" s="77"/>
      <c r="K215" s="77"/>
      <c r="L215" s="77"/>
      <c r="M215" s="77"/>
    </row>
    <row r="216" spans="1:13" ht="18" customHeight="1">
      <c r="A216" s="270"/>
      <c r="B216" s="271"/>
      <c r="C216" s="271"/>
      <c r="D216" s="271" t="s">
        <v>149</v>
      </c>
      <c r="E216" s="271"/>
      <c r="F216" s="272"/>
      <c r="G216" s="273" t="s">
        <v>213</v>
      </c>
      <c r="H216" s="275" t="s">
        <v>257</v>
      </c>
      <c r="I216" s="190">
        <v>12404470</v>
      </c>
      <c r="J216" s="62">
        <v>12687987.68</v>
      </c>
      <c r="K216" s="62">
        <f>12729388-J216</f>
        <v>41400.320000000298</v>
      </c>
      <c r="L216" s="62">
        <f>SUM(K216+J216)</f>
        <v>12729388</v>
      </c>
      <c r="M216" s="62">
        <v>12968421</v>
      </c>
    </row>
    <row r="217" spans="1:13" ht="18" customHeight="1">
      <c r="A217" s="270"/>
      <c r="B217" s="271"/>
      <c r="C217" s="271" t="s">
        <v>150</v>
      </c>
      <c r="D217" s="271"/>
      <c r="E217" s="271"/>
      <c r="F217" s="272"/>
      <c r="G217" s="273"/>
      <c r="H217" s="288"/>
      <c r="I217" s="190"/>
      <c r="J217" s="62"/>
      <c r="K217" s="62"/>
      <c r="L217" s="62"/>
      <c r="M217" s="62"/>
    </row>
    <row r="218" spans="1:13" ht="18" customHeight="1">
      <c r="A218" s="270"/>
      <c r="B218" s="271"/>
      <c r="C218" s="271"/>
      <c r="D218" s="271" t="s">
        <v>151</v>
      </c>
      <c r="E218" s="271"/>
      <c r="F218" s="272"/>
      <c r="G218" s="273" t="s">
        <v>214</v>
      </c>
      <c r="H218" s="275" t="s">
        <v>258</v>
      </c>
      <c r="I218" s="190">
        <v>452000</v>
      </c>
      <c r="J218" s="62">
        <v>453727.28</v>
      </c>
      <c r="K218" s="62">
        <f>456000-J218</f>
        <v>2272.7199999999721</v>
      </c>
      <c r="L218" s="62">
        <f t="shared" ref="L218:L236" si="11">SUM(K218+J218)</f>
        <v>456000</v>
      </c>
      <c r="M218" s="62">
        <v>480000</v>
      </c>
    </row>
    <row r="219" spans="1:13" ht="18" customHeight="1">
      <c r="A219" s="270"/>
      <c r="B219" s="271"/>
      <c r="C219" s="271"/>
      <c r="D219" s="271" t="s">
        <v>161</v>
      </c>
      <c r="E219" s="271"/>
      <c r="F219" s="272"/>
      <c r="G219" s="273" t="s">
        <v>215</v>
      </c>
      <c r="H219" s="275" t="s">
        <v>259</v>
      </c>
      <c r="I219" s="190">
        <v>928200</v>
      </c>
      <c r="J219" s="62">
        <v>921825</v>
      </c>
      <c r="K219" s="62">
        <f>928200-J219</f>
        <v>6375</v>
      </c>
      <c r="L219" s="62">
        <f t="shared" si="11"/>
        <v>928200</v>
      </c>
      <c r="M219" s="62">
        <v>928200</v>
      </c>
    </row>
    <row r="220" spans="1:13" ht="18" customHeight="1">
      <c r="A220" s="270"/>
      <c r="B220" s="271"/>
      <c r="C220" s="271"/>
      <c r="D220" s="271" t="s">
        <v>160</v>
      </c>
      <c r="E220" s="271"/>
      <c r="F220" s="272"/>
      <c r="G220" s="273" t="s">
        <v>216</v>
      </c>
      <c r="H220" s="275" t="s">
        <v>260</v>
      </c>
      <c r="I220" s="190">
        <v>841500</v>
      </c>
      <c r="J220" s="62">
        <v>835125</v>
      </c>
      <c r="K220" s="62">
        <f>836400-J220</f>
        <v>1275</v>
      </c>
      <c r="L220" s="62">
        <f t="shared" si="11"/>
        <v>836400</v>
      </c>
      <c r="M220" s="62">
        <v>928200</v>
      </c>
    </row>
    <row r="221" spans="1:13" ht="18" customHeight="1">
      <c r="A221" s="270"/>
      <c r="B221" s="271"/>
      <c r="C221" s="271"/>
      <c r="D221" s="271" t="s">
        <v>162</v>
      </c>
      <c r="E221" s="271"/>
      <c r="F221" s="272"/>
      <c r="G221" s="273" t="s">
        <v>217</v>
      </c>
      <c r="H221" s="275" t="s">
        <v>261</v>
      </c>
      <c r="I221" s="190">
        <v>114000</v>
      </c>
      <c r="J221" s="62">
        <v>114000</v>
      </c>
      <c r="K221" s="62">
        <f>114000-J221</f>
        <v>0</v>
      </c>
      <c r="L221" s="62">
        <f t="shared" si="11"/>
        <v>114000</v>
      </c>
      <c r="M221" s="62">
        <v>120000</v>
      </c>
    </row>
    <row r="222" spans="1:13" ht="18" customHeight="1">
      <c r="A222" s="270"/>
      <c r="B222" s="271"/>
      <c r="C222" s="271"/>
      <c r="D222" s="271" t="s">
        <v>255</v>
      </c>
      <c r="E222" s="271"/>
      <c r="F222" s="272"/>
      <c r="G222" s="273" t="s">
        <v>219</v>
      </c>
      <c r="H222" s="275" t="s">
        <v>262</v>
      </c>
      <c r="I222" s="190">
        <v>95000</v>
      </c>
      <c r="J222" s="62">
        <v>86000</v>
      </c>
      <c r="K222" s="62">
        <f>95000-J222</f>
        <v>9000</v>
      </c>
      <c r="L222" s="62">
        <f t="shared" si="11"/>
        <v>95000</v>
      </c>
      <c r="M222" s="62">
        <v>100000</v>
      </c>
    </row>
    <row r="223" spans="1:13" ht="18" customHeight="1">
      <c r="A223" s="270"/>
      <c r="B223" s="271"/>
      <c r="C223" s="271"/>
      <c r="D223" s="271" t="s">
        <v>164</v>
      </c>
      <c r="E223" s="271"/>
      <c r="F223" s="272"/>
      <c r="G223" s="273" t="s">
        <v>108</v>
      </c>
      <c r="H223" s="275" t="s">
        <v>263</v>
      </c>
      <c r="I223" s="190">
        <v>10000</v>
      </c>
      <c r="J223" s="62">
        <v>0</v>
      </c>
      <c r="K223" s="62">
        <f>5000-J223</f>
        <v>5000</v>
      </c>
      <c r="L223" s="62">
        <f t="shared" si="11"/>
        <v>5000</v>
      </c>
      <c r="M223" s="62">
        <v>20000</v>
      </c>
    </row>
    <row r="224" spans="1:13" ht="18" hidden="1" customHeight="1">
      <c r="A224" s="270"/>
      <c r="B224" s="271"/>
      <c r="C224" s="271"/>
      <c r="D224" s="271" t="s">
        <v>487</v>
      </c>
      <c r="E224" s="271"/>
      <c r="F224" s="272"/>
      <c r="G224" s="273" t="s">
        <v>108</v>
      </c>
      <c r="H224" s="275" t="s">
        <v>263</v>
      </c>
      <c r="I224" s="190">
        <v>0</v>
      </c>
      <c r="J224" s="62">
        <v>0</v>
      </c>
      <c r="K224" s="62">
        <f>0-J224</f>
        <v>0</v>
      </c>
      <c r="L224" s="62">
        <f t="shared" si="11"/>
        <v>0</v>
      </c>
      <c r="M224" s="62">
        <v>0</v>
      </c>
    </row>
    <row r="225" spans="1:15" ht="18" customHeight="1">
      <c r="A225" s="270"/>
      <c r="B225" s="271"/>
      <c r="C225" s="271"/>
      <c r="D225" s="271" t="s">
        <v>475</v>
      </c>
      <c r="E225" s="271"/>
      <c r="F225" s="272"/>
      <c r="G225" s="273"/>
      <c r="H225" s="275" t="s">
        <v>263</v>
      </c>
      <c r="I225" s="190">
        <v>644831.19999999995</v>
      </c>
      <c r="J225" s="62">
        <v>0</v>
      </c>
      <c r="K225" s="62">
        <f>0-J225</f>
        <v>0</v>
      </c>
      <c r="L225" s="62">
        <f t="shared" si="11"/>
        <v>0</v>
      </c>
      <c r="M225" s="62">
        <v>0</v>
      </c>
    </row>
    <row r="226" spans="1:15" ht="18" customHeight="1">
      <c r="A226" s="270"/>
      <c r="B226" s="271"/>
      <c r="C226" s="271"/>
      <c r="D226" s="271" t="s">
        <v>166</v>
      </c>
      <c r="E226" s="271"/>
      <c r="F226" s="272"/>
      <c r="G226" s="273" t="s">
        <v>222</v>
      </c>
      <c r="H226" s="275" t="s">
        <v>264</v>
      </c>
      <c r="I226" s="190">
        <v>98500</v>
      </c>
      <c r="J226" s="62">
        <v>95000</v>
      </c>
      <c r="K226" s="62">
        <f>95000-J226</f>
        <v>0</v>
      </c>
      <c r="L226" s="62">
        <f t="shared" si="11"/>
        <v>95000</v>
      </c>
      <c r="M226" s="62">
        <v>100000</v>
      </c>
    </row>
    <row r="227" spans="1:15" ht="18" customHeight="1">
      <c r="A227" s="270"/>
      <c r="B227" s="271"/>
      <c r="C227" s="271"/>
      <c r="D227" s="271" t="s">
        <v>374</v>
      </c>
      <c r="E227" s="271"/>
      <c r="F227" s="271"/>
      <c r="G227" s="277" t="s">
        <v>108</v>
      </c>
      <c r="H227" s="275" t="s">
        <v>263</v>
      </c>
      <c r="I227" s="190">
        <v>1026934</v>
      </c>
      <c r="J227" s="62">
        <v>1060748</v>
      </c>
      <c r="K227" s="62">
        <f>1060748-J227</f>
        <v>0</v>
      </c>
      <c r="L227" s="62">
        <f t="shared" si="11"/>
        <v>1060748</v>
      </c>
      <c r="M227" s="62">
        <v>1080551</v>
      </c>
    </row>
    <row r="228" spans="1:15" ht="18" customHeight="1">
      <c r="A228" s="270"/>
      <c r="B228" s="271"/>
      <c r="C228" s="271"/>
      <c r="D228" s="271" t="s">
        <v>167</v>
      </c>
      <c r="E228" s="271"/>
      <c r="F228" s="272"/>
      <c r="G228" s="273" t="s">
        <v>223</v>
      </c>
      <c r="H228" s="275" t="s">
        <v>265</v>
      </c>
      <c r="I228" s="190">
        <v>1091215.3</v>
      </c>
      <c r="J228" s="62">
        <v>1060851</v>
      </c>
      <c r="K228" s="62">
        <f>1060851-J228</f>
        <v>0</v>
      </c>
      <c r="L228" s="62">
        <f t="shared" si="11"/>
        <v>1060851</v>
      </c>
      <c r="M228" s="62">
        <v>1080797</v>
      </c>
    </row>
    <row r="229" spans="1:15" ht="18" customHeight="1">
      <c r="A229" s="270"/>
      <c r="B229" s="271"/>
      <c r="C229" s="271"/>
      <c r="D229" s="271" t="s">
        <v>249</v>
      </c>
      <c r="E229" s="271"/>
      <c r="F229" s="272"/>
      <c r="G229" s="273" t="s">
        <v>224</v>
      </c>
      <c r="H229" s="275" t="s">
        <v>266</v>
      </c>
      <c r="I229" s="190">
        <v>1519411</v>
      </c>
      <c r="J229" s="62">
        <v>1420934.33</v>
      </c>
      <c r="K229" s="62">
        <f>1532000-J229</f>
        <v>111065.66999999993</v>
      </c>
      <c r="L229" s="62">
        <f t="shared" si="11"/>
        <v>1532000</v>
      </c>
      <c r="M229" s="62">
        <v>1560000</v>
      </c>
    </row>
    <row r="230" spans="1:15" ht="18" customHeight="1">
      <c r="A230" s="270"/>
      <c r="B230" s="271"/>
      <c r="C230" s="271"/>
      <c r="D230" s="271" t="s">
        <v>168</v>
      </c>
      <c r="E230" s="271"/>
      <c r="F230" s="272"/>
      <c r="G230" s="273" t="s">
        <v>225</v>
      </c>
      <c r="H230" s="275" t="s">
        <v>267</v>
      </c>
      <c r="I230" s="190">
        <v>33900</v>
      </c>
      <c r="J230" s="62">
        <v>22800</v>
      </c>
      <c r="K230" s="62">
        <f>34800-J230</f>
        <v>12000</v>
      </c>
      <c r="L230" s="62">
        <f t="shared" si="11"/>
        <v>34800</v>
      </c>
      <c r="M230" s="62">
        <v>36000</v>
      </c>
    </row>
    <row r="231" spans="1:15" ht="18" customHeight="1">
      <c r="A231" s="270"/>
      <c r="B231" s="271"/>
      <c r="C231" s="271"/>
      <c r="D231" s="271" t="s">
        <v>169</v>
      </c>
      <c r="E231" s="271"/>
      <c r="F231" s="272"/>
      <c r="G231" s="273" t="s">
        <v>226</v>
      </c>
      <c r="H231" s="275" t="s">
        <v>268</v>
      </c>
      <c r="I231" s="190">
        <v>253430</v>
      </c>
      <c r="J231" s="62">
        <v>214662.64</v>
      </c>
      <c r="K231" s="62">
        <f>288500-J231</f>
        <v>73837.359999999986</v>
      </c>
      <c r="L231" s="62">
        <f t="shared" si="11"/>
        <v>288500</v>
      </c>
      <c r="M231" s="62">
        <v>325000</v>
      </c>
    </row>
    <row r="232" spans="1:15" ht="18" customHeight="1">
      <c r="A232" s="270"/>
      <c r="B232" s="271"/>
      <c r="C232" s="271"/>
      <c r="D232" s="271" t="s">
        <v>248</v>
      </c>
      <c r="E232" s="271"/>
      <c r="F232" s="272"/>
      <c r="G232" s="273" t="s">
        <v>227</v>
      </c>
      <c r="H232" s="275" t="s">
        <v>269</v>
      </c>
      <c r="I232" s="190">
        <v>22600</v>
      </c>
      <c r="J232" s="62">
        <v>21700</v>
      </c>
      <c r="K232" s="62">
        <f>22800-J232</f>
        <v>1100</v>
      </c>
      <c r="L232" s="62">
        <f t="shared" si="11"/>
        <v>22800</v>
      </c>
      <c r="M232" s="62">
        <v>24000</v>
      </c>
    </row>
    <row r="233" spans="1:15" ht="18" customHeight="1">
      <c r="A233" s="270"/>
      <c r="B233" s="271"/>
      <c r="C233" s="271"/>
      <c r="D233" s="271" t="s">
        <v>69</v>
      </c>
      <c r="E233" s="271"/>
      <c r="F233" s="272"/>
      <c r="G233" s="273" t="s">
        <v>228</v>
      </c>
      <c r="H233" s="275" t="s">
        <v>270</v>
      </c>
      <c r="I233" s="190">
        <v>850046.7</v>
      </c>
      <c r="J233" s="62">
        <v>0</v>
      </c>
      <c r="K233" s="62">
        <f>0-J233</f>
        <v>0</v>
      </c>
      <c r="L233" s="62">
        <f t="shared" si="11"/>
        <v>0</v>
      </c>
      <c r="M233" s="62">
        <v>0</v>
      </c>
    </row>
    <row r="234" spans="1:15" ht="18" customHeight="1">
      <c r="A234" s="270"/>
      <c r="B234" s="271"/>
      <c r="C234" s="271"/>
      <c r="D234" s="271" t="s">
        <v>171</v>
      </c>
      <c r="E234" s="271"/>
      <c r="F234" s="272"/>
      <c r="G234" s="273" t="s">
        <v>82</v>
      </c>
      <c r="H234" s="275" t="s">
        <v>281</v>
      </c>
      <c r="I234" s="190">
        <v>2000000</v>
      </c>
      <c r="J234" s="62">
        <v>0</v>
      </c>
      <c r="K234" s="62">
        <f>0-J234</f>
        <v>0</v>
      </c>
      <c r="L234" s="62">
        <f t="shared" si="11"/>
        <v>0</v>
      </c>
      <c r="M234" s="62">
        <v>0</v>
      </c>
    </row>
    <row r="235" spans="1:15" ht="18" customHeight="1">
      <c r="A235" s="270"/>
      <c r="B235" s="271"/>
      <c r="C235" s="271"/>
      <c r="D235" s="271" t="s">
        <v>620</v>
      </c>
      <c r="E235" s="271"/>
      <c r="F235" s="272"/>
      <c r="G235" s="273"/>
      <c r="H235" s="275" t="s">
        <v>281</v>
      </c>
      <c r="I235" s="190"/>
      <c r="J235" s="62"/>
      <c r="K235" s="62"/>
      <c r="L235" s="62"/>
      <c r="M235" s="62"/>
    </row>
    <row r="236" spans="1:15" ht="18" customHeight="1">
      <c r="A236" s="270"/>
      <c r="B236" s="271"/>
      <c r="C236" s="271"/>
      <c r="D236" s="271" t="s">
        <v>619</v>
      </c>
      <c r="E236" s="271"/>
      <c r="F236" s="272"/>
      <c r="G236" s="273"/>
      <c r="H236" s="275" t="s">
        <v>281</v>
      </c>
      <c r="I236" s="190"/>
      <c r="J236" s="62">
        <v>570000</v>
      </c>
      <c r="K236" s="62">
        <f>570000-J236</f>
        <v>0</v>
      </c>
      <c r="L236" s="62">
        <f t="shared" si="11"/>
        <v>570000</v>
      </c>
      <c r="M236" s="62"/>
    </row>
    <row r="237" spans="1:15" ht="18" customHeight="1">
      <c r="A237" s="270"/>
      <c r="B237" s="271"/>
      <c r="C237" s="271"/>
      <c r="D237" s="271" t="s">
        <v>476</v>
      </c>
      <c r="E237" s="271"/>
      <c r="F237" s="272"/>
      <c r="G237" s="273"/>
      <c r="H237" s="275" t="s">
        <v>281</v>
      </c>
      <c r="I237" s="190">
        <v>380000</v>
      </c>
      <c r="J237" s="62">
        <v>344000</v>
      </c>
      <c r="K237" s="62">
        <f>380000-J237</f>
        <v>36000</v>
      </c>
      <c r="L237" s="62">
        <f>SUM(K237+J237)</f>
        <v>380000</v>
      </c>
      <c r="M237" s="62">
        <v>0</v>
      </c>
    </row>
    <row r="238" spans="1:15" s="64" customFormat="1" ht="18" customHeight="1">
      <c r="A238" s="278"/>
      <c r="B238" s="279"/>
      <c r="C238" s="279"/>
      <c r="D238" s="279" t="s">
        <v>68</v>
      </c>
      <c r="E238" s="279"/>
      <c r="F238" s="280"/>
      <c r="G238" s="281"/>
      <c r="H238" s="290"/>
      <c r="I238" s="171">
        <f>SUM(I216:I237)</f>
        <v>22766038.199999999</v>
      </c>
      <c r="J238" s="171">
        <f>SUM(J216:J237)</f>
        <v>19909360.93</v>
      </c>
      <c r="K238" s="171">
        <f>SUM(K216:K237)</f>
        <v>299326.07000000018</v>
      </c>
      <c r="L238" s="171">
        <f>SUM(L216:L237)</f>
        <v>20208687</v>
      </c>
      <c r="M238" s="171">
        <f>SUM(M216:M237)</f>
        <v>19751169</v>
      </c>
      <c r="O238" s="234"/>
    </row>
    <row r="239" spans="1:15" ht="18" customHeight="1">
      <c r="A239" s="270"/>
      <c r="B239" s="271" t="s">
        <v>172</v>
      </c>
      <c r="C239" s="271"/>
      <c r="D239" s="271"/>
      <c r="E239" s="271"/>
      <c r="F239" s="272"/>
      <c r="G239" s="273"/>
      <c r="H239" s="288"/>
      <c r="I239" s="190"/>
      <c r="J239" s="62"/>
      <c r="K239" s="62"/>
      <c r="L239" s="62"/>
      <c r="M239" s="62"/>
    </row>
    <row r="240" spans="1:15" ht="18" customHeight="1">
      <c r="A240" s="270"/>
      <c r="B240" s="271"/>
      <c r="C240" s="271"/>
      <c r="D240" s="271" t="s">
        <v>173</v>
      </c>
      <c r="E240" s="271"/>
      <c r="F240" s="272"/>
      <c r="G240" s="273" t="s">
        <v>75</v>
      </c>
      <c r="H240" s="275" t="s">
        <v>271</v>
      </c>
      <c r="I240" s="190">
        <v>706020.77</v>
      </c>
      <c r="J240" s="62">
        <v>1533456.55</v>
      </c>
      <c r="K240" s="62">
        <f>1651488-J240</f>
        <v>118031.44999999995</v>
      </c>
      <c r="L240" s="62">
        <f t="shared" ref="L240:L253" si="12">SUM(K240+J240)</f>
        <v>1651488</v>
      </c>
      <c r="M240" s="62">
        <v>1596000</v>
      </c>
    </row>
    <row r="241" spans="1:14" ht="18" customHeight="1">
      <c r="A241" s="270"/>
      <c r="B241" s="271"/>
      <c r="C241" s="271"/>
      <c r="D241" s="271" t="s">
        <v>624</v>
      </c>
      <c r="E241" s="271"/>
      <c r="F241" s="272"/>
      <c r="G241" s="273"/>
      <c r="H241" s="275" t="s">
        <v>625</v>
      </c>
      <c r="I241" s="190"/>
      <c r="J241" s="62">
        <v>174512</v>
      </c>
      <c r="K241" s="62">
        <f>174512-J241</f>
        <v>0</v>
      </c>
      <c r="L241" s="62">
        <f t="shared" si="12"/>
        <v>174512</v>
      </c>
      <c r="M241" s="62"/>
    </row>
    <row r="242" spans="1:14" ht="18" customHeight="1">
      <c r="A242" s="270"/>
      <c r="B242" s="271"/>
      <c r="C242" s="271"/>
      <c r="D242" s="271" t="s">
        <v>107</v>
      </c>
      <c r="E242" s="271"/>
      <c r="F242" s="272"/>
      <c r="G242" s="273" t="s">
        <v>76</v>
      </c>
      <c r="H242" s="275" t="s">
        <v>272</v>
      </c>
      <c r="I242" s="190">
        <v>960827.18</v>
      </c>
      <c r="J242" s="62">
        <v>981086.7</v>
      </c>
      <c r="K242" s="62">
        <f>984000-J242</f>
        <v>2913.3000000000466</v>
      </c>
      <c r="L242" s="62">
        <f t="shared" si="12"/>
        <v>984000</v>
      </c>
      <c r="M242" s="62">
        <v>1215000</v>
      </c>
    </row>
    <row r="243" spans="1:14" ht="18" customHeight="1">
      <c r="A243" s="270"/>
      <c r="B243" s="271"/>
      <c r="C243" s="271"/>
      <c r="D243" s="271" t="s">
        <v>73</v>
      </c>
      <c r="E243" s="271"/>
      <c r="F243" s="272"/>
      <c r="G243" s="273" t="s">
        <v>78</v>
      </c>
      <c r="H243" s="275" t="s">
        <v>273</v>
      </c>
      <c r="I243" s="190">
        <v>746307</v>
      </c>
      <c r="J243" s="62">
        <v>676197.12</v>
      </c>
      <c r="K243" s="62">
        <f>750000-J243</f>
        <v>73802.880000000005</v>
      </c>
      <c r="L243" s="62">
        <f t="shared" si="12"/>
        <v>750000</v>
      </c>
      <c r="M243" s="62">
        <v>1000000</v>
      </c>
    </row>
    <row r="244" spans="1:14" ht="18" customHeight="1">
      <c r="A244" s="270"/>
      <c r="B244" s="271"/>
      <c r="C244" s="271"/>
      <c r="D244" s="271" t="s">
        <v>435</v>
      </c>
      <c r="E244" s="271"/>
      <c r="F244" s="272"/>
      <c r="G244" s="273" t="s">
        <v>231</v>
      </c>
      <c r="H244" s="275" t="s">
        <v>285</v>
      </c>
      <c r="I244" s="190">
        <v>274498.5</v>
      </c>
      <c r="J244" s="62">
        <v>272923.01</v>
      </c>
      <c r="K244" s="62">
        <f>280000-J244</f>
        <v>7076.9899999999907</v>
      </c>
      <c r="L244" s="62">
        <f t="shared" si="12"/>
        <v>280000</v>
      </c>
      <c r="M244" s="62">
        <v>750000</v>
      </c>
    </row>
    <row r="245" spans="1:14" ht="18" customHeight="1">
      <c r="A245" s="270"/>
      <c r="B245" s="271"/>
      <c r="C245" s="271"/>
      <c r="D245" s="271" t="s">
        <v>177</v>
      </c>
      <c r="E245" s="271"/>
      <c r="F245" s="272"/>
      <c r="G245" s="273" t="s">
        <v>232</v>
      </c>
      <c r="H245" s="275" t="s">
        <v>274</v>
      </c>
      <c r="I245" s="190">
        <v>0</v>
      </c>
      <c r="J245" s="62"/>
      <c r="K245" s="62">
        <f>10000-J245</f>
        <v>10000</v>
      </c>
      <c r="L245" s="62">
        <f t="shared" si="12"/>
        <v>10000</v>
      </c>
      <c r="M245" s="62">
        <v>10000</v>
      </c>
    </row>
    <row r="246" spans="1:14" ht="18" customHeight="1">
      <c r="A246" s="270"/>
      <c r="B246" s="271"/>
      <c r="C246" s="271"/>
      <c r="D246" s="271" t="s">
        <v>178</v>
      </c>
      <c r="E246" s="271"/>
      <c r="F246" s="272"/>
      <c r="G246" s="273" t="s">
        <v>233</v>
      </c>
      <c r="H246" s="275" t="s">
        <v>275</v>
      </c>
      <c r="I246" s="190">
        <v>60505.05</v>
      </c>
      <c r="J246" s="62">
        <v>92869.46</v>
      </c>
      <c r="K246" s="62">
        <f>96000-J246</f>
        <v>3130.5399999999936</v>
      </c>
      <c r="L246" s="62">
        <f t="shared" si="12"/>
        <v>96000</v>
      </c>
      <c r="M246" s="62">
        <v>96000</v>
      </c>
    </row>
    <row r="247" spans="1:14" ht="18" customHeight="1">
      <c r="A247" s="270"/>
      <c r="B247" s="271"/>
      <c r="C247" s="271"/>
      <c r="D247" s="271" t="s">
        <v>179</v>
      </c>
      <c r="E247" s="271"/>
      <c r="F247" s="272"/>
      <c r="G247" s="273" t="s">
        <v>79</v>
      </c>
      <c r="H247" s="275" t="s">
        <v>275</v>
      </c>
      <c r="I247" s="190">
        <v>440400</v>
      </c>
      <c r="J247" s="62">
        <v>399200</v>
      </c>
      <c r="K247" s="62">
        <f>440400-J247</f>
        <v>41200</v>
      </c>
      <c r="L247" s="62">
        <f t="shared" si="12"/>
        <v>440400</v>
      </c>
      <c r="M247" s="62">
        <v>440400</v>
      </c>
    </row>
    <row r="248" spans="1:14" ht="18" customHeight="1">
      <c r="A248" s="270"/>
      <c r="B248" s="271"/>
      <c r="C248" s="271"/>
      <c r="D248" s="271" t="s">
        <v>180</v>
      </c>
      <c r="E248" s="271"/>
      <c r="F248" s="272"/>
      <c r="G248" s="273" t="s">
        <v>234</v>
      </c>
      <c r="H248" s="275" t="s">
        <v>286</v>
      </c>
      <c r="I248" s="190">
        <v>839982</v>
      </c>
      <c r="J248" s="62">
        <v>712500</v>
      </c>
      <c r="K248" s="62">
        <f>1300000-J248</f>
        <v>587500</v>
      </c>
      <c r="L248" s="62">
        <f t="shared" si="12"/>
        <v>1300000</v>
      </c>
      <c r="M248" s="62">
        <v>1300000</v>
      </c>
    </row>
    <row r="249" spans="1:14" ht="18" customHeight="1">
      <c r="A249" s="270"/>
      <c r="B249" s="271"/>
      <c r="C249" s="271"/>
      <c r="D249" s="271" t="s">
        <v>181</v>
      </c>
      <c r="E249" s="271"/>
      <c r="F249" s="272"/>
      <c r="G249" s="273" t="s">
        <v>235</v>
      </c>
      <c r="H249" s="275" t="s">
        <v>287</v>
      </c>
      <c r="I249" s="190">
        <v>233827</v>
      </c>
      <c r="J249" s="62">
        <v>287019</v>
      </c>
      <c r="K249" s="62">
        <f>290000-J249</f>
        <v>2981</v>
      </c>
      <c r="L249" s="62">
        <f t="shared" si="12"/>
        <v>290000</v>
      </c>
      <c r="M249" s="62">
        <v>350000</v>
      </c>
    </row>
    <row r="250" spans="1:14" ht="18" customHeight="1">
      <c r="A250" s="270"/>
      <c r="B250" s="271"/>
      <c r="C250" s="271"/>
      <c r="D250" s="271" t="s">
        <v>436</v>
      </c>
      <c r="E250" s="271"/>
      <c r="F250" s="272"/>
      <c r="G250" s="273" t="s">
        <v>236</v>
      </c>
      <c r="H250" s="275" t="s">
        <v>288</v>
      </c>
      <c r="I250" s="190">
        <v>173536.82</v>
      </c>
      <c r="J250" s="62">
        <v>96353.12</v>
      </c>
      <c r="K250" s="62">
        <f>96400-J250</f>
        <v>46.880000000004657</v>
      </c>
      <c r="L250" s="62">
        <f t="shared" si="12"/>
        <v>96400</v>
      </c>
      <c r="M250" s="62">
        <v>200000</v>
      </c>
    </row>
    <row r="251" spans="1:14" ht="18" customHeight="1">
      <c r="A251" s="270"/>
      <c r="B251" s="271"/>
      <c r="C251" s="271"/>
      <c r="D251" s="271" t="s">
        <v>437</v>
      </c>
      <c r="E251" s="271"/>
      <c r="F251" s="272"/>
      <c r="G251" s="273" t="s">
        <v>80</v>
      </c>
      <c r="H251" s="275" t="s">
        <v>276</v>
      </c>
      <c r="I251" s="190">
        <v>112666.43</v>
      </c>
      <c r="J251" s="62">
        <v>28900</v>
      </c>
      <c r="K251" s="62">
        <f>36400-J251</f>
        <v>7500</v>
      </c>
      <c r="L251" s="62">
        <f t="shared" si="12"/>
        <v>36400</v>
      </c>
      <c r="M251" s="62">
        <v>200000</v>
      </c>
    </row>
    <row r="252" spans="1:14" ht="18" customHeight="1">
      <c r="A252" s="270"/>
      <c r="B252" s="271"/>
      <c r="C252" s="271"/>
      <c r="D252" s="271" t="s">
        <v>451</v>
      </c>
      <c r="E252" s="271"/>
      <c r="F252" s="272"/>
      <c r="G252" s="273"/>
      <c r="H252" s="275" t="s">
        <v>449</v>
      </c>
      <c r="I252" s="190">
        <v>199899.94</v>
      </c>
      <c r="J252" s="62">
        <v>196351.51</v>
      </c>
      <c r="K252" s="62">
        <f>197200-J252</f>
        <v>848.48999999999069</v>
      </c>
      <c r="L252" s="62">
        <f t="shared" si="12"/>
        <v>197200</v>
      </c>
      <c r="M252" s="62">
        <v>300000</v>
      </c>
    </row>
    <row r="253" spans="1:14" ht="18" customHeight="1">
      <c r="A253" s="270"/>
      <c r="B253" s="271"/>
      <c r="C253" s="271"/>
      <c r="D253" s="271" t="s">
        <v>502</v>
      </c>
      <c r="E253" s="271"/>
      <c r="F253" s="272"/>
      <c r="G253" s="273"/>
      <c r="H253" s="275" t="s">
        <v>277</v>
      </c>
      <c r="I253" s="190">
        <v>475000</v>
      </c>
      <c r="J253" s="62">
        <v>0</v>
      </c>
      <c r="K253" s="62">
        <f>0-J253</f>
        <v>0</v>
      </c>
      <c r="L253" s="62">
        <f t="shared" si="12"/>
        <v>0</v>
      </c>
      <c r="M253" s="62">
        <v>0</v>
      </c>
    </row>
    <row r="254" spans="1:14" ht="18" customHeight="1">
      <c r="A254" s="270"/>
      <c r="B254" s="271"/>
      <c r="C254" s="271"/>
      <c r="D254" s="279" t="s">
        <v>322</v>
      </c>
      <c r="E254" s="271"/>
      <c r="F254" s="272"/>
      <c r="G254" s="273"/>
      <c r="H254" s="288"/>
      <c r="I254" s="171">
        <f>SUM(I240:I253)</f>
        <v>5223470.6900000004</v>
      </c>
      <c r="J254" s="171">
        <f>SUM(J240:J253)</f>
        <v>5451368.4699999997</v>
      </c>
      <c r="K254" s="171">
        <f>SUM(K240:K253)</f>
        <v>855031.52999999991</v>
      </c>
      <c r="L254" s="171">
        <f>SUM(L240:L253)</f>
        <v>6306400</v>
      </c>
      <c r="M254" s="171">
        <f>SUM(M240:M253)</f>
        <v>7457400</v>
      </c>
    </row>
    <row r="255" spans="1:14" ht="18" customHeight="1">
      <c r="A255" s="270"/>
      <c r="B255" s="271" t="s">
        <v>186</v>
      </c>
      <c r="C255" s="271"/>
      <c r="D255" s="271"/>
      <c r="E255" s="271"/>
      <c r="F255" s="272"/>
      <c r="G255" s="273"/>
      <c r="H255" s="288"/>
      <c r="I255" s="190"/>
      <c r="J255" s="62"/>
      <c r="K255" s="62"/>
      <c r="L255" s="62"/>
      <c r="M255" s="191"/>
      <c r="N255" s="87"/>
    </row>
    <row r="256" spans="1:14" ht="18" customHeight="1">
      <c r="A256" s="270"/>
      <c r="B256" s="271"/>
      <c r="C256" s="271"/>
      <c r="D256" s="271" t="s">
        <v>415</v>
      </c>
      <c r="E256" s="271"/>
      <c r="F256" s="272"/>
      <c r="G256" s="273"/>
      <c r="H256" s="275" t="s">
        <v>418</v>
      </c>
      <c r="I256" s="190">
        <v>1350000</v>
      </c>
      <c r="J256" s="62">
        <v>0</v>
      </c>
      <c r="K256" s="62">
        <f t="shared" ref="K256" si="13">0-J256</f>
        <v>0</v>
      </c>
      <c r="L256" s="62">
        <v>0</v>
      </c>
      <c r="M256" s="62">
        <v>1800000</v>
      </c>
      <c r="N256" s="65"/>
    </row>
    <row r="257" spans="1:15" ht="18" customHeight="1">
      <c r="A257" s="278"/>
      <c r="B257" s="279"/>
      <c r="C257" s="279"/>
      <c r="D257" s="279" t="s">
        <v>366</v>
      </c>
      <c r="E257" s="279"/>
      <c r="F257" s="280"/>
      <c r="G257" s="281"/>
      <c r="H257" s="290"/>
      <c r="I257" s="171">
        <f>SUM(I256:I256)</f>
        <v>1350000</v>
      </c>
      <c r="J257" s="171">
        <f>SUM(J256:J256)</f>
        <v>0</v>
      </c>
      <c r="K257" s="171">
        <f>SUM(K256:K256)</f>
        <v>0</v>
      </c>
      <c r="L257" s="171">
        <f>SUM(L256:L256)</f>
        <v>0</v>
      </c>
      <c r="M257" s="171">
        <f>SUM(M256:M256)</f>
        <v>1800000</v>
      </c>
    </row>
    <row r="258" spans="1:15" ht="5.0999999999999996" customHeight="1">
      <c r="A258" s="270"/>
      <c r="B258" s="271"/>
      <c r="C258" s="271"/>
      <c r="D258" s="279"/>
      <c r="E258" s="271"/>
      <c r="F258" s="272"/>
      <c r="G258" s="273"/>
      <c r="H258" s="288"/>
      <c r="I258" s="190"/>
      <c r="J258" s="62"/>
      <c r="K258" s="62"/>
      <c r="L258" s="62"/>
      <c r="M258" s="62"/>
    </row>
    <row r="259" spans="1:15" ht="18" customHeight="1">
      <c r="A259" s="282" t="s">
        <v>244</v>
      </c>
      <c r="B259" s="283"/>
      <c r="C259" s="283"/>
      <c r="D259" s="283"/>
      <c r="E259" s="283"/>
      <c r="F259" s="284"/>
      <c r="G259" s="285"/>
      <c r="H259" s="291"/>
      <c r="I259" s="188">
        <f>SUM(I257+I254+I238)</f>
        <v>29339508.890000001</v>
      </c>
      <c r="J259" s="188">
        <f>SUM(J257+J254+J238)</f>
        <v>25360729.399999999</v>
      </c>
      <c r="K259" s="188">
        <f>SUM(K257+K254+K238)</f>
        <v>1154357.6000000001</v>
      </c>
      <c r="L259" s="188">
        <f>SUM(L257+L254+L238)</f>
        <v>26515087</v>
      </c>
      <c r="M259" s="188">
        <f>SUM(M257+M254+M238)</f>
        <v>29008569</v>
      </c>
    </row>
    <row r="260" spans="1:15" ht="18" hidden="1" customHeight="1">
      <c r="A260" s="482"/>
      <c r="B260" s="483"/>
      <c r="C260" s="483"/>
      <c r="D260" s="483" t="s">
        <v>416</v>
      </c>
      <c r="E260" s="483"/>
      <c r="F260" s="484"/>
      <c r="G260" s="485" t="s">
        <v>430</v>
      </c>
      <c r="H260" s="486" t="s">
        <v>417</v>
      </c>
      <c r="I260" s="487">
        <v>0</v>
      </c>
      <c r="J260" s="488">
        <v>0</v>
      </c>
      <c r="K260" s="488">
        <f>0-J260</f>
        <v>0</v>
      </c>
      <c r="L260" s="488">
        <f t="shared" ref="L260:L261" si="14">SUM(K260+J260)</f>
        <v>0</v>
      </c>
      <c r="M260" s="488">
        <v>0</v>
      </c>
    </row>
    <row r="261" spans="1:15" ht="18" hidden="1" customHeight="1">
      <c r="A261" s="56"/>
      <c r="B261" s="57"/>
      <c r="C261" s="57"/>
      <c r="D261" s="57" t="s">
        <v>412</v>
      </c>
      <c r="E261" s="57"/>
      <c r="F261" s="58"/>
      <c r="G261" s="59" t="s">
        <v>413</v>
      </c>
      <c r="H261" s="60" t="s">
        <v>414</v>
      </c>
      <c r="I261" s="61">
        <v>0</v>
      </c>
      <c r="J261" s="62">
        <v>0</v>
      </c>
      <c r="K261" s="62">
        <f>0-J261</f>
        <v>0</v>
      </c>
      <c r="L261" s="62">
        <f t="shared" si="14"/>
        <v>0</v>
      </c>
      <c r="M261" s="62">
        <v>0</v>
      </c>
    </row>
    <row r="262" spans="1:15" ht="18" hidden="1" customHeight="1">
      <c r="A262" s="54"/>
      <c r="B262" s="71"/>
      <c r="C262" s="54"/>
      <c r="D262" s="54"/>
      <c r="E262" s="54"/>
      <c r="F262" s="54"/>
      <c r="G262" s="54"/>
      <c r="H262" s="135"/>
      <c r="I262" s="135"/>
      <c r="J262" s="72"/>
      <c r="K262" s="72"/>
      <c r="L262" s="72"/>
      <c r="M262" s="72"/>
    </row>
    <row r="263" spans="1:15" ht="18" hidden="1" customHeight="1">
      <c r="A263" s="54"/>
      <c r="B263" s="71"/>
      <c r="C263" s="54"/>
      <c r="D263" s="54"/>
      <c r="E263" s="54"/>
      <c r="F263" s="54"/>
      <c r="G263" s="54"/>
      <c r="H263" s="135"/>
      <c r="I263" s="79"/>
      <c r="J263" s="72"/>
      <c r="K263" s="72"/>
      <c r="L263" s="72"/>
      <c r="M263" s="72"/>
    </row>
    <row r="264" spans="1:15" ht="18" customHeight="1">
      <c r="A264" s="492"/>
      <c r="B264" s="469"/>
      <c r="C264" s="492"/>
      <c r="D264" s="492"/>
      <c r="E264" s="492"/>
      <c r="F264" s="492"/>
      <c r="G264" s="492"/>
      <c r="H264" s="493"/>
      <c r="I264" s="493"/>
      <c r="J264" s="494"/>
      <c r="K264" s="494"/>
      <c r="L264" s="494"/>
      <c r="M264" s="494"/>
    </row>
    <row r="265" spans="1:15" s="366" customFormat="1" ht="18" customHeight="1">
      <c r="A265" s="368"/>
      <c r="B265" s="368"/>
      <c r="C265" s="368"/>
      <c r="D265" s="368"/>
      <c r="E265" s="368"/>
      <c r="F265" s="368"/>
      <c r="G265" s="368"/>
      <c r="H265" s="368"/>
      <c r="I265" s="368"/>
      <c r="J265" s="368"/>
      <c r="K265" s="368"/>
      <c r="L265" s="368"/>
      <c r="M265" s="368"/>
      <c r="O265" s="166"/>
    </row>
    <row r="266" spans="1:15" s="366" customFormat="1" ht="18" customHeight="1">
      <c r="A266" s="368" t="s">
        <v>556</v>
      </c>
      <c r="B266" s="368"/>
      <c r="C266" s="368"/>
      <c r="D266" s="368"/>
      <c r="E266" s="368"/>
      <c r="F266" s="368"/>
      <c r="G266" s="368"/>
      <c r="H266" s="368"/>
      <c r="I266" s="368"/>
      <c r="J266" s="368"/>
      <c r="K266" s="368"/>
      <c r="L266" s="368"/>
      <c r="M266" s="368"/>
      <c r="O266" s="166"/>
    </row>
    <row r="267" spans="1:15" s="361" customFormat="1" ht="20.100000000000001" customHeight="1">
      <c r="A267" s="362"/>
      <c r="B267" s="363"/>
      <c r="C267" s="362"/>
      <c r="D267" s="362"/>
      <c r="E267" s="362"/>
      <c r="F267" s="364"/>
      <c r="G267" s="362"/>
      <c r="H267" s="365"/>
      <c r="I267" s="365"/>
      <c r="K267" s="136"/>
      <c r="L267" s="136"/>
      <c r="M267" s="72"/>
      <c r="O267" s="236"/>
    </row>
    <row r="268" spans="1:15" s="361" customFormat="1" ht="20.100000000000001" customHeight="1">
      <c r="A268" s="139" t="s">
        <v>245</v>
      </c>
      <c r="B268" s="139"/>
      <c r="D268" s="139"/>
      <c r="E268" s="139"/>
      <c r="G268" s="139"/>
      <c r="H268" s="139"/>
      <c r="I268" s="139" t="s">
        <v>246</v>
      </c>
      <c r="J268" s="139"/>
      <c r="K268" s="139"/>
      <c r="L268" s="139" t="s">
        <v>43</v>
      </c>
      <c r="M268" s="139"/>
      <c r="O268" s="236"/>
    </row>
    <row r="269" spans="1:15" s="361" customFormat="1" ht="15" customHeight="1">
      <c r="A269" s="51"/>
      <c r="B269" s="50"/>
      <c r="C269" s="52"/>
      <c r="D269" s="51"/>
      <c r="E269" s="51"/>
      <c r="F269" s="52"/>
      <c r="G269" s="51"/>
      <c r="H269" s="52"/>
      <c r="I269" s="51"/>
      <c r="J269" s="135"/>
      <c r="K269" s="76"/>
      <c r="L269" s="75"/>
      <c r="M269" s="136"/>
      <c r="O269" s="236"/>
    </row>
    <row r="270" spans="1:15" s="33" customFormat="1" ht="15" customHeight="1">
      <c r="A270" s="529" t="s">
        <v>459</v>
      </c>
      <c r="B270" s="529"/>
      <c r="C270" s="529"/>
      <c r="D270" s="529"/>
      <c r="E270" s="529"/>
      <c r="F270" s="529"/>
      <c r="G270" s="50"/>
      <c r="H270" s="73"/>
      <c r="I270" s="529" t="s">
        <v>12</v>
      </c>
      <c r="J270" s="529"/>
      <c r="K270" s="74"/>
      <c r="L270" s="529" t="s">
        <v>460</v>
      </c>
      <c r="M270" s="529"/>
      <c r="O270" s="236"/>
    </row>
    <row r="271" spans="1:15" s="33" customFormat="1" ht="15" customHeight="1">
      <c r="A271" s="517" t="s">
        <v>557</v>
      </c>
      <c r="B271" s="517"/>
      <c r="C271" s="517"/>
      <c r="D271" s="517"/>
      <c r="E271" s="517"/>
      <c r="F271" s="517"/>
      <c r="I271" s="518" t="s">
        <v>558</v>
      </c>
      <c r="J271" s="518"/>
      <c r="L271" s="517" t="s">
        <v>559</v>
      </c>
      <c r="M271" s="517"/>
      <c r="O271" s="236"/>
    </row>
    <row r="272" spans="1:15" s="33" customFormat="1" ht="15" customHeight="1">
      <c r="A272" s="517"/>
      <c r="B272" s="517"/>
      <c r="C272" s="517"/>
      <c r="D272" s="517"/>
      <c r="E272" s="517"/>
      <c r="F272" s="517"/>
      <c r="G272" s="517"/>
      <c r="H272" s="517"/>
      <c r="I272" s="517"/>
      <c r="J272" s="517"/>
      <c r="K272" s="517"/>
      <c r="L272" s="517"/>
      <c r="M272" s="517"/>
      <c r="O272" s="236"/>
    </row>
    <row r="273" spans="1:15" s="33" customFormat="1" ht="15" customHeight="1">
      <c r="A273" s="519" t="s">
        <v>549</v>
      </c>
      <c r="B273" s="519"/>
      <c r="C273" s="519"/>
      <c r="D273" s="519"/>
      <c r="E273" s="519"/>
      <c r="F273" s="519"/>
      <c r="G273" s="519"/>
      <c r="H273" s="519"/>
      <c r="I273" s="519"/>
      <c r="J273" s="519"/>
      <c r="K273" s="519"/>
      <c r="L273" s="519"/>
      <c r="M273" s="519"/>
      <c r="O273" s="236"/>
    </row>
    <row r="274" spans="1:15" s="33" customFormat="1" ht="15" customHeight="1">
      <c r="A274" s="167"/>
      <c r="B274" s="167"/>
      <c r="C274" s="167"/>
      <c r="D274" s="167"/>
      <c r="E274" s="167"/>
      <c r="F274" s="167"/>
      <c r="G274" s="167"/>
      <c r="H274" s="167"/>
      <c r="I274" s="167"/>
      <c r="J274" s="167"/>
      <c r="K274" s="167"/>
      <c r="L274" s="167"/>
      <c r="M274" s="167"/>
      <c r="O274" s="236"/>
    </row>
    <row r="275" spans="1:15" s="138" customFormat="1" ht="15.75">
      <c r="A275" s="142" t="s">
        <v>550</v>
      </c>
      <c r="B275" s="142"/>
      <c r="C275" s="142"/>
      <c r="D275" s="141"/>
      <c r="E275" s="141"/>
      <c r="F275" s="142" t="s">
        <v>37</v>
      </c>
      <c r="G275" s="142"/>
      <c r="H275" s="142"/>
      <c r="I275" s="142"/>
      <c r="J275" s="142" t="s">
        <v>551</v>
      </c>
      <c r="K275" s="142" t="str">
        <f>$K$9</f>
        <v>2024</v>
      </c>
      <c r="L275" s="142"/>
      <c r="M275" s="142"/>
      <c r="O275" s="232"/>
    </row>
    <row r="276" spans="1:15" s="138" customFormat="1" ht="15.75">
      <c r="A276" s="142" t="s">
        <v>552</v>
      </c>
      <c r="B276" s="142"/>
      <c r="C276" s="142"/>
      <c r="D276" s="141"/>
      <c r="E276" s="142"/>
      <c r="F276" s="142" t="s">
        <v>554</v>
      </c>
      <c r="G276" s="142"/>
      <c r="H276" s="142"/>
      <c r="I276" s="142"/>
      <c r="J276" s="142" t="s">
        <v>553</v>
      </c>
      <c r="K276" s="50" t="s">
        <v>560</v>
      </c>
      <c r="L276" s="142"/>
      <c r="M276" s="142"/>
      <c r="O276" s="232"/>
    </row>
    <row r="277" spans="1:15" s="138" customFormat="1" ht="15.75">
      <c r="A277" s="142" t="s">
        <v>555</v>
      </c>
      <c r="B277" s="142"/>
      <c r="C277" s="142"/>
      <c r="D277" s="142"/>
      <c r="E277" s="142"/>
      <c r="F277" s="142"/>
      <c r="G277" s="142"/>
      <c r="H277" s="142"/>
      <c r="I277" s="142"/>
      <c r="J277" s="142"/>
      <c r="K277" s="142" t="s">
        <v>561</v>
      </c>
      <c r="L277" s="142"/>
      <c r="M277" s="142"/>
      <c r="O277" s="232"/>
    </row>
    <row r="278" spans="1:15" s="52" customFormat="1" ht="16.5" thickBot="1">
      <c r="A278" s="535"/>
      <c r="B278" s="535"/>
      <c r="C278" s="535"/>
      <c r="D278" s="535"/>
      <c r="E278" s="535"/>
      <c r="F278" s="535"/>
      <c r="G278" s="535"/>
      <c r="H278" s="535"/>
      <c r="I278" s="535"/>
      <c r="J278" s="535"/>
      <c r="K278" s="535"/>
      <c r="L278" s="535"/>
      <c r="M278" s="535"/>
      <c r="O278" s="236"/>
    </row>
    <row r="279" spans="1:15" ht="18" customHeight="1">
      <c r="A279" s="255"/>
      <c r="B279" s="256"/>
      <c r="C279" s="256"/>
      <c r="D279" s="256"/>
      <c r="E279" s="256"/>
      <c r="F279" s="257"/>
      <c r="G279" s="258"/>
      <c r="H279" s="259"/>
      <c r="I279" s="259" t="s">
        <v>6</v>
      </c>
      <c r="J279" s="520" t="s">
        <v>545</v>
      </c>
      <c r="K279" s="521"/>
      <c r="L279" s="522"/>
      <c r="M279" s="260" t="s">
        <v>7</v>
      </c>
    </row>
    <row r="280" spans="1:15" ht="18" customHeight="1">
      <c r="A280" s="523"/>
      <c r="B280" s="524"/>
      <c r="C280" s="524"/>
      <c r="D280" s="524"/>
      <c r="E280" s="524"/>
      <c r="F280" s="525"/>
      <c r="G280" s="448"/>
      <c r="H280" s="261"/>
      <c r="I280" s="261">
        <v>2022</v>
      </c>
      <c r="J280" s="261" t="s">
        <v>192</v>
      </c>
      <c r="K280" s="261" t="s">
        <v>193</v>
      </c>
      <c r="L280" s="261"/>
      <c r="M280" s="262">
        <v>2024</v>
      </c>
    </row>
    <row r="281" spans="1:15" ht="18" customHeight="1">
      <c r="A281" s="523" t="s">
        <v>13</v>
      </c>
      <c r="B281" s="524"/>
      <c r="C281" s="524"/>
      <c r="D281" s="524"/>
      <c r="E281" s="524"/>
      <c r="F281" s="525"/>
      <c r="G281" s="263"/>
      <c r="H281" s="264" t="s">
        <v>243</v>
      </c>
      <c r="I281" s="261" t="s">
        <v>191</v>
      </c>
      <c r="J281" s="261" t="s">
        <v>191</v>
      </c>
      <c r="K281" s="261" t="s">
        <v>194</v>
      </c>
      <c r="L281" s="261" t="s">
        <v>11</v>
      </c>
      <c r="M281" s="262" t="s">
        <v>196</v>
      </c>
    </row>
    <row r="282" spans="1:15" ht="18" customHeight="1">
      <c r="A282" s="265"/>
      <c r="B282" s="266"/>
      <c r="C282" s="266"/>
      <c r="D282" s="266"/>
      <c r="E282" s="266"/>
      <c r="F282" s="267"/>
      <c r="G282" s="263"/>
      <c r="H282" s="261"/>
      <c r="I282" s="261"/>
      <c r="J282" s="261">
        <v>2023</v>
      </c>
      <c r="K282" s="261">
        <v>2023</v>
      </c>
      <c r="L282" s="261"/>
      <c r="M282" s="262"/>
    </row>
    <row r="283" spans="1:15" ht="18" customHeight="1" thickBot="1">
      <c r="A283" s="526"/>
      <c r="B283" s="527"/>
      <c r="C283" s="527"/>
      <c r="D283" s="527"/>
      <c r="E283" s="527"/>
      <c r="F283" s="528"/>
      <c r="G283" s="449"/>
      <c r="H283" s="268"/>
      <c r="I283" s="369"/>
      <c r="J283" s="268"/>
      <c r="K283" s="268"/>
      <c r="L283" s="268"/>
      <c r="M283" s="269"/>
    </row>
    <row r="284" spans="1:15" ht="18" customHeight="1">
      <c r="A284" s="462"/>
      <c r="B284" s="193" t="s">
        <v>66</v>
      </c>
      <c r="C284" s="283"/>
      <c r="D284" s="193"/>
      <c r="E284" s="193"/>
      <c r="F284" s="463"/>
      <c r="G284" s="464"/>
      <c r="H284" s="489"/>
      <c r="I284" s="495"/>
      <c r="J284" s="491"/>
      <c r="K284" s="491"/>
      <c r="L284" s="491"/>
      <c r="M284" s="491"/>
    </row>
    <row r="285" spans="1:15" ht="18" customHeight="1">
      <c r="A285" s="270"/>
      <c r="B285" s="271"/>
      <c r="C285" s="271" t="s">
        <v>148</v>
      </c>
      <c r="D285" s="271"/>
      <c r="E285" s="271"/>
      <c r="F285" s="272"/>
      <c r="G285" s="273"/>
      <c r="H285" s="288"/>
      <c r="I285" s="192"/>
      <c r="J285" s="80"/>
      <c r="K285" s="80"/>
      <c r="L285" s="80"/>
      <c r="M285" s="80"/>
    </row>
    <row r="286" spans="1:15" ht="18" customHeight="1">
      <c r="A286" s="270"/>
      <c r="B286" s="271"/>
      <c r="C286" s="271" t="s">
        <v>148</v>
      </c>
      <c r="D286" s="271"/>
      <c r="E286" s="271"/>
      <c r="F286" s="272"/>
      <c r="G286" s="273"/>
      <c r="H286" s="288"/>
      <c r="I286" s="192"/>
      <c r="J286" s="80"/>
      <c r="K286" s="80"/>
      <c r="L286" s="80"/>
      <c r="M286" s="80"/>
    </row>
    <row r="287" spans="1:15" ht="18" customHeight="1">
      <c r="A287" s="270"/>
      <c r="B287" s="271"/>
      <c r="C287" s="271"/>
      <c r="D287" s="271" t="s">
        <v>149</v>
      </c>
      <c r="E287" s="271"/>
      <c r="F287" s="272"/>
      <c r="G287" s="273" t="s">
        <v>213</v>
      </c>
      <c r="H287" s="275" t="s">
        <v>257</v>
      </c>
      <c r="I287" s="190">
        <v>1345056</v>
      </c>
      <c r="J287" s="62">
        <v>997022</v>
      </c>
      <c r="K287" s="62">
        <f>1025592.52-J287</f>
        <v>28570.520000000019</v>
      </c>
      <c r="L287" s="62">
        <f>SUM(K287+J287)</f>
        <v>1025592.52</v>
      </c>
      <c r="M287" s="62">
        <v>1401081</v>
      </c>
    </row>
    <row r="288" spans="1:15" ht="18" customHeight="1">
      <c r="A288" s="270"/>
      <c r="B288" s="271"/>
      <c r="C288" s="271" t="s">
        <v>150</v>
      </c>
      <c r="D288" s="271"/>
      <c r="E288" s="271"/>
      <c r="F288" s="272"/>
      <c r="G288" s="273"/>
      <c r="H288" s="276"/>
      <c r="I288" s="190"/>
      <c r="J288" s="62"/>
      <c r="K288" s="62"/>
      <c r="L288" s="62"/>
      <c r="M288" s="62"/>
    </row>
    <row r="289" spans="1:13" ht="18" customHeight="1">
      <c r="A289" s="270"/>
      <c r="B289" s="271"/>
      <c r="C289" s="271"/>
      <c r="D289" s="271" t="s">
        <v>151</v>
      </c>
      <c r="E289" s="271"/>
      <c r="F289" s="272"/>
      <c r="G289" s="273" t="s">
        <v>214</v>
      </c>
      <c r="H289" s="275" t="s">
        <v>258</v>
      </c>
      <c r="I289" s="190">
        <v>72000</v>
      </c>
      <c r="J289" s="62">
        <v>62000</v>
      </c>
      <c r="K289" s="62">
        <f>62000-J289</f>
        <v>0</v>
      </c>
      <c r="L289" s="62">
        <f t="shared" ref="L289:L307" si="15">SUM(K289+J289)</f>
        <v>62000</v>
      </c>
      <c r="M289" s="62">
        <v>72000</v>
      </c>
    </row>
    <row r="290" spans="1:13" ht="18" customHeight="1">
      <c r="A290" s="270"/>
      <c r="B290" s="271"/>
      <c r="C290" s="271"/>
      <c r="D290" s="271" t="s">
        <v>161</v>
      </c>
      <c r="E290" s="271"/>
      <c r="F290" s="272"/>
      <c r="G290" s="273" t="s">
        <v>215</v>
      </c>
      <c r="H290" s="275" t="s">
        <v>259</v>
      </c>
      <c r="I290" s="190">
        <v>76500</v>
      </c>
      <c r="J290" s="62">
        <v>44625</v>
      </c>
      <c r="K290" s="62">
        <f>76500-J290</f>
        <v>31875</v>
      </c>
      <c r="L290" s="62">
        <f t="shared" si="15"/>
        <v>76500</v>
      </c>
      <c r="M290" s="62">
        <v>76500</v>
      </c>
    </row>
    <row r="291" spans="1:13" ht="18" customHeight="1">
      <c r="A291" s="270"/>
      <c r="B291" s="271"/>
      <c r="C291" s="271"/>
      <c r="D291" s="271" t="s">
        <v>160</v>
      </c>
      <c r="E291" s="271"/>
      <c r="F291" s="272"/>
      <c r="G291" s="273" t="s">
        <v>216</v>
      </c>
      <c r="H291" s="275" t="s">
        <v>260</v>
      </c>
      <c r="I291" s="190">
        <v>76500</v>
      </c>
      <c r="J291" s="62">
        <v>44625</v>
      </c>
      <c r="K291" s="62">
        <f>76500-J291</f>
        <v>31875</v>
      </c>
      <c r="L291" s="62">
        <f t="shared" si="15"/>
        <v>76500</v>
      </c>
      <c r="M291" s="62">
        <v>76500</v>
      </c>
    </row>
    <row r="292" spans="1:13" ht="18" customHeight="1">
      <c r="A292" s="270"/>
      <c r="B292" s="271"/>
      <c r="C292" s="271"/>
      <c r="D292" s="271" t="s">
        <v>162</v>
      </c>
      <c r="E292" s="271"/>
      <c r="F292" s="272"/>
      <c r="G292" s="273" t="s">
        <v>217</v>
      </c>
      <c r="H292" s="275" t="s">
        <v>261</v>
      </c>
      <c r="I292" s="190">
        <v>18000</v>
      </c>
      <c r="J292" s="62">
        <v>18000</v>
      </c>
      <c r="K292" s="62">
        <f>18000-J292</f>
        <v>0</v>
      </c>
      <c r="L292" s="62">
        <f t="shared" si="15"/>
        <v>18000</v>
      </c>
      <c r="M292" s="62">
        <v>18000</v>
      </c>
    </row>
    <row r="293" spans="1:13" ht="18" customHeight="1">
      <c r="A293" s="270"/>
      <c r="B293" s="271"/>
      <c r="C293" s="271"/>
      <c r="D293" s="271" t="s">
        <v>255</v>
      </c>
      <c r="E293" s="271"/>
      <c r="F293" s="272"/>
      <c r="G293" s="273" t="s">
        <v>219</v>
      </c>
      <c r="H293" s="275" t="s">
        <v>262</v>
      </c>
      <c r="I293" s="190">
        <v>15000</v>
      </c>
      <c r="J293" s="62">
        <v>10000</v>
      </c>
      <c r="K293" s="62">
        <f>10000-J293</f>
        <v>0</v>
      </c>
      <c r="L293" s="62">
        <f t="shared" si="15"/>
        <v>10000</v>
      </c>
      <c r="M293" s="62">
        <v>15000</v>
      </c>
    </row>
    <row r="294" spans="1:13" ht="18" hidden="1" customHeight="1">
      <c r="A294" s="270"/>
      <c r="B294" s="271"/>
      <c r="C294" s="271"/>
      <c r="D294" s="271" t="s">
        <v>164</v>
      </c>
      <c r="E294" s="271"/>
      <c r="F294" s="272"/>
      <c r="G294" s="273" t="s">
        <v>108</v>
      </c>
      <c r="H294" s="275" t="s">
        <v>263</v>
      </c>
      <c r="I294" s="190">
        <v>0</v>
      </c>
      <c r="J294" s="62">
        <v>0</v>
      </c>
      <c r="K294" s="62">
        <f>0-J294</f>
        <v>0</v>
      </c>
      <c r="L294" s="62">
        <f t="shared" si="15"/>
        <v>0</v>
      </c>
      <c r="M294" s="62">
        <v>0</v>
      </c>
    </row>
    <row r="295" spans="1:13" ht="18" hidden="1" customHeight="1">
      <c r="A295" s="270"/>
      <c r="B295" s="271"/>
      <c r="C295" s="271"/>
      <c r="D295" s="271" t="s">
        <v>487</v>
      </c>
      <c r="E295" s="271"/>
      <c r="F295" s="272"/>
      <c r="G295" s="273" t="s">
        <v>108</v>
      </c>
      <c r="H295" s="275" t="s">
        <v>263</v>
      </c>
      <c r="I295" s="190">
        <v>0</v>
      </c>
      <c r="J295" s="62">
        <v>0</v>
      </c>
      <c r="K295" s="62">
        <f>0-J295</f>
        <v>0</v>
      </c>
      <c r="L295" s="62">
        <f t="shared" si="15"/>
        <v>0</v>
      </c>
      <c r="M295" s="62">
        <v>0</v>
      </c>
    </row>
    <row r="296" spans="1:13" ht="18" customHeight="1">
      <c r="A296" s="270"/>
      <c r="B296" s="271"/>
      <c r="C296" s="271"/>
      <c r="D296" s="271" t="s">
        <v>475</v>
      </c>
      <c r="E296" s="271"/>
      <c r="F296" s="272"/>
      <c r="G296" s="273"/>
      <c r="H296" s="275" t="s">
        <v>263</v>
      </c>
      <c r="I296" s="190">
        <v>62693.8</v>
      </c>
      <c r="J296" s="62">
        <v>0</v>
      </c>
      <c r="K296" s="62">
        <f>0-J296</f>
        <v>0</v>
      </c>
      <c r="L296" s="62">
        <f t="shared" si="15"/>
        <v>0</v>
      </c>
      <c r="M296" s="62">
        <v>0</v>
      </c>
    </row>
    <row r="297" spans="1:13" ht="18" customHeight="1">
      <c r="A297" s="270"/>
      <c r="B297" s="271"/>
      <c r="C297" s="271"/>
      <c r="D297" s="271" t="s">
        <v>166</v>
      </c>
      <c r="E297" s="271"/>
      <c r="F297" s="272"/>
      <c r="G297" s="273" t="s">
        <v>222</v>
      </c>
      <c r="H297" s="275" t="s">
        <v>264</v>
      </c>
      <c r="I297" s="190">
        <v>15000</v>
      </c>
      <c r="J297" s="62">
        <v>14000</v>
      </c>
      <c r="K297" s="62">
        <f>15000-J297</f>
        <v>1000</v>
      </c>
      <c r="L297" s="62">
        <f t="shared" si="15"/>
        <v>15000</v>
      </c>
      <c r="M297" s="62">
        <v>15000</v>
      </c>
    </row>
    <row r="298" spans="1:13" ht="18" customHeight="1">
      <c r="A298" s="270"/>
      <c r="B298" s="271"/>
      <c r="C298" s="271"/>
      <c r="D298" s="271" t="s">
        <v>374</v>
      </c>
      <c r="E298" s="271"/>
      <c r="F298" s="271"/>
      <c r="G298" s="277" t="s">
        <v>108</v>
      </c>
      <c r="H298" s="275" t="s">
        <v>263</v>
      </c>
      <c r="I298" s="190">
        <v>112088</v>
      </c>
      <c r="J298" s="62">
        <v>116576</v>
      </c>
      <c r="K298" s="62">
        <f>116576-J298</f>
        <v>0</v>
      </c>
      <c r="L298" s="62">
        <f t="shared" si="15"/>
        <v>116576</v>
      </c>
      <c r="M298" s="62">
        <v>116817</v>
      </c>
    </row>
    <row r="299" spans="1:13" ht="18" customHeight="1">
      <c r="A299" s="270"/>
      <c r="B299" s="271"/>
      <c r="C299" s="271"/>
      <c r="D299" s="271" t="s">
        <v>167</v>
      </c>
      <c r="E299" s="271"/>
      <c r="F299" s="272"/>
      <c r="G299" s="273" t="s">
        <v>223</v>
      </c>
      <c r="H299" s="275" t="s">
        <v>265</v>
      </c>
      <c r="I299" s="190">
        <v>112088</v>
      </c>
      <c r="J299" s="62">
        <v>100500.4</v>
      </c>
      <c r="K299" s="62">
        <f>116576-J299</f>
        <v>16075.600000000006</v>
      </c>
      <c r="L299" s="62">
        <f t="shared" si="15"/>
        <v>116576</v>
      </c>
      <c r="M299" s="62">
        <v>116817</v>
      </c>
    </row>
    <row r="300" spans="1:13" ht="18" customHeight="1">
      <c r="A300" s="270"/>
      <c r="B300" s="271"/>
      <c r="C300" s="271"/>
      <c r="D300" s="271" t="s">
        <v>626</v>
      </c>
      <c r="E300" s="271"/>
      <c r="F300" s="272"/>
      <c r="G300" s="273"/>
      <c r="H300" s="275" t="s">
        <v>263</v>
      </c>
      <c r="I300" s="190"/>
      <c r="J300" s="62">
        <v>57954.54</v>
      </c>
      <c r="K300" s="62">
        <f>58000-J300</f>
        <v>45.459999999999127</v>
      </c>
      <c r="L300" s="62">
        <f t="shared" si="15"/>
        <v>58000</v>
      </c>
      <c r="M300" s="62">
        <v>116817</v>
      </c>
    </row>
    <row r="301" spans="1:13" ht="18" customHeight="1">
      <c r="A301" s="270"/>
      <c r="B301" s="271"/>
      <c r="C301" s="271"/>
      <c r="D301" s="271" t="s">
        <v>249</v>
      </c>
      <c r="E301" s="271"/>
      <c r="F301" s="272"/>
      <c r="G301" s="273" t="s">
        <v>224</v>
      </c>
      <c r="H301" s="275" t="s">
        <v>266</v>
      </c>
      <c r="I301" s="190">
        <v>162000</v>
      </c>
      <c r="J301" s="62">
        <v>119642.64</v>
      </c>
      <c r="K301" s="62">
        <f>120000-J301</f>
        <v>357.36000000000058</v>
      </c>
      <c r="L301" s="62">
        <f t="shared" si="15"/>
        <v>120000</v>
      </c>
      <c r="M301" s="62">
        <v>168200</v>
      </c>
    </row>
    <row r="302" spans="1:13" ht="18" customHeight="1">
      <c r="A302" s="270"/>
      <c r="B302" s="271"/>
      <c r="C302" s="271"/>
      <c r="D302" s="271" t="s">
        <v>168</v>
      </c>
      <c r="E302" s="271"/>
      <c r="F302" s="272"/>
      <c r="G302" s="273" t="s">
        <v>225</v>
      </c>
      <c r="H302" s="275" t="s">
        <v>267</v>
      </c>
      <c r="I302" s="190">
        <v>5400</v>
      </c>
      <c r="J302" s="62">
        <v>3400</v>
      </c>
      <c r="K302" s="62">
        <f>4900-J302</f>
        <v>1500</v>
      </c>
      <c r="L302" s="62">
        <f t="shared" si="15"/>
        <v>4900</v>
      </c>
      <c r="M302" s="62">
        <v>5400</v>
      </c>
    </row>
    <row r="303" spans="1:13" ht="18" customHeight="1">
      <c r="A303" s="270"/>
      <c r="B303" s="271"/>
      <c r="C303" s="271"/>
      <c r="D303" s="271" t="s">
        <v>169</v>
      </c>
      <c r="E303" s="271"/>
      <c r="F303" s="272"/>
      <c r="G303" s="273" t="s">
        <v>226</v>
      </c>
      <c r="H303" s="275" t="s">
        <v>268</v>
      </c>
      <c r="I303" s="190">
        <v>27500</v>
      </c>
      <c r="J303" s="62">
        <v>19600</v>
      </c>
      <c r="K303" s="62">
        <f>23500-J303</f>
        <v>3900</v>
      </c>
      <c r="L303" s="62">
        <f t="shared" si="15"/>
        <v>23500</v>
      </c>
      <c r="M303" s="62">
        <v>35100</v>
      </c>
    </row>
    <row r="304" spans="1:13" ht="18" customHeight="1">
      <c r="A304" s="270"/>
      <c r="B304" s="271"/>
      <c r="C304" s="271"/>
      <c r="D304" s="271" t="s">
        <v>248</v>
      </c>
      <c r="E304" s="271"/>
      <c r="F304" s="272"/>
      <c r="G304" s="273" t="s">
        <v>227</v>
      </c>
      <c r="H304" s="275" t="s">
        <v>269</v>
      </c>
      <c r="I304" s="190">
        <v>3600</v>
      </c>
      <c r="J304" s="62">
        <v>3100</v>
      </c>
      <c r="K304" s="62">
        <f>3100-J304</f>
        <v>0</v>
      </c>
      <c r="L304" s="62">
        <f t="shared" si="15"/>
        <v>3100</v>
      </c>
      <c r="M304" s="62">
        <v>3600</v>
      </c>
    </row>
    <row r="305" spans="1:15" ht="18" hidden="1" customHeight="1">
      <c r="A305" s="270"/>
      <c r="B305" s="271"/>
      <c r="C305" s="271"/>
      <c r="D305" s="271" t="s">
        <v>171</v>
      </c>
      <c r="E305" s="271"/>
      <c r="F305" s="272"/>
      <c r="G305" s="273" t="s">
        <v>82</v>
      </c>
      <c r="H305" s="275" t="s">
        <v>281</v>
      </c>
      <c r="I305" s="190">
        <v>0</v>
      </c>
      <c r="J305" s="62">
        <v>0</v>
      </c>
      <c r="K305" s="62">
        <f>0-J305</f>
        <v>0</v>
      </c>
      <c r="L305" s="62">
        <f t="shared" si="15"/>
        <v>0</v>
      </c>
      <c r="M305" s="62">
        <v>0</v>
      </c>
    </row>
    <row r="306" spans="1:15" ht="18" customHeight="1">
      <c r="A306" s="270"/>
      <c r="B306" s="271"/>
      <c r="C306" s="271"/>
      <c r="D306" s="271" t="s">
        <v>502</v>
      </c>
      <c r="E306" s="271"/>
      <c r="F306" s="272"/>
      <c r="G306" s="273"/>
      <c r="H306" s="275" t="s">
        <v>281</v>
      </c>
      <c r="I306" s="190"/>
      <c r="J306" s="62">
        <v>90000</v>
      </c>
      <c r="K306" s="62">
        <f>90000-J306</f>
        <v>0</v>
      </c>
      <c r="L306" s="62">
        <f t="shared" si="15"/>
        <v>90000</v>
      </c>
      <c r="M306" s="62"/>
    </row>
    <row r="307" spans="1:15" s="64" customFormat="1" ht="18" customHeight="1">
      <c r="A307" s="270"/>
      <c r="B307" s="271"/>
      <c r="C307" s="271"/>
      <c r="D307" s="271" t="s">
        <v>476</v>
      </c>
      <c r="E307" s="271"/>
      <c r="F307" s="272"/>
      <c r="G307" s="273"/>
      <c r="H307" s="275" t="s">
        <v>281</v>
      </c>
      <c r="I307" s="190">
        <v>60000</v>
      </c>
      <c r="J307" s="62">
        <v>40000</v>
      </c>
      <c r="K307" s="62">
        <f>40000-J307</f>
        <v>0</v>
      </c>
      <c r="L307" s="62">
        <f t="shared" si="15"/>
        <v>40000</v>
      </c>
      <c r="M307" s="62">
        <v>0</v>
      </c>
      <c r="O307" s="234"/>
    </row>
    <row r="308" spans="1:15" ht="18" customHeight="1">
      <c r="A308" s="278"/>
      <c r="B308" s="279"/>
      <c r="C308" s="279"/>
      <c r="D308" s="279" t="s">
        <v>68</v>
      </c>
      <c r="E308" s="279"/>
      <c r="F308" s="280"/>
      <c r="G308" s="281"/>
      <c r="H308" s="274"/>
      <c r="I308" s="171">
        <f>SUM(I286:I307)</f>
        <v>2163425.7999999998</v>
      </c>
      <c r="J308" s="171">
        <f>SUM(J286:J307)</f>
        <v>1741045.5799999998</v>
      </c>
      <c r="K308" s="171">
        <f>SUM(K286:K307)</f>
        <v>115198.94000000002</v>
      </c>
      <c r="L308" s="171">
        <f>SUM(L286:L307)</f>
        <v>1856244.52</v>
      </c>
      <c r="M308" s="171">
        <f>SUM(M286:M307)</f>
        <v>2236832</v>
      </c>
    </row>
    <row r="309" spans="1:15" ht="18" customHeight="1">
      <c r="A309" s="270"/>
      <c r="B309" s="271" t="s">
        <v>172</v>
      </c>
      <c r="C309" s="271"/>
      <c r="D309" s="271"/>
      <c r="E309" s="271"/>
      <c r="F309" s="272"/>
      <c r="G309" s="273"/>
      <c r="H309" s="276"/>
      <c r="I309" s="190"/>
      <c r="J309" s="62"/>
      <c r="K309" s="62"/>
      <c r="L309" s="62"/>
      <c r="M309" s="62"/>
    </row>
    <row r="310" spans="1:15" ht="18" customHeight="1">
      <c r="A310" s="270"/>
      <c r="B310" s="271"/>
      <c r="C310" s="271"/>
      <c r="D310" s="271" t="s">
        <v>173</v>
      </c>
      <c r="E310" s="271"/>
      <c r="F310" s="272"/>
      <c r="G310" s="273" t="s">
        <v>75</v>
      </c>
      <c r="H310" s="275" t="s">
        <v>271</v>
      </c>
      <c r="I310" s="190">
        <v>9800</v>
      </c>
      <c r="J310" s="62">
        <v>45140</v>
      </c>
      <c r="K310" s="62">
        <f>100000-J310</f>
        <v>54860</v>
      </c>
      <c r="L310" s="62">
        <f t="shared" ref="L310:L316" si="16">SUM(K310+J310)</f>
        <v>100000</v>
      </c>
      <c r="M310" s="62">
        <v>100000</v>
      </c>
    </row>
    <row r="311" spans="1:15" ht="18" customHeight="1">
      <c r="A311" s="270"/>
      <c r="B311" s="271"/>
      <c r="C311" s="271"/>
      <c r="D311" s="271" t="s">
        <v>107</v>
      </c>
      <c r="E311" s="271"/>
      <c r="F311" s="272"/>
      <c r="G311" s="273" t="s">
        <v>76</v>
      </c>
      <c r="H311" s="275" t="s">
        <v>272</v>
      </c>
      <c r="I311" s="190">
        <v>79350</v>
      </c>
      <c r="J311" s="62">
        <v>99230.23</v>
      </c>
      <c r="K311" s="62">
        <f>100000-J311</f>
        <v>769.77000000000407</v>
      </c>
      <c r="L311" s="62">
        <f t="shared" si="16"/>
        <v>100000</v>
      </c>
      <c r="M311" s="62">
        <v>100000</v>
      </c>
    </row>
    <row r="312" spans="1:15" ht="18" customHeight="1">
      <c r="A312" s="270"/>
      <c r="B312" s="271"/>
      <c r="C312" s="271"/>
      <c r="D312" s="271" t="s">
        <v>73</v>
      </c>
      <c r="E312" s="271"/>
      <c r="F312" s="272"/>
      <c r="G312" s="273" t="s">
        <v>78</v>
      </c>
      <c r="H312" s="275" t="s">
        <v>273</v>
      </c>
      <c r="I312" s="190">
        <v>168370.48</v>
      </c>
      <c r="J312" s="62">
        <v>166158</v>
      </c>
      <c r="K312" s="62">
        <f>210587-J312</f>
        <v>44429</v>
      </c>
      <c r="L312" s="62">
        <f t="shared" si="16"/>
        <v>210587</v>
      </c>
      <c r="M312" s="62">
        <v>304376</v>
      </c>
    </row>
    <row r="313" spans="1:15" ht="18" customHeight="1">
      <c r="A313" s="270"/>
      <c r="B313" s="271"/>
      <c r="C313" s="271"/>
      <c r="D313" s="271" t="s">
        <v>179</v>
      </c>
      <c r="E313" s="271"/>
      <c r="F313" s="272"/>
      <c r="G313" s="273" t="s">
        <v>79</v>
      </c>
      <c r="H313" s="275" t="s">
        <v>275</v>
      </c>
      <c r="I313" s="190">
        <v>36000</v>
      </c>
      <c r="J313" s="62">
        <v>31636.36</v>
      </c>
      <c r="K313" s="62">
        <f>36000-J313</f>
        <v>4363.6399999999994</v>
      </c>
      <c r="L313" s="62">
        <f t="shared" si="16"/>
        <v>36000</v>
      </c>
      <c r="M313" s="62">
        <v>36000</v>
      </c>
    </row>
    <row r="314" spans="1:15" ht="18" customHeight="1">
      <c r="A314" s="270"/>
      <c r="B314" s="271"/>
      <c r="C314" s="271"/>
      <c r="D314" s="271" t="s">
        <v>432</v>
      </c>
      <c r="E314" s="271"/>
      <c r="F314" s="272"/>
      <c r="G314" s="273" t="s">
        <v>80</v>
      </c>
      <c r="H314" s="275" t="s">
        <v>276</v>
      </c>
      <c r="I314" s="190">
        <v>500</v>
      </c>
      <c r="J314" s="62">
        <v>0</v>
      </c>
      <c r="K314" s="62">
        <f>50000-J314</f>
        <v>50000</v>
      </c>
      <c r="L314" s="62">
        <f t="shared" si="16"/>
        <v>50000</v>
      </c>
      <c r="M314" s="62">
        <v>50000</v>
      </c>
    </row>
    <row r="315" spans="1:15" ht="18" customHeight="1">
      <c r="A315" s="270"/>
      <c r="B315" s="271"/>
      <c r="C315" s="271"/>
      <c r="D315" s="271" t="s">
        <v>185</v>
      </c>
      <c r="E315" s="271"/>
      <c r="F315" s="272"/>
      <c r="G315" s="273" t="s">
        <v>81</v>
      </c>
      <c r="H315" s="275" t="s">
        <v>277</v>
      </c>
      <c r="I315" s="190">
        <v>0</v>
      </c>
      <c r="J315" s="62">
        <v>5000</v>
      </c>
      <c r="K315" s="62">
        <f>30000-J315</f>
        <v>25000</v>
      </c>
      <c r="L315" s="62">
        <f t="shared" si="16"/>
        <v>30000</v>
      </c>
      <c r="M315" s="62">
        <v>40000</v>
      </c>
    </row>
    <row r="316" spans="1:15" s="64" customFormat="1" ht="18" customHeight="1">
      <c r="A316" s="270"/>
      <c r="B316" s="271"/>
      <c r="C316" s="271"/>
      <c r="D316" s="271" t="s">
        <v>502</v>
      </c>
      <c r="E316" s="271"/>
      <c r="F316" s="272"/>
      <c r="G316" s="273"/>
      <c r="H316" s="275" t="s">
        <v>277</v>
      </c>
      <c r="I316" s="190">
        <v>75000</v>
      </c>
      <c r="J316" s="62">
        <v>0</v>
      </c>
      <c r="K316" s="62">
        <f>0-J316</f>
        <v>0</v>
      </c>
      <c r="L316" s="62">
        <f t="shared" si="16"/>
        <v>0</v>
      </c>
      <c r="M316" s="62">
        <v>0</v>
      </c>
      <c r="O316" s="234"/>
    </row>
    <row r="317" spans="1:15" ht="18" customHeight="1">
      <c r="A317" s="278"/>
      <c r="B317" s="279"/>
      <c r="C317" s="279"/>
      <c r="D317" s="279" t="s">
        <v>322</v>
      </c>
      <c r="E317" s="279"/>
      <c r="F317" s="280"/>
      <c r="G317" s="281"/>
      <c r="H317" s="274"/>
      <c r="I317" s="171">
        <f>SUM(I310:I316)</f>
        <v>369020.48</v>
      </c>
      <c r="J317" s="171">
        <f>SUM(J310:J316)</f>
        <v>347164.58999999997</v>
      </c>
      <c r="K317" s="171">
        <f>SUM(K310:K316)</f>
        <v>179422.41</v>
      </c>
      <c r="L317" s="171">
        <f>SUM(L310:L316)</f>
        <v>526587</v>
      </c>
      <c r="M317" s="171">
        <f>SUM(M310:M316)</f>
        <v>630376</v>
      </c>
    </row>
    <row r="318" spans="1:15" ht="18" customHeight="1">
      <c r="A318" s="270"/>
      <c r="B318" s="271" t="s">
        <v>186</v>
      </c>
      <c r="C318" s="271"/>
      <c r="D318" s="271"/>
      <c r="E318" s="271"/>
      <c r="F318" s="272"/>
      <c r="G318" s="273"/>
      <c r="H318" s="276"/>
      <c r="I318" s="190"/>
      <c r="J318" s="62"/>
      <c r="K318" s="62"/>
      <c r="L318" s="62"/>
      <c r="M318" s="62"/>
    </row>
    <row r="319" spans="1:15" ht="18" hidden="1" customHeight="1">
      <c r="A319" s="270"/>
      <c r="B319" s="271"/>
      <c r="C319" s="271"/>
      <c r="D319" s="271" t="s">
        <v>256</v>
      </c>
      <c r="E319" s="271"/>
      <c r="F319" s="272"/>
      <c r="G319" s="273" t="s">
        <v>409</v>
      </c>
      <c r="H319" s="275" t="s">
        <v>410</v>
      </c>
      <c r="I319" s="190">
        <v>0</v>
      </c>
      <c r="J319" s="62">
        <v>0</v>
      </c>
      <c r="K319" s="62">
        <f>0-J319</f>
        <v>0</v>
      </c>
      <c r="L319" s="62">
        <f>SUM(K319+J319)</f>
        <v>0</v>
      </c>
      <c r="M319" s="62">
        <v>0</v>
      </c>
    </row>
    <row r="320" spans="1:15" ht="18" hidden="1" customHeight="1">
      <c r="A320" s="270"/>
      <c r="B320" s="271"/>
      <c r="C320" s="271"/>
      <c r="D320" s="271" t="s">
        <v>461</v>
      </c>
      <c r="E320" s="271"/>
      <c r="F320" s="272"/>
      <c r="G320" s="273" t="s">
        <v>411</v>
      </c>
      <c r="H320" s="275" t="s">
        <v>481</v>
      </c>
      <c r="I320" s="190">
        <v>0</v>
      </c>
      <c r="J320" s="62">
        <v>0</v>
      </c>
      <c r="K320" s="62">
        <f>0-J320</f>
        <v>0</v>
      </c>
      <c r="L320" s="62">
        <f>SUM(K320+J320)</f>
        <v>0</v>
      </c>
      <c r="M320" s="62">
        <v>0</v>
      </c>
    </row>
    <row r="321" spans="1:15" s="64" customFormat="1" ht="18" customHeight="1">
      <c r="A321" s="270"/>
      <c r="B321" s="271"/>
      <c r="C321" s="271"/>
      <c r="D321" s="271" t="s">
        <v>416</v>
      </c>
      <c r="E321" s="271"/>
      <c r="F321" s="272"/>
      <c r="G321" s="273" t="s">
        <v>430</v>
      </c>
      <c r="H321" s="275" t="s">
        <v>417</v>
      </c>
      <c r="I321" s="190">
        <v>0</v>
      </c>
      <c r="J321" s="62">
        <v>0</v>
      </c>
      <c r="K321" s="62">
        <f>0-J321</f>
        <v>0</v>
      </c>
      <c r="L321" s="62">
        <f>SUM(K321+J321)</f>
        <v>0</v>
      </c>
      <c r="M321" s="62">
        <v>0</v>
      </c>
      <c r="O321" s="234"/>
    </row>
    <row r="322" spans="1:15" s="64" customFormat="1" ht="18" customHeight="1">
      <c r="A322" s="278"/>
      <c r="B322" s="279"/>
      <c r="C322" s="279"/>
      <c r="D322" s="279" t="s">
        <v>366</v>
      </c>
      <c r="E322" s="279"/>
      <c r="F322" s="280"/>
      <c r="G322" s="281"/>
      <c r="H322" s="274"/>
      <c r="I322" s="171">
        <f>SUM(I319:I321)</f>
        <v>0</v>
      </c>
      <c r="J322" s="191">
        <f>SUM(J319:J321)</f>
        <v>0</v>
      </c>
      <c r="K322" s="191">
        <f>SUM(K319:K321)</f>
        <v>0</v>
      </c>
      <c r="L322" s="191">
        <f>SUM(L319:L321)</f>
        <v>0</v>
      </c>
      <c r="M322" s="191">
        <f>SUM(M319:M321)</f>
        <v>0</v>
      </c>
      <c r="O322" s="234"/>
    </row>
    <row r="323" spans="1:15" s="64" customFormat="1" ht="5.0999999999999996" customHeight="1">
      <c r="A323" s="278"/>
      <c r="B323" s="279"/>
      <c r="C323" s="279"/>
      <c r="D323" s="279"/>
      <c r="E323" s="279"/>
      <c r="F323" s="280"/>
      <c r="G323" s="281"/>
      <c r="H323" s="274"/>
      <c r="I323" s="171"/>
      <c r="J323" s="191"/>
      <c r="K323" s="191"/>
      <c r="L323" s="191"/>
      <c r="M323" s="191"/>
      <c r="O323" s="234"/>
    </row>
    <row r="324" spans="1:15" ht="18" customHeight="1">
      <c r="A324" s="282" t="s">
        <v>244</v>
      </c>
      <c r="B324" s="283"/>
      <c r="C324" s="283"/>
      <c r="D324" s="283"/>
      <c r="E324" s="283"/>
      <c r="F324" s="284"/>
      <c r="G324" s="285"/>
      <c r="H324" s="286"/>
      <c r="I324" s="188">
        <f>SUM(I322+I317+I308)</f>
        <v>2532446.2799999998</v>
      </c>
      <c r="J324" s="188">
        <f>SUM(J322+J317+J308)</f>
        <v>2088210.17</v>
      </c>
      <c r="K324" s="188">
        <f>SUM(K322+K317+K308)</f>
        <v>294621.35000000003</v>
      </c>
      <c r="L324" s="188">
        <f>SUM(L322+L317+L308)</f>
        <v>2382831.52</v>
      </c>
      <c r="M324" s="188">
        <f>SUM(M322+M317+M308)</f>
        <v>2867208</v>
      </c>
    </row>
    <row r="325" spans="1:15" ht="18" customHeight="1">
      <c r="A325" s="54"/>
      <c r="B325" s="71"/>
      <c r="C325" s="54"/>
      <c r="D325" s="54"/>
      <c r="E325" s="54"/>
      <c r="F325" s="54"/>
      <c r="G325" s="54"/>
      <c r="H325" s="135"/>
      <c r="I325" s="135"/>
      <c r="J325" s="72"/>
      <c r="K325" s="72"/>
      <c r="L325" s="72"/>
      <c r="M325" s="72"/>
    </row>
    <row r="326" spans="1:15" ht="18" customHeight="1">
      <c r="A326" s="368" t="s">
        <v>556</v>
      </c>
      <c r="B326" s="368"/>
      <c r="C326" s="368"/>
      <c r="D326" s="368"/>
      <c r="E326" s="368"/>
      <c r="F326" s="368"/>
      <c r="G326" s="368"/>
      <c r="H326" s="368"/>
      <c r="I326" s="368"/>
      <c r="J326" s="368"/>
      <c r="K326" s="368"/>
      <c r="L326" s="368"/>
      <c r="M326" s="368"/>
    </row>
    <row r="327" spans="1:15" s="366" customFormat="1" ht="18" customHeight="1">
      <c r="A327" s="362"/>
      <c r="B327" s="363"/>
      <c r="C327" s="362"/>
      <c r="D327" s="362"/>
      <c r="E327" s="362"/>
      <c r="F327" s="364"/>
      <c r="G327" s="362"/>
      <c r="H327" s="365"/>
      <c r="I327" s="365"/>
      <c r="J327" s="361"/>
      <c r="K327" s="136"/>
      <c r="L327" s="136"/>
      <c r="M327" s="72"/>
      <c r="O327" s="166"/>
    </row>
    <row r="328" spans="1:15" s="366" customFormat="1" ht="18" customHeight="1">
      <c r="A328" s="139" t="s">
        <v>245</v>
      </c>
      <c r="B328" s="139"/>
      <c r="C328" s="361"/>
      <c r="D328" s="139"/>
      <c r="E328" s="139"/>
      <c r="F328" s="361"/>
      <c r="G328" s="139"/>
      <c r="H328" s="139"/>
      <c r="I328" s="139" t="s">
        <v>246</v>
      </c>
      <c r="J328" s="139"/>
      <c r="K328" s="139"/>
      <c r="L328" s="139" t="s">
        <v>43</v>
      </c>
      <c r="M328" s="139"/>
      <c r="O328" s="166"/>
    </row>
    <row r="329" spans="1:15" s="366" customFormat="1" ht="18" customHeight="1">
      <c r="A329" s="51"/>
      <c r="B329" s="50"/>
      <c r="C329" s="52"/>
      <c r="D329" s="51"/>
      <c r="E329" s="51"/>
      <c r="F329" s="52"/>
      <c r="G329" s="51"/>
      <c r="H329" s="52"/>
      <c r="I329" s="51"/>
      <c r="J329" s="135"/>
      <c r="K329" s="76"/>
      <c r="L329" s="75"/>
      <c r="M329" s="136"/>
      <c r="O329" s="166"/>
    </row>
    <row r="330" spans="1:15" s="366" customFormat="1" ht="18" customHeight="1">
      <c r="A330" s="529" t="s">
        <v>614</v>
      </c>
      <c r="B330" s="529"/>
      <c r="C330" s="529"/>
      <c r="D330" s="529"/>
      <c r="E330" s="529"/>
      <c r="F330" s="529"/>
      <c r="G330" s="50"/>
      <c r="H330" s="73"/>
      <c r="I330" s="529" t="s">
        <v>12</v>
      </c>
      <c r="J330" s="529"/>
      <c r="K330" s="74"/>
      <c r="L330" s="529" t="s">
        <v>460</v>
      </c>
      <c r="M330" s="529"/>
      <c r="O330" s="166"/>
    </row>
    <row r="331" spans="1:15" s="366" customFormat="1" ht="18" customHeight="1">
      <c r="A331" s="518" t="s">
        <v>616</v>
      </c>
      <c r="B331" s="518"/>
      <c r="C331" s="518"/>
      <c r="D331" s="518"/>
      <c r="E331" s="518"/>
      <c r="F331" s="518"/>
      <c r="G331" s="33"/>
      <c r="H331" s="33"/>
      <c r="I331" s="518" t="s">
        <v>558</v>
      </c>
      <c r="J331" s="518"/>
      <c r="K331" s="33"/>
      <c r="L331" s="517" t="s">
        <v>559</v>
      </c>
      <c r="M331" s="517"/>
      <c r="O331" s="166"/>
    </row>
    <row r="332" spans="1:15" s="366" customFormat="1" ht="18" customHeight="1">
      <c r="A332" s="167"/>
      <c r="B332" s="167"/>
      <c r="C332" s="167"/>
      <c r="D332" s="167"/>
      <c r="E332" s="167"/>
      <c r="F332" s="167"/>
      <c r="G332" s="33"/>
      <c r="H332" s="33"/>
      <c r="I332" s="167"/>
      <c r="J332" s="167"/>
      <c r="K332" s="33"/>
      <c r="L332" s="167"/>
      <c r="M332" s="167"/>
      <c r="O332" s="166"/>
    </row>
    <row r="333" spans="1:15" s="366" customFormat="1" ht="18" customHeight="1">
      <c r="A333" s="519" t="s">
        <v>549</v>
      </c>
      <c r="B333" s="519"/>
      <c r="C333" s="519"/>
      <c r="D333" s="519"/>
      <c r="E333" s="519"/>
      <c r="F333" s="519"/>
      <c r="G333" s="519"/>
      <c r="H333" s="519"/>
      <c r="I333" s="519"/>
      <c r="J333" s="519"/>
      <c r="K333" s="519"/>
      <c r="L333" s="519"/>
      <c r="M333" s="519"/>
      <c r="O333" s="166"/>
    </row>
    <row r="334" spans="1:15" s="366" customFormat="1" ht="18" customHeight="1">
      <c r="A334" s="33"/>
      <c r="B334" s="33"/>
      <c r="C334" s="33"/>
      <c r="D334" s="33"/>
      <c r="E334" s="33"/>
      <c r="F334" s="33"/>
      <c r="G334" s="33"/>
      <c r="H334" s="33"/>
      <c r="I334" s="33"/>
      <c r="J334" s="33"/>
      <c r="K334" s="33"/>
      <c r="L334" s="33"/>
      <c r="M334" s="33"/>
      <c r="O334" s="166"/>
    </row>
    <row r="335" spans="1:15" s="367" customFormat="1" ht="20.100000000000001" customHeight="1">
      <c r="A335" s="142" t="s">
        <v>550</v>
      </c>
      <c r="B335" s="142"/>
      <c r="C335" s="142"/>
      <c r="D335" s="141"/>
      <c r="E335" s="141"/>
      <c r="F335" s="142" t="s">
        <v>37</v>
      </c>
      <c r="G335" s="142"/>
      <c r="H335" s="142"/>
      <c r="I335" s="142"/>
      <c r="J335" s="142" t="s">
        <v>551</v>
      </c>
      <c r="K335" s="142" t="str">
        <f>$K$9</f>
        <v>2024</v>
      </c>
      <c r="L335" s="142"/>
      <c r="M335" s="142"/>
      <c r="O335" s="238"/>
    </row>
    <row r="336" spans="1:15" s="33" customFormat="1" ht="15" customHeight="1">
      <c r="A336" s="142" t="s">
        <v>552</v>
      </c>
      <c r="B336" s="142"/>
      <c r="C336" s="142"/>
      <c r="D336" s="141"/>
      <c r="E336" s="142"/>
      <c r="F336" s="142" t="s">
        <v>554</v>
      </c>
      <c r="G336" s="142"/>
      <c r="H336" s="142"/>
      <c r="I336" s="142"/>
      <c r="J336" s="142" t="s">
        <v>553</v>
      </c>
      <c r="K336" s="50" t="s">
        <v>562</v>
      </c>
      <c r="L336" s="142"/>
      <c r="M336" s="142"/>
      <c r="O336" s="236"/>
    </row>
    <row r="337" spans="1:15" s="33" customFormat="1" ht="15" customHeight="1">
      <c r="A337" s="142" t="s">
        <v>555</v>
      </c>
      <c r="B337" s="142"/>
      <c r="C337" s="142"/>
      <c r="D337" s="142"/>
      <c r="E337" s="142"/>
      <c r="F337" s="142"/>
      <c r="G337" s="142"/>
      <c r="H337" s="142"/>
      <c r="I337" s="142"/>
      <c r="J337" s="142"/>
      <c r="K337" s="142"/>
      <c r="L337" s="142"/>
      <c r="M337" s="142"/>
      <c r="O337" s="236"/>
    </row>
    <row r="338" spans="1:15" s="52" customFormat="1" ht="18" customHeight="1" thickBot="1">
      <c r="A338" s="519"/>
      <c r="B338" s="519"/>
      <c r="C338" s="519"/>
      <c r="D338" s="519"/>
      <c r="E338" s="519"/>
      <c r="F338" s="519"/>
      <c r="G338" s="519"/>
      <c r="H338" s="519"/>
      <c r="I338" s="519"/>
      <c r="J338" s="519"/>
      <c r="K338" s="519"/>
      <c r="L338" s="519"/>
      <c r="M338" s="519"/>
      <c r="O338" s="236"/>
    </row>
    <row r="339" spans="1:15" ht="18" customHeight="1">
      <c r="A339" s="255"/>
      <c r="B339" s="256"/>
      <c r="C339" s="256"/>
      <c r="D339" s="256"/>
      <c r="E339" s="256"/>
      <c r="F339" s="257"/>
      <c r="G339" s="258"/>
      <c r="H339" s="259"/>
      <c r="I339" s="259" t="s">
        <v>6</v>
      </c>
      <c r="J339" s="520" t="s">
        <v>545</v>
      </c>
      <c r="K339" s="521"/>
      <c r="L339" s="522"/>
      <c r="M339" s="260" t="s">
        <v>7</v>
      </c>
    </row>
    <row r="340" spans="1:15" ht="18" customHeight="1">
      <c r="A340" s="523"/>
      <c r="B340" s="524"/>
      <c r="C340" s="524"/>
      <c r="D340" s="524"/>
      <c r="E340" s="524"/>
      <c r="F340" s="525"/>
      <c r="G340" s="448"/>
      <c r="H340" s="261"/>
      <c r="I340" s="261">
        <v>2022</v>
      </c>
      <c r="J340" s="261" t="s">
        <v>192</v>
      </c>
      <c r="K340" s="261" t="s">
        <v>193</v>
      </c>
      <c r="L340" s="261"/>
      <c r="M340" s="262">
        <v>2024</v>
      </c>
    </row>
    <row r="341" spans="1:15" ht="18" customHeight="1">
      <c r="A341" s="523" t="s">
        <v>13</v>
      </c>
      <c r="B341" s="524"/>
      <c r="C341" s="524"/>
      <c r="D341" s="524"/>
      <c r="E341" s="524"/>
      <c r="F341" s="525"/>
      <c r="G341" s="263"/>
      <c r="H341" s="264" t="s">
        <v>243</v>
      </c>
      <c r="I341" s="261" t="s">
        <v>191</v>
      </c>
      <c r="J341" s="261" t="s">
        <v>191</v>
      </c>
      <c r="K341" s="261" t="s">
        <v>194</v>
      </c>
      <c r="L341" s="261" t="s">
        <v>11</v>
      </c>
      <c r="M341" s="262" t="s">
        <v>196</v>
      </c>
    </row>
    <row r="342" spans="1:15" ht="18" customHeight="1">
      <c r="A342" s="265"/>
      <c r="B342" s="266"/>
      <c r="C342" s="266"/>
      <c r="D342" s="266"/>
      <c r="E342" s="266"/>
      <c r="F342" s="267"/>
      <c r="G342" s="263"/>
      <c r="H342" s="261"/>
      <c r="I342" s="261"/>
      <c r="J342" s="261">
        <v>2023</v>
      </c>
      <c r="K342" s="261">
        <v>2023</v>
      </c>
      <c r="L342" s="261"/>
      <c r="M342" s="262"/>
    </row>
    <row r="343" spans="1:15" ht="18" customHeight="1" thickBot="1">
      <c r="A343" s="526"/>
      <c r="B343" s="527"/>
      <c r="C343" s="527"/>
      <c r="D343" s="527"/>
      <c r="E343" s="527"/>
      <c r="F343" s="528"/>
      <c r="G343" s="449"/>
      <c r="H343" s="268"/>
      <c r="I343" s="369"/>
      <c r="J343" s="268"/>
      <c r="K343" s="268"/>
      <c r="L343" s="268"/>
      <c r="M343" s="269"/>
    </row>
    <row r="344" spans="1:15" ht="18" customHeight="1">
      <c r="A344" s="462"/>
      <c r="B344" s="193" t="s">
        <v>66</v>
      </c>
      <c r="C344" s="283"/>
      <c r="D344" s="193"/>
      <c r="E344" s="193"/>
      <c r="F344" s="463"/>
      <c r="G344" s="464"/>
      <c r="H344" s="489"/>
      <c r="I344" s="490"/>
      <c r="J344" s="491"/>
      <c r="K344" s="491"/>
      <c r="L344" s="491"/>
      <c r="M344" s="491"/>
    </row>
    <row r="345" spans="1:15" ht="18" customHeight="1">
      <c r="A345" s="270"/>
      <c r="B345" s="271"/>
      <c r="C345" s="271" t="s">
        <v>148</v>
      </c>
      <c r="D345" s="271"/>
      <c r="E345" s="271"/>
      <c r="F345" s="272"/>
      <c r="G345" s="273"/>
      <c r="H345" s="288"/>
      <c r="I345" s="289"/>
      <c r="J345" s="77"/>
      <c r="K345" s="77"/>
      <c r="L345" s="77"/>
      <c r="M345" s="77"/>
    </row>
    <row r="346" spans="1:15" ht="18" customHeight="1">
      <c r="A346" s="270"/>
      <c r="B346" s="271"/>
      <c r="C346" s="271"/>
      <c r="D346" s="271" t="s">
        <v>149</v>
      </c>
      <c r="E346" s="271"/>
      <c r="F346" s="272"/>
      <c r="G346" s="273" t="s">
        <v>213</v>
      </c>
      <c r="H346" s="275" t="s">
        <v>257</v>
      </c>
      <c r="I346" s="190">
        <v>1359660</v>
      </c>
      <c r="J346" s="62">
        <v>818480.22</v>
      </c>
      <c r="K346" s="62">
        <f>879895-J346</f>
        <v>61414.780000000028</v>
      </c>
      <c r="L346" s="62">
        <f>SUM(K346+J346)</f>
        <v>879895</v>
      </c>
      <c r="M346" s="62">
        <v>1285284</v>
      </c>
    </row>
    <row r="347" spans="1:15" ht="18" customHeight="1">
      <c r="A347" s="270"/>
      <c r="B347" s="271"/>
      <c r="C347" s="271" t="s">
        <v>150</v>
      </c>
      <c r="D347" s="271"/>
      <c r="E347" s="271"/>
      <c r="F347" s="272"/>
      <c r="G347" s="273"/>
      <c r="H347" s="276"/>
      <c r="I347" s="190"/>
      <c r="J347" s="62"/>
      <c r="K347" s="62"/>
      <c r="L347" s="62"/>
      <c r="M347" s="62"/>
    </row>
    <row r="348" spans="1:15" ht="18" customHeight="1">
      <c r="A348" s="270"/>
      <c r="B348" s="271"/>
      <c r="C348" s="271"/>
      <c r="D348" s="271" t="s">
        <v>151</v>
      </c>
      <c r="E348" s="271"/>
      <c r="F348" s="272"/>
      <c r="G348" s="273" t="s">
        <v>214</v>
      </c>
      <c r="H348" s="275" t="s">
        <v>258</v>
      </c>
      <c r="I348" s="190">
        <v>72000</v>
      </c>
      <c r="J348" s="62">
        <v>58363.64</v>
      </c>
      <c r="K348" s="62">
        <f>60000-J348</f>
        <v>1636.3600000000006</v>
      </c>
      <c r="L348" s="62">
        <f t="shared" ref="L348:L366" si="17">SUM(K348+J348)</f>
        <v>60000</v>
      </c>
      <c r="M348" s="62">
        <v>72000</v>
      </c>
    </row>
    <row r="349" spans="1:15" ht="18" customHeight="1">
      <c r="A349" s="270"/>
      <c r="B349" s="271"/>
      <c r="C349" s="271"/>
      <c r="D349" s="271" t="s">
        <v>161</v>
      </c>
      <c r="E349" s="271"/>
      <c r="F349" s="272"/>
      <c r="G349" s="273" t="s">
        <v>215</v>
      </c>
      <c r="H349" s="275" t="s">
        <v>259</v>
      </c>
      <c r="I349" s="190">
        <v>76500</v>
      </c>
      <c r="J349" s="62">
        <v>33034.089999999997</v>
      </c>
      <c r="K349" s="62">
        <f>76500-J349</f>
        <v>43465.91</v>
      </c>
      <c r="L349" s="62">
        <f t="shared" si="17"/>
        <v>76500</v>
      </c>
      <c r="M349" s="62">
        <v>76500</v>
      </c>
    </row>
    <row r="350" spans="1:15" ht="18" customHeight="1">
      <c r="A350" s="270"/>
      <c r="B350" s="271"/>
      <c r="C350" s="271"/>
      <c r="D350" s="271" t="s">
        <v>160</v>
      </c>
      <c r="E350" s="271"/>
      <c r="F350" s="272"/>
      <c r="G350" s="273" t="s">
        <v>216</v>
      </c>
      <c r="H350" s="275" t="s">
        <v>260</v>
      </c>
      <c r="I350" s="190">
        <v>76500</v>
      </c>
      <c r="J350" s="62">
        <v>33034.089999999997</v>
      </c>
      <c r="K350" s="62">
        <f>76500-J350</f>
        <v>43465.91</v>
      </c>
      <c r="L350" s="62">
        <f t="shared" si="17"/>
        <v>76500</v>
      </c>
      <c r="M350" s="62">
        <v>76500</v>
      </c>
    </row>
    <row r="351" spans="1:15" ht="18" customHeight="1">
      <c r="A351" s="270"/>
      <c r="B351" s="271"/>
      <c r="C351" s="271"/>
      <c r="D351" s="271" t="s">
        <v>162</v>
      </c>
      <c r="E351" s="271"/>
      <c r="F351" s="272"/>
      <c r="G351" s="273" t="s">
        <v>217</v>
      </c>
      <c r="H351" s="275" t="s">
        <v>261</v>
      </c>
      <c r="I351" s="190">
        <v>18000</v>
      </c>
      <c r="J351" s="62">
        <v>18000</v>
      </c>
      <c r="K351" s="62">
        <f>18000-J351</f>
        <v>0</v>
      </c>
      <c r="L351" s="62">
        <f t="shared" si="17"/>
        <v>18000</v>
      </c>
      <c r="M351" s="62">
        <v>18000</v>
      </c>
    </row>
    <row r="352" spans="1:15" ht="18" customHeight="1">
      <c r="A352" s="270"/>
      <c r="B352" s="271"/>
      <c r="C352" s="271"/>
      <c r="D352" s="271" t="s">
        <v>255</v>
      </c>
      <c r="E352" s="271"/>
      <c r="F352" s="272"/>
      <c r="G352" s="273" t="s">
        <v>219</v>
      </c>
      <c r="H352" s="275" t="s">
        <v>262</v>
      </c>
      <c r="I352" s="190">
        <v>15000</v>
      </c>
      <c r="J352" s="62">
        <v>10000</v>
      </c>
      <c r="K352" s="62">
        <f>10000-J352</f>
        <v>0</v>
      </c>
      <c r="L352" s="62">
        <f t="shared" si="17"/>
        <v>10000</v>
      </c>
      <c r="M352" s="62">
        <v>15000</v>
      </c>
    </row>
    <row r="353" spans="1:15" ht="18" customHeight="1">
      <c r="A353" s="270"/>
      <c r="B353" s="271"/>
      <c r="C353" s="271"/>
      <c r="D353" s="271" t="s">
        <v>164</v>
      </c>
      <c r="E353" s="271"/>
      <c r="F353" s="272"/>
      <c r="G353" s="273" t="s">
        <v>108</v>
      </c>
      <c r="H353" s="275" t="s">
        <v>263</v>
      </c>
      <c r="I353" s="190">
        <v>0</v>
      </c>
      <c r="J353" s="62">
        <v>5000</v>
      </c>
      <c r="K353" s="62">
        <f>5000-J353</f>
        <v>0</v>
      </c>
      <c r="L353" s="62">
        <f t="shared" si="17"/>
        <v>5000</v>
      </c>
      <c r="M353" s="62">
        <v>0</v>
      </c>
    </row>
    <row r="354" spans="1:15" ht="18" hidden="1" customHeight="1">
      <c r="A354" s="270"/>
      <c r="B354" s="271"/>
      <c r="C354" s="271"/>
      <c r="D354" s="271" t="s">
        <v>487</v>
      </c>
      <c r="E354" s="271"/>
      <c r="F354" s="272"/>
      <c r="G354" s="273" t="s">
        <v>108</v>
      </c>
      <c r="H354" s="275" t="s">
        <v>263</v>
      </c>
      <c r="I354" s="190">
        <v>0</v>
      </c>
      <c r="J354" s="62">
        <v>0</v>
      </c>
      <c r="K354" s="62">
        <f>0-J354</f>
        <v>0</v>
      </c>
      <c r="L354" s="62">
        <f t="shared" si="17"/>
        <v>0</v>
      </c>
      <c r="M354" s="62">
        <v>0</v>
      </c>
    </row>
    <row r="355" spans="1:15" ht="18" customHeight="1">
      <c r="A355" s="270"/>
      <c r="B355" s="271"/>
      <c r="C355" s="271"/>
      <c r="D355" s="271" t="s">
        <v>475</v>
      </c>
      <c r="E355" s="271"/>
      <c r="F355" s="272"/>
      <c r="G355" s="273"/>
      <c r="H355" s="275" t="s">
        <v>263</v>
      </c>
      <c r="I355" s="190">
        <v>71868.55</v>
      </c>
      <c r="J355" s="62">
        <v>0</v>
      </c>
      <c r="K355" s="62">
        <f>0-J355</f>
        <v>0</v>
      </c>
      <c r="L355" s="62">
        <f t="shared" si="17"/>
        <v>0</v>
      </c>
      <c r="M355" s="62">
        <v>0</v>
      </c>
    </row>
    <row r="356" spans="1:15" ht="18" customHeight="1">
      <c r="A356" s="270"/>
      <c r="B356" s="271"/>
      <c r="C356" s="271"/>
      <c r="D356" s="271" t="s">
        <v>166</v>
      </c>
      <c r="E356" s="271"/>
      <c r="F356" s="272"/>
      <c r="G356" s="273" t="s">
        <v>222</v>
      </c>
      <c r="H356" s="275" t="s">
        <v>264</v>
      </c>
      <c r="I356" s="190">
        <f>15000</f>
        <v>15000</v>
      </c>
      <c r="J356" s="62">
        <v>13000</v>
      </c>
      <c r="K356" s="62">
        <f>15000-J356</f>
        <v>2000</v>
      </c>
      <c r="L356" s="62">
        <f t="shared" si="17"/>
        <v>15000</v>
      </c>
      <c r="M356" s="62">
        <v>15000</v>
      </c>
    </row>
    <row r="357" spans="1:15" ht="18" customHeight="1">
      <c r="A357" s="270"/>
      <c r="B357" s="271"/>
      <c r="C357" s="271"/>
      <c r="D357" s="271" t="s">
        <v>374</v>
      </c>
      <c r="E357" s="271"/>
      <c r="F357" s="271"/>
      <c r="G357" s="277" t="s">
        <v>108</v>
      </c>
      <c r="H357" s="275" t="s">
        <v>263</v>
      </c>
      <c r="I357" s="190">
        <v>113305</v>
      </c>
      <c r="J357" s="62">
        <v>116040</v>
      </c>
      <c r="K357" s="62">
        <f>116040-J357</f>
        <v>0</v>
      </c>
      <c r="L357" s="62">
        <f t="shared" si="17"/>
        <v>116040</v>
      </c>
      <c r="M357" s="62">
        <v>107107</v>
      </c>
    </row>
    <row r="358" spans="1:15" ht="18" customHeight="1">
      <c r="A358" s="270"/>
      <c r="B358" s="271"/>
      <c r="C358" s="271"/>
      <c r="D358" s="271" t="s">
        <v>167</v>
      </c>
      <c r="E358" s="271"/>
      <c r="F358" s="272"/>
      <c r="G358" s="273" t="s">
        <v>223</v>
      </c>
      <c r="H358" s="275" t="s">
        <v>265</v>
      </c>
      <c r="I358" s="190">
        <v>113305</v>
      </c>
      <c r="J358" s="62">
        <v>81994</v>
      </c>
      <c r="K358" s="62">
        <f>116296-J358</f>
        <v>34302</v>
      </c>
      <c r="L358" s="62">
        <f t="shared" si="17"/>
        <v>116296</v>
      </c>
      <c r="M358" s="62">
        <v>107107</v>
      </c>
    </row>
    <row r="359" spans="1:15" ht="18" customHeight="1">
      <c r="A359" s="270"/>
      <c r="B359" s="271"/>
      <c r="C359" s="271"/>
      <c r="D359" s="271" t="s">
        <v>249</v>
      </c>
      <c r="E359" s="271"/>
      <c r="F359" s="272"/>
      <c r="G359" s="273" t="s">
        <v>224</v>
      </c>
      <c r="H359" s="275" t="s">
        <v>266</v>
      </c>
      <c r="I359" s="190">
        <v>164000</v>
      </c>
      <c r="J359" s="62">
        <v>95217</v>
      </c>
      <c r="K359" s="62">
        <f>107000-J359</f>
        <v>11783</v>
      </c>
      <c r="L359" s="62">
        <f t="shared" si="17"/>
        <v>107000</v>
      </c>
      <c r="M359" s="62">
        <v>154500</v>
      </c>
    </row>
    <row r="360" spans="1:15" ht="18" customHeight="1">
      <c r="A360" s="270"/>
      <c r="B360" s="271"/>
      <c r="C360" s="271"/>
      <c r="D360" s="271" t="s">
        <v>168</v>
      </c>
      <c r="E360" s="271"/>
      <c r="F360" s="272"/>
      <c r="G360" s="273" t="s">
        <v>225</v>
      </c>
      <c r="H360" s="275" t="s">
        <v>267</v>
      </c>
      <c r="I360" s="190">
        <v>5400</v>
      </c>
      <c r="J360" s="62">
        <v>3000</v>
      </c>
      <c r="K360" s="62">
        <f>4800-J360</f>
        <v>1800</v>
      </c>
      <c r="L360" s="62">
        <f t="shared" si="17"/>
        <v>4800</v>
      </c>
      <c r="M360" s="62">
        <v>5400</v>
      </c>
    </row>
    <row r="361" spans="1:15" ht="18" customHeight="1">
      <c r="A361" s="270"/>
      <c r="B361" s="271"/>
      <c r="C361" s="271"/>
      <c r="D361" s="271" t="s">
        <v>169</v>
      </c>
      <c r="E361" s="271"/>
      <c r="F361" s="272"/>
      <c r="G361" s="273" t="s">
        <v>226</v>
      </c>
      <c r="H361" s="275" t="s">
        <v>268</v>
      </c>
      <c r="I361" s="190">
        <v>28500</v>
      </c>
      <c r="J361" s="62">
        <v>16714.099999999999</v>
      </c>
      <c r="K361" s="62">
        <f>21500-J361</f>
        <v>4785.9000000000015</v>
      </c>
      <c r="L361" s="62">
        <f t="shared" si="17"/>
        <v>21500</v>
      </c>
      <c r="M361" s="62">
        <v>32200</v>
      </c>
    </row>
    <row r="362" spans="1:15" ht="18" customHeight="1">
      <c r="A362" s="270"/>
      <c r="B362" s="271"/>
      <c r="C362" s="271"/>
      <c r="D362" s="271" t="s">
        <v>248</v>
      </c>
      <c r="E362" s="271"/>
      <c r="F362" s="272"/>
      <c r="G362" s="273" t="s">
        <v>227</v>
      </c>
      <c r="H362" s="275" t="s">
        <v>269</v>
      </c>
      <c r="I362" s="190">
        <v>3600</v>
      </c>
      <c r="J362" s="62">
        <v>2900</v>
      </c>
      <c r="K362" s="62">
        <f>3000-J362</f>
        <v>100</v>
      </c>
      <c r="L362" s="62">
        <f t="shared" si="17"/>
        <v>3000</v>
      </c>
      <c r="M362" s="62">
        <v>3600</v>
      </c>
    </row>
    <row r="363" spans="1:15" ht="18" hidden="1" customHeight="1">
      <c r="A363" s="270"/>
      <c r="B363" s="271"/>
      <c r="C363" s="271"/>
      <c r="D363" s="271" t="s">
        <v>69</v>
      </c>
      <c r="E363" s="271"/>
      <c r="F363" s="272"/>
      <c r="G363" s="273"/>
      <c r="H363" s="275" t="s">
        <v>270</v>
      </c>
      <c r="I363" s="190">
        <v>0</v>
      </c>
      <c r="J363" s="62">
        <v>0</v>
      </c>
      <c r="K363" s="62">
        <f>0-J363</f>
        <v>0</v>
      </c>
      <c r="L363" s="62">
        <f t="shared" si="17"/>
        <v>0</v>
      </c>
      <c r="M363" s="62">
        <v>0</v>
      </c>
    </row>
    <row r="364" spans="1:15" ht="18" customHeight="1">
      <c r="A364" s="270"/>
      <c r="B364" s="271"/>
      <c r="C364" s="271"/>
      <c r="D364" s="271" t="s">
        <v>69</v>
      </c>
      <c r="E364" s="271"/>
      <c r="F364" s="272"/>
      <c r="G364" s="273" t="s">
        <v>82</v>
      </c>
      <c r="H364" s="275" t="s">
        <v>281</v>
      </c>
      <c r="I364" s="190">
        <v>0</v>
      </c>
      <c r="J364" s="62">
        <v>415603.25</v>
      </c>
      <c r="K364" s="62">
        <f>450000-J364</f>
        <v>34396.75</v>
      </c>
      <c r="L364" s="62">
        <f t="shared" si="17"/>
        <v>450000</v>
      </c>
      <c r="M364" s="62">
        <v>0</v>
      </c>
    </row>
    <row r="365" spans="1:15" ht="18" customHeight="1">
      <c r="A365" s="270"/>
      <c r="B365" s="271"/>
      <c r="C365" s="271"/>
      <c r="D365" s="271" t="s">
        <v>476</v>
      </c>
      <c r="E365" s="271"/>
      <c r="F365" s="272"/>
      <c r="G365" s="273"/>
      <c r="H365" s="275" t="s">
        <v>281</v>
      </c>
      <c r="I365" s="190">
        <v>60000</v>
      </c>
      <c r="J365" s="62">
        <v>40000</v>
      </c>
      <c r="K365" s="62">
        <f>40000-J365</f>
        <v>0</v>
      </c>
      <c r="L365" s="62">
        <f t="shared" si="17"/>
        <v>40000</v>
      </c>
      <c r="M365" s="62">
        <v>0</v>
      </c>
    </row>
    <row r="366" spans="1:15" ht="18" customHeight="1">
      <c r="A366" s="270"/>
      <c r="B366" s="271"/>
      <c r="C366" s="271"/>
      <c r="D366" s="271" t="s">
        <v>502</v>
      </c>
      <c r="E366" s="271"/>
      <c r="F366" s="272"/>
      <c r="G366" s="273"/>
      <c r="H366" s="275" t="s">
        <v>281</v>
      </c>
      <c r="I366" s="190"/>
      <c r="J366" s="62">
        <v>85000</v>
      </c>
      <c r="K366" s="62">
        <f>85000-J366</f>
        <v>0</v>
      </c>
      <c r="L366" s="62">
        <f t="shared" si="17"/>
        <v>85000</v>
      </c>
      <c r="M366" s="62">
        <v>0</v>
      </c>
    </row>
    <row r="367" spans="1:15" s="64" customFormat="1" ht="18" customHeight="1">
      <c r="A367" s="278"/>
      <c r="B367" s="279"/>
      <c r="C367" s="279"/>
      <c r="D367" s="279" t="s">
        <v>68</v>
      </c>
      <c r="E367" s="279"/>
      <c r="F367" s="280"/>
      <c r="G367" s="281"/>
      <c r="H367" s="290"/>
      <c r="I367" s="171">
        <f>SUM(I346:I365)</f>
        <v>2192638.5499999998</v>
      </c>
      <c r="J367" s="171">
        <f>SUM(J346:J366)</f>
        <v>1845380.3900000001</v>
      </c>
      <c r="K367" s="171">
        <f>SUM(K346:K365)</f>
        <v>239150.61000000002</v>
      </c>
      <c r="L367" s="171">
        <f>SUM(L346:L366)</f>
        <v>2084531</v>
      </c>
      <c r="M367" s="171">
        <f>SUM(M346:M365)</f>
        <v>1968198</v>
      </c>
      <c r="O367" s="234"/>
    </row>
    <row r="368" spans="1:15" ht="18" customHeight="1">
      <c r="A368" s="270"/>
      <c r="B368" s="271" t="s">
        <v>172</v>
      </c>
      <c r="C368" s="271"/>
      <c r="D368" s="271"/>
      <c r="E368" s="271"/>
      <c r="F368" s="272"/>
      <c r="G368" s="273"/>
      <c r="H368" s="288"/>
      <c r="I368" s="190"/>
      <c r="J368" s="62"/>
      <c r="K368" s="62"/>
      <c r="L368" s="62"/>
      <c r="M368" s="62"/>
    </row>
    <row r="369" spans="1:15" ht="18" customHeight="1">
      <c r="A369" s="270"/>
      <c r="B369" s="271"/>
      <c r="C369" s="271"/>
      <c r="D369" s="271" t="s">
        <v>173</v>
      </c>
      <c r="E369" s="271"/>
      <c r="F369" s="272"/>
      <c r="G369" s="273" t="s">
        <v>75</v>
      </c>
      <c r="H369" s="275" t="s">
        <v>271</v>
      </c>
      <c r="I369" s="190">
        <v>36750</v>
      </c>
      <c r="J369" s="62">
        <v>19550</v>
      </c>
      <c r="K369" s="62">
        <f>43000-J369</f>
        <v>23450</v>
      </c>
      <c r="L369" s="62">
        <f t="shared" ref="L369:L376" si="18">SUM(K369+J369)</f>
        <v>43000</v>
      </c>
      <c r="M369" s="62">
        <v>50000</v>
      </c>
    </row>
    <row r="370" spans="1:15" ht="18" customHeight="1">
      <c r="A370" s="270"/>
      <c r="B370" s="271"/>
      <c r="C370" s="271"/>
      <c r="D370" s="271" t="s">
        <v>107</v>
      </c>
      <c r="E370" s="271"/>
      <c r="F370" s="272"/>
      <c r="G370" s="273" t="s">
        <v>76</v>
      </c>
      <c r="H370" s="275" t="s">
        <v>272</v>
      </c>
      <c r="I370" s="190">
        <v>34950</v>
      </c>
      <c r="J370" s="62">
        <v>33550</v>
      </c>
      <c r="K370" s="62">
        <f>35000-J370</f>
        <v>1450</v>
      </c>
      <c r="L370" s="62">
        <f t="shared" si="18"/>
        <v>35000</v>
      </c>
      <c r="M370" s="62">
        <v>50000</v>
      </c>
    </row>
    <row r="371" spans="1:15" ht="18" customHeight="1">
      <c r="A371" s="270"/>
      <c r="B371" s="271"/>
      <c r="C371" s="271"/>
      <c r="D371" s="271" t="s">
        <v>73</v>
      </c>
      <c r="E371" s="271"/>
      <c r="F371" s="272"/>
      <c r="G371" s="273" t="s">
        <v>78</v>
      </c>
      <c r="H371" s="275" t="s">
        <v>273</v>
      </c>
      <c r="I371" s="190">
        <v>41320</v>
      </c>
      <c r="J371" s="62">
        <v>52683</v>
      </c>
      <c r="K371" s="62">
        <f>85000-J371</f>
        <v>32317</v>
      </c>
      <c r="L371" s="62">
        <f t="shared" si="18"/>
        <v>85000</v>
      </c>
      <c r="M371" s="62">
        <v>100000</v>
      </c>
    </row>
    <row r="372" spans="1:15" ht="18" customHeight="1">
      <c r="A372" s="270"/>
      <c r="B372" s="271"/>
      <c r="C372" s="271"/>
      <c r="D372" s="271" t="s">
        <v>177</v>
      </c>
      <c r="E372" s="271"/>
      <c r="F372" s="272"/>
      <c r="G372" s="273" t="s">
        <v>232</v>
      </c>
      <c r="H372" s="275" t="s">
        <v>274</v>
      </c>
      <c r="I372" s="190">
        <v>0</v>
      </c>
      <c r="J372" s="62">
        <v>0</v>
      </c>
      <c r="K372" s="62">
        <f>250-J372</f>
        <v>250</v>
      </c>
      <c r="L372" s="62">
        <f t="shared" si="18"/>
        <v>250</v>
      </c>
      <c r="M372" s="62">
        <v>1000</v>
      </c>
    </row>
    <row r="373" spans="1:15" ht="18" customHeight="1">
      <c r="A373" s="270"/>
      <c r="B373" s="271"/>
      <c r="C373" s="271"/>
      <c r="D373" s="271" t="s">
        <v>179</v>
      </c>
      <c r="E373" s="271"/>
      <c r="F373" s="272"/>
      <c r="G373" s="273" t="s">
        <v>79</v>
      </c>
      <c r="H373" s="275" t="s">
        <v>275</v>
      </c>
      <c r="I373" s="190">
        <v>36000</v>
      </c>
      <c r="J373" s="62">
        <v>18545.45</v>
      </c>
      <c r="K373" s="62">
        <f>36000-J373</f>
        <v>17454.55</v>
      </c>
      <c r="L373" s="62">
        <f t="shared" si="18"/>
        <v>36000</v>
      </c>
      <c r="M373" s="62">
        <v>36000</v>
      </c>
    </row>
    <row r="374" spans="1:15" ht="18" customHeight="1">
      <c r="A374" s="270"/>
      <c r="B374" s="271"/>
      <c r="C374" s="271"/>
      <c r="D374" s="271" t="s">
        <v>432</v>
      </c>
      <c r="E374" s="271"/>
      <c r="F374" s="272"/>
      <c r="G374" s="273" t="s">
        <v>80</v>
      </c>
      <c r="H374" s="275" t="s">
        <v>276</v>
      </c>
      <c r="I374" s="190">
        <v>600</v>
      </c>
      <c r="J374" s="62">
        <v>0</v>
      </c>
      <c r="K374" s="62">
        <f>14000-J374</f>
        <v>14000</v>
      </c>
      <c r="L374" s="62">
        <f t="shared" si="18"/>
        <v>14000</v>
      </c>
      <c r="M374" s="62">
        <v>14000</v>
      </c>
    </row>
    <row r="375" spans="1:15" ht="18" customHeight="1">
      <c r="A375" s="270"/>
      <c r="B375" s="271"/>
      <c r="C375" s="271"/>
      <c r="D375" s="271" t="s">
        <v>185</v>
      </c>
      <c r="E375" s="271"/>
      <c r="F375" s="272"/>
      <c r="G375" s="273" t="s">
        <v>81</v>
      </c>
      <c r="H375" s="275" t="s">
        <v>277</v>
      </c>
      <c r="I375" s="190">
        <v>0</v>
      </c>
      <c r="J375" s="62">
        <v>0</v>
      </c>
      <c r="K375" s="62">
        <f>6000-J375</f>
        <v>6000</v>
      </c>
      <c r="L375" s="62">
        <f t="shared" si="18"/>
        <v>6000</v>
      </c>
      <c r="M375" s="62">
        <v>6000</v>
      </c>
    </row>
    <row r="376" spans="1:15" ht="18" customHeight="1">
      <c r="A376" s="270"/>
      <c r="B376" s="271"/>
      <c r="C376" s="271"/>
      <c r="D376" s="271" t="s">
        <v>502</v>
      </c>
      <c r="E376" s="271"/>
      <c r="F376" s="272"/>
      <c r="G376" s="273"/>
      <c r="H376" s="275" t="s">
        <v>277</v>
      </c>
      <c r="I376" s="190">
        <v>75000</v>
      </c>
      <c r="J376" s="62">
        <v>0</v>
      </c>
      <c r="K376" s="62">
        <f>0-J376</f>
        <v>0</v>
      </c>
      <c r="L376" s="62">
        <f t="shared" si="18"/>
        <v>0</v>
      </c>
      <c r="M376" s="62">
        <v>0</v>
      </c>
    </row>
    <row r="377" spans="1:15" s="64" customFormat="1" ht="18" customHeight="1">
      <c r="A377" s="278"/>
      <c r="B377" s="279"/>
      <c r="C377" s="279"/>
      <c r="D377" s="279" t="s">
        <v>322</v>
      </c>
      <c r="E377" s="279"/>
      <c r="F377" s="280"/>
      <c r="G377" s="281"/>
      <c r="H377" s="290"/>
      <c r="I377" s="171">
        <f>SUM(I369:I376)</f>
        <v>224620</v>
      </c>
      <c r="J377" s="171">
        <f>SUM(J369:J376)</f>
        <v>124328.45</v>
      </c>
      <c r="K377" s="171">
        <f>SUM(K369:K376)</f>
        <v>94921.55</v>
      </c>
      <c r="L377" s="171">
        <f>SUM(L369:L376)</f>
        <v>219250</v>
      </c>
      <c r="M377" s="171">
        <f>SUM(M369:M376)</f>
        <v>257000</v>
      </c>
      <c r="O377" s="234"/>
    </row>
    <row r="378" spans="1:15" ht="18" customHeight="1">
      <c r="A378" s="270"/>
      <c r="B378" s="271" t="s">
        <v>186</v>
      </c>
      <c r="C378" s="271"/>
      <c r="D378" s="271"/>
      <c r="E378" s="271"/>
      <c r="F378" s="272"/>
      <c r="G378" s="273"/>
      <c r="H378" s="288"/>
      <c r="I378" s="190"/>
      <c r="J378" s="62"/>
      <c r="K378" s="62"/>
      <c r="L378" s="62"/>
      <c r="M378" s="62"/>
    </row>
    <row r="379" spans="1:15" ht="18" customHeight="1">
      <c r="A379" s="270"/>
      <c r="B379" s="271"/>
      <c r="C379" s="271"/>
      <c r="D379" s="271" t="s">
        <v>608</v>
      </c>
      <c r="E379" s="271"/>
      <c r="F379" s="272"/>
      <c r="G379" s="273" t="s">
        <v>411</v>
      </c>
      <c r="H379" s="275" t="s">
        <v>481</v>
      </c>
      <c r="I379" s="190">
        <v>16990</v>
      </c>
      <c r="J379" s="62">
        <v>0</v>
      </c>
      <c r="K379" s="62">
        <f>0-J379</f>
        <v>0</v>
      </c>
      <c r="L379" s="62">
        <f>SUM(K379+J379)</f>
        <v>0</v>
      </c>
      <c r="M379" s="62">
        <v>70000</v>
      </c>
    </row>
    <row r="380" spans="1:15" ht="18" hidden="1" customHeight="1">
      <c r="A380" s="270"/>
      <c r="B380" s="271"/>
      <c r="C380" s="271"/>
      <c r="D380" s="271" t="s">
        <v>416</v>
      </c>
      <c r="E380" s="271"/>
      <c r="F380" s="272"/>
      <c r="G380" s="273" t="s">
        <v>430</v>
      </c>
      <c r="H380" s="275" t="s">
        <v>417</v>
      </c>
      <c r="I380" s="190">
        <v>0</v>
      </c>
      <c r="J380" s="62">
        <v>0</v>
      </c>
      <c r="K380" s="62">
        <f>0-J380</f>
        <v>0</v>
      </c>
      <c r="L380" s="62">
        <f>SUM(K380+J380)</f>
        <v>0</v>
      </c>
      <c r="M380" s="62"/>
    </row>
    <row r="381" spans="1:15" ht="18" hidden="1" customHeight="1">
      <c r="A381" s="270"/>
      <c r="B381" s="271"/>
      <c r="C381" s="271"/>
      <c r="D381" s="271" t="s">
        <v>412</v>
      </c>
      <c r="E381" s="271"/>
      <c r="F381" s="272"/>
      <c r="G381" s="273" t="s">
        <v>413</v>
      </c>
      <c r="H381" s="275" t="s">
        <v>414</v>
      </c>
      <c r="I381" s="190">
        <v>0</v>
      </c>
      <c r="J381" s="62">
        <v>0</v>
      </c>
      <c r="K381" s="62">
        <f>0-J381</f>
        <v>0</v>
      </c>
      <c r="L381" s="62">
        <f>SUM(K381+J381)</f>
        <v>0</v>
      </c>
      <c r="M381" s="62"/>
    </row>
    <row r="382" spans="1:15" s="64" customFormat="1" ht="18" customHeight="1">
      <c r="A382" s="278"/>
      <c r="B382" s="271"/>
      <c r="C382" s="279"/>
      <c r="D382" s="279" t="s">
        <v>366</v>
      </c>
      <c r="E382" s="279"/>
      <c r="F382" s="280"/>
      <c r="G382" s="281"/>
      <c r="H382" s="290"/>
      <c r="I382" s="171">
        <f>SUM(I379:I381)</f>
        <v>16990</v>
      </c>
      <c r="J382" s="171">
        <f>SUM(J379:J381)</f>
        <v>0</v>
      </c>
      <c r="K382" s="171">
        <f>SUM(K379:K381)</f>
        <v>0</v>
      </c>
      <c r="L382" s="171">
        <f>SUM(L379:L381)</f>
        <v>0</v>
      </c>
      <c r="M382" s="171">
        <f>SUM(M379:M381)</f>
        <v>70000</v>
      </c>
      <c r="O382" s="234"/>
    </row>
    <row r="383" spans="1:15" s="64" customFormat="1" ht="18" customHeight="1">
      <c r="A383" s="282"/>
      <c r="B383" s="193" t="s">
        <v>187</v>
      </c>
      <c r="C383" s="283"/>
      <c r="D383" s="283"/>
      <c r="E383" s="283"/>
      <c r="F383" s="284"/>
      <c r="G383" s="194"/>
      <c r="H383" s="286"/>
      <c r="I383" s="188"/>
      <c r="J383" s="195"/>
      <c r="K383" s="195"/>
      <c r="L383" s="195"/>
      <c r="M383" s="195"/>
      <c r="O383" s="234"/>
    </row>
    <row r="384" spans="1:15" ht="18" customHeight="1">
      <c r="A384" s="278"/>
      <c r="B384" s="279"/>
      <c r="C384" s="279"/>
      <c r="D384" s="271" t="s">
        <v>504</v>
      </c>
      <c r="E384" s="279"/>
      <c r="F384" s="280"/>
      <c r="G384" s="281"/>
      <c r="H384" s="3" t="s">
        <v>86</v>
      </c>
      <c r="I384" s="41">
        <v>0</v>
      </c>
      <c r="J384" s="172">
        <v>108950</v>
      </c>
      <c r="K384" s="172">
        <f>110000-J384</f>
        <v>1050</v>
      </c>
      <c r="L384" s="172">
        <f>K384+J384</f>
        <v>110000</v>
      </c>
      <c r="M384" s="172">
        <v>150000</v>
      </c>
    </row>
    <row r="385" spans="1:15" ht="5.0999999999999996" customHeight="1">
      <c r="A385" s="282"/>
      <c r="B385" s="283"/>
      <c r="C385" s="283"/>
      <c r="D385" s="193"/>
      <c r="E385" s="283"/>
      <c r="F385" s="284"/>
      <c r="G385" s="194"/>
      <c r="H385" s="221"/>
      <c r="I385" s="222"/>
      <c r="J385" s="223"/>
      <c r="K385" s="223"/>
      <c r="L385" s="223"/>
      <c r="M385" s="223"/>
    </row>
    <row r="386" spans="1:15" ht="18" customHeight="1">
      <c r="A386" s="282" t="s">
        <v>244</v>
      </c>
      <c r="B386" s="283"/>
      <c r="C386" s="283"/>
      <c r="D386" s="283"/>
      <c r="E386" s="283"/>
      <c r="F386" s="284"/>
      <c r="G386" s="285"/>
      <c r="H386" s="291"/>
      <c r="I386" s="188">
        <f>SUM(I384+I382+I377+I367)</f>
        <v>2434248.5499999998</v>
      </c>
      <c r="J386" s="188">
        <f>SUM(J384+J382+J377+J367)</f>
        <v>2078658.84</v>
      </c>
      <c r="K386" s="188">
        <f>SUM(K384+K382+K377+K367)</f>
        <v>335122.16000000003</v>
      </c>
      <c r="L386" s="188">
        <f t="shared" ref="L386:M386" si="19">SUM(L384+L382+L377+L367)</f>
        <v>2413781</v>
      </c>
      <c r="M386" s="188">
        <f t="shared" si="19"/>
        <v>2445198</v>
      </c>
    </row>
    <row r="387" spans="1:15" s="366" customFormat="1" ht="18" customHeight="1">
      <c r="A387" s="368"/>
      <c r="B387" s="368"/>
      <c r="C387" s="368"/>
      <c r="D387" s="368"/>
      <c r="E387" s="368"/>
      <c r="F387" s="368"/>
      <c r="G387" s="368"/>
      <c r="H387" s="368"/>
      <c r="I387" s="368"/>
      <c r="J387" s="368"/>
      <c r="K387" s="368"/>
      <c r="L387" s="368"/>
      <c r="M387" s="368"/>
      <c r="O387" s="166"/>
    </row>
    <row r="388" spans="1:15" s="366" customFormat="1" ht="18" customHeight="1">
      <c r="A388" s="368" t="s">
        <v>556</v>
      </c>
      <c r="B388" s="368"/>
      <c r="C388" s="368"/>
      <c r="D388" s="368"/>
      <c r="E388" s="368"/>
      <c r="F388" s="368"/>
      <c r="G388" s="368"/>
      <c r="H388" s="368"/>
      <c r="I388" s="368"/>
      <c r="J388" s="368"/>
      <c r="K388" s="368"/>
      <c r="L388" s="368"/>
      <c r="M388" s="368"/>
      <c r="O388" s="166"/>
    </row>
    <row r="389" spans="1:15" s="366" customFormat="1" ht="18" customHeight="1">
      <c r="A389" s="362"/>
      <c r="B389" s="363"/>
      <c r="C389" s="362"/>
      <c r="D389" s="362"/>
      <c r="E389" s="362"/>
      <c r="F389" s="364"/>
      <c r="G389" s="362"/>
      <c r="H389" s="365"/>
      <c r="I389" s="365"/>
      <c r="J389" s="361"/>
      <c r="K389" s="136"/>
      <c r="L389" s="136"/>
      <c r="M389" s="72"/>
      <c r="O389" s="166"/>
    </row>
    <row r="390" spans="1:15" s="366" customFormat="1" ht="18" customHeight="1">
      <c r="A390" s="139" t="s">
        <v>245</v>
      </c>
      <c r="B390" s="139"/>
      <c r="C390" s="361"/>
      <c r="D390" s="139"/>
      <c r="E390" s="139"/>
      <c r="F390" s="361"/>
      <c r="G390" s="139"/>
      <c r="H390" s="139"/>
      <c r="I390" s="139" t="s">
        <v>246</v>
      </c>
      <c r="J390" s="139"/>
      <c r="K390" s="139"/>
      <c r="L390" s="139" t="s">
        <v>43</v>
      </c>
      <c r="M390" s="139"/>
      <c r="O390" s="166"/>
    </row>
    <row r="391" spans="1:15" s="366" customFormat="1" ht="18" customHeight="1">
      <c r="A391" s="51"/>
      <c r="B391" s="50"/>
      <c r="C391" s="52"/>
      <c r="D391" s="51"/>
      <c r="E391" s="51"/>
      <c r="F391" s="52"/>
      <c r="G391" s="51"/>
      <c r="H391" s="52"/>
      <c r="I391" s="51"/>
      <c r="J391" s="135"/>
      <c r="K391" s="76"/>
      <c r="L391" s="75"/>
      <c r="M391" s="136"/>
      <c r="O391" s="166"/>
    </row>
    <row r="392" spans="1:15" s="366" customFormat="1" ht="18" customHeight="1">
      <c r="A392" s="529" t="s">
        <v>431</v>
      </c>
      <c r="B392" s="529"/>
      <c r="C392" s="529"/>
      <c r="D392" s="529"/>
      <c r="E392" s="529"/>
      <c r="F392" s="529"/>
      <c r="G392" s="50"/>
      <c r="H392" s="73"/>
      <c r="I392" s="529" t="s">
        <v>12</v>
      </c>
      <c r="J392" s="529"/>
      <c r="K392" s="74"/>
      <c r="L392" s="529" t="s">
        <v>460</v>
      </c>
      <c r="M392" s="529"/>
      <c r="O392" s="166"/>
    </row>
    <row r="393" spans="1:15" s="366" customFormat="1" ht="18" customHeight="1">
      <c r="A393" s="517" t="s">
        <v>615</v>
      </c>
      <c r="B393" s="517"/>
      <c r="C393" s="517"/>
      <c r="D393" s="517"/>
      <c r="E393" s="517"/>
      <c r="F393" s="517"/>
      <c r="G393" s="33"/>
      <c r="H393" s="33"/>
      <c r="I393" s="518" t="s">
        <v>558</v>
      </c>
      <c r="J393" s="518"/>
      <c r="K393" s="33"/>
      <c r="L393" s="517" t="s">
        <v>559</v>
      </c>
      <c r="M393" s="517"/>
      <c r="O393" s="166"/>
    </row>
    <row r="394" spans="1:15" s="366" customFormat="1" ht="18" customHeight="1">
      <c r="A394" s="167"/>
      <c r="B394" s="167"/>
      <c r="C394" s="167"/>
      <c r="D394" s="167"/>
      <c r="E394" s="167"/>
      <c r="F394" s="167"/>
      <c r="G394" s="33"/>
      <c r="H394" s="33"/>
      <c r="I394" s="167"/>
      <c r="J394" s="167"/>
      <c r="K394" s="33"/>
      <c r="L394" s="167"/>
      <c r="M394" s="167"/>
      <c r="O394" s="166"/>
    </row>
    <row r="395" spans="1:15" s="366" customFormat="1" ht="18" customHeight="1">
      <c r="A395" s="519" t="s">
        <v>549</v>
      </c>
      <c r="B395" s="519"/>
      <c r="C395" s="519"/>
      <c r="D395" s="519"/>
      <c r="E395" s="519"/>
      <c r="F395" s="519"/>
      <c r="G395" s="519"/>
      <c r="H395" s="519"/>
      <c r="I395" s="519"/>
      <c r="J395" s="519"/>
      <c r="K395" s="519"/>
      <c r="L395" s="519"/>
      <c r="M395" s="519"/>
      <c r="O395" s="166"/>
    </row>
    <row r="396" spans="1:15" s="366" customFormat="1" ht="18" customHeight="1">
      <c r="A396" s="368"/>
      <c r="B396" s="368"/>
      <c r="C396" s="368"/>
      <c r="D396" s="368"/>
      <c r="E396" s="368"/>
      <c r="F396" s="368"/>
      <c r="G396" s="368"/>
      <c r="H396" s="368"/>
      <c r="I396" s="368"/>
      <c r="J396" s="368"/>
      <c r="K396" s="368"/>
      <c r="L396" s="368"/>
      <c r="M396" s="368"/>
      <c r="O396" s="166"/>
    </row>
    <row r="397" spans="1:15" s="366" customFormat="1" ht="18" customHeight="1">
      <c r="A397" s="142" t="s">
        <v>550</v>
      </c>
      <c r="B397" s="142"/>
      <c r="C397" s="142"/>
      <c r="D397" s="141"/>
      <c r="E397" s="141"/>
      <c r="F397" s="142" t="s">
        <v>37</v>
      </c>
      <c r="G397" s="142"/>
      <c r="H397" s="142"/>
      <c r="I397" s="142"/>
      <c r="J397" s="142" t="s">
        <v>551</v>
      </c>
      <c r="K397" s="142" t="str">
        <f>$K$9</f>
        <v>2024</v>
      </c>
      <c r="L397" s="142"/>
      <c r="M397" s="142"/>
      <c r="O397" s="166"/>
    </row>
    <row r="398" spans="1:15" s="366" customFormat="1" ht="18" customHeight="1">
      <c r="A398" s="142" t="s">
        <v>552</v>
      </c>
      <c r="B398" s="142"/>
      <c r="C398" s="142"/>
      <c r="D398" s="141"/>
      <c r="E398" s="142"/>
      <c r="F398" s="142" t="s">
        <v>554</v>
      </c>
      <c r="G398" s="142"/>
      <c r="H398" s="142"/>
      <c r="I398" s="142"/>
      <c r="J398" s="142" t="s">
        <v>553</v>
      </c>
      <c r="K398" s="50" t="s">
        <v>36</v>
      </c>
      <c r="L398" s="142"/>
      <c r="M398" s="142"/>
      <c r="O398" s="166"/>
    </row>
    <row r="399" spans="1:15" s="367" customFormat="1" ht="20.100000000000001" customHeight="1">
      <c r="A399" s="142" t="s">
        <v>555</v>
      </c>
      <c r="B399" s="142"/>
      <c r="C399" s="142"/>
      <c r="D399" s="142"/>
      <c r="E399" s="142"/>
      <c r="F399" s="142"/>
      <c r="G399" s="142"/>
      <c r="H399" s="142"/>
      <c r="I399" s="142"/>
      <c r="J399" s="142"/>
      <c r="K399" s="142"/>
      <c r="L399" s="142"/>
      <c r="M399" s="142"/>
      <c r="O399" s="238"/>
    </row>
    <row r="400" spans="1:15" ht="18" customHeight="1" thickBot="1">
      <c r="A400" s="538"/>
      <c r="B400" s="538"/>
      <c r="C400" s="538"/>
      <c r="D400" s="538"/>
      <c r="E400" s="538"/>
      <c r="F400" s="538"/>
      <c r="G400" s="538"/>
      <c r="H400" s="538"/>
      <c r="I400" s="538"/>
      <c r="J400" s="538"/>
      <c r="K400" s="538"/>
      <c r="L400" s="538"/>
      <c r="M400" s="538"/>
    </row>
    <row r="401" spans="1:13" ht="18" customHeight="1">
      <c r="A401" s="255"/>
      <c r="B401" s="256"/>
      <c r="C401" s="256"/>
      <c r="D401" s="256"/>
      <c r="E401" s="256"/>
      <c r="F401" s="257"/>
      <c r="G401" s="258"/>
      <c r="H401" s="259"/>
      <c r="I401" s="259" t="s">
        <v>6</v>
      </c>
      <c r="J401" s="520" t="s">
        <v>545</v>
      </c>
      <c r="K401" s="521"/>
      <c r="L401" s="522"/>
      <c r="M401" s="260" t="s">
        <v>7</v>
      </c>
    </row>
    <row r="402" spans="1:13" ht="18" customHeight="1">
      <c r="A402" s="523"/>
      <c r="B402" s="524"/>
      <c r="C402" s="524"/>
      <c r="D402" s="524"/>
      <c r="E402" s="524"/>
      <c r="F402" s="525"/>
      <c r="G402" s="448"/>
      <c r="H402" s="261"/>
      <c r="I402" s="261">
        <v>2022</v>
      </c>
      <c r="J402" s="261" t="s">
        <v>192</v>
      </c>
      <c r="K402" s="261" t="s">
        <v>193</v>
      </c>
      <c r="L402" s="261"/>
      <c r="M402" s="262">
        <v>2024</v>
      </c>
    </row>
    <row r="403" spans="1:13" ht="18" customHeight="1">
      <c r="A403" s="523" t="s">
        <v>13</v>
      </c>
      <c r="B403" s="524"/>
      <c r="C403" s="524"/>
      <c r="D403" s="524"/>
      <c r="E403" s="524"/>
      <c r="F403" s="525"/>
      <c r="G403" s="263"/>
      <c r="H403" s="264" t="s">
        <v>243</v>
      </c>
      <c r="I403" s="261" t="s">
        <v>191</v>
      </c>
      <c r="J403" s="261" t="s">
        <v>191</v>
      </c>
      <c r="K403" s="261" t="s">
        <v>194</v>
      </c>
      <c r="L403" s="261" t="s">
        <v>11</v>
      </c>
      <c r="M403" s="262" t="s">
        <v>196</v>
      </c>
    </row>
    <row r="404" spans="1:13" ht="18" customHeight="1">
      <c r="A404" s="265"/>
      <c r="B404" s="266"/>
      <c r="C404" s="266"/>
      <c r="D404" s="266"/>
      <c r="E404" s="266"/>
      <c r="F404" s="267"/>
      <c r="G404" s="263"/>
      <c r="H404" s="261"/>
      <c r="I404" s="261"/>
      <c r="J404" s="261">
        <v>2023</v>
      </c>
      <c r="K404" s="261">
        <v>2023</v>
      </c>
      <c r="L404" s="261"/>
      <c r="M404" s="262"/>
    </row>
    <row r="405" spans="1:13" ht="18" customHeight="1" thickBot="1">
      <c r="A405" s="526"/>
      <c r="B405" s="527"/>
      <c r="C405" s="527"/>
      <c r="D405" s="527"/>
      <c r="E405" s="527"/>
      <c r="F405" s="528"/>
      <c r="G405" s="449"/>
      <c r="H405" s="268"/>
      <c r="I405" s="369"/>
      <c r="J405" s="268"/>
      <c r="K405" s="268"/>
      <c r="L405" s="268"/>
      <c r="M405" s="269"/>
    </row>
    <row r="406" spans="1:13" ht="18" customHeight="1">
      <c r="A406" s="462"/>
      <c r="B406" s="193" t="s">
        <v>66</v>
      </c>
      <c r="C406" s="283"/>
      <c r="D406" s="193"/>
      <c r="E406" s="193"/>
      <c r="F406" s="463"/>
      <c r="G406" s="464"/>
      <c r="H406" s="489"/>
      <c r="I406" s="490"/>
      <c r="J406" s="491"/>
      <c r="K406" s="491"/>
      <c r="L406" s="491"/>
      <c r="M406" s="491"/>
    </row>
    <row r="407" spans="1:13" ht="18" customHeight="1">
      <c r="A407" s="270"/>
      <c r="B407" s="271"/>
      <c r="C407" s="271" t="s">
        <v>148</v>
      </c>
      <c r="D407" s="271"/>
      <c r="E407" s="271"/>
      <c r="F407" s="272"/>
      <c r="G407" s="273"/>
      <c r="H407" s="288"/>
      <c r="I407" s="289"/>
      <c r="J407" s="77"/>
      <c r="K407" s="77"/>
      <c r="L407" s="77"/>
      <c r="M407" s="77"/>
    </row>
    <row r="408" spans="1:13" ht="18" customHeight="1">
      <c r="A408" s="270"/>
      <c r="B408" s="271"/>
      <c r="C408" s="271"/>
      <c r="D408" s="271" t="s">
        <v>149</v>
      </c>
      <c r="E408" s="271"/>
      <c r="F408" s="272"/>
      <c r="G408" s="273" t="s">
        <v>213</v>
      </c>
      <c r="H408" s="275" t="s">
        <v>257</v>
      </c>
      <c r="I408" s="190">
        <v>1466160</v>
      </c>
      <c r="J408" s="62">
        <v>1511688</v>
      </c>
      <c r="K408" s="62">
        <f>1511841-J408</f>
        <v>153</v>
      </c>
      <c r="L408" s="62">
        <f>SUM(K408+J408)</f>
        <v>1511841</v>
      </c>
      <c r="M408" s="62">
        <v>1990116</v>
      </c>
    </row>
    <row r="409" spans="1:13" ht="18" customHeight="1">
      <c r="A409" s="270"/>
      <c r="B409" s="271"/>
      <c r="C409" s="271" t="s">
        <v>150</v>
      </c>
      <c r="D409" s="271"/>
      <c r="E409" s="271"/>
      <c r="F409" s="272"/>
      <c r="G409" s="273"/>
      <c r="H409" s="288"/>
      <c r="I409" s="190"/>
      <c r="J409" s="62"/>
      <c r="K409" s="62"/>
      <c r="L409" s="62"/>
      <c r="M409" s="62"/>
    </row>
    <row r="410" spans="1:13" ht="18" customHeight="1">
      <c r="A410" s="270"/>
      <c r="B410" s="271"/>
      <c r="C410" s="271"/>
      <c r="D410" s="271" t="s">
        <v>151</v>
      </c>
      <c r="E410" s="271"/>
      <c r="F410" s="272"/>
      <c r="G410" s="273" t="s">
        <v>214</v>
      </c>
      <c r="H410" s="275" t="s">
        <v>258</v>
      </c>
      <c r="I410" s="190">
        <v>72000</v>
      </c>
      <c r="J410" s="62">
        <v>72000</v>
      </c>
      <c r="K410" s="62">
        <f>72000-J410</f>
        <v>0</v>
      </c>
      <c r="L410" s="62">
        <f t="shared" ref="L410:L428" si="20">SUM(K410+J410)</f>
        <v>72000</v>
      </c>
      <c r="M410" s="62">
        <v>96000</v>
      </c>
    </row>
    <row r="411" spans="1:13" ht="18" customHeight="1">
      <c r="A411" s="270"/>
      <c r="B411" s="271"/>
      <c r="C411" s="271"/>
      <c r="D411" s="271" t="s">
        <v>161</v>
      </c>
      <c r="E411" s="271"/>
      <c r="F411" s="272"/>
      <c r="G411" s="273" t="s">
        <v>215</v>
      </c>
      <c r="H411" s="275" t="s">
        <v>259</v>
      </c>
      <c r="I411" s="190">
        <v>76500</v>
      </c>
      <c r="J411" s="62">
        <v>76500</v>
      </c>
      <c r="K411" s="62">
        <f>76500-J411</f>
        <v>0</v>
      </c>
      <c r="L411" s="62">
        <f t="shared" si="20"/>
        <v>76500</v>
      </c>
      <c r="M411" s="62">
        <v>76500</v>
      </c>
    </row>
    <row r="412" spans="1:13" ht="18" customHeight="1">
      <c r="A412" s="270"/>
      <c r="B412" s="271"/>
      <c r="C412" s="271"/>
      <c r="D412" s="271" t="s">
        <v>160</v>
      </c>
      <c r="E412" s="271"/>
      <c r="F412" s="272"/>
      <c r="G412" s="273" t="s">
        <v>216</v>
      </c>
      <c r="H412" s="275" t="s">
        <v>260</v>
      </c>
      <c r="I412" s="190">
        <v>76500</v>
      </c>
      <c r="J412" s="62">
        <v>76500</v>
      </c>
      <c r="K412" s="62">
        <f>76500-J412</f>
        <v>0</v>
      </c>
      <c r="L412" s="62">
        <f t="shared" si="20"/>
        <v>76500</v>
      </c>
      <c r="M412" s="62">
        <v>76500</v>
      </c>
    </row>
    <row r="413" spans="1:13" ht="18" customHeight="1">
      <c r="A413" s="270"/>
      <c r="B413" s="271"/>
      <c r="C413" s="271"/>
      <c r="D413" s="271" t="s">
        <v>162</v>
      </c>
      <c r="E413" s="271"/>
      <c r="F413" s="272"/>
      <c r="G413" s="273" t="s">
        <v>217</v>
      </c>
      <c r="H413" s="275" t="s">
        <v>261</v>
      </c>
      <c r="I413" s="190">
        <v>18000</v>
      </c>
      <c r="J413" s="62">
        <v>18000</v>
      </c>
      <c r="K413" s="62">
        <f>18000-J413</f>
        <v>0</v>
      </c>
      <c r="L413" s="62">
        <f t="shared" si="20"/>
        <v>18000</v>
      </c>
      <c r="M413" s="62">
        <v>24000</v>
      </c>
    </row>
    <row r="414" spans="1:13" ht="18" customHeight="1">
      <c r="A414" s="270"/>
      <c r="B414" s="271"/>
      <c r="C414" s="271"/>
      <c r="D414" s="271" t="s">
        <v>255</v>
      </c>
      <c r="E414" s="271"/>
      <c r="F414" s="272"/>
      <c r="G414" s="273" t="s">
        <v>219</v>
      </c>
      <c r="H414" s="275" t="s">
        <v>262</v>
      </c>
      <c r="I414" s="190">
        <v>15000</v>
      </c>
      <c r="J414" s="62">
        <v>15000</v>
      </c>
      <c r="K414" s="62">
        <f>15000-J414</f>
        <v>0</v>
      </c>
      <c r="L414" s="62">
        <f t="shared" si="20"/>
        <v>15000</v>
      </c>
      <c r="M414" s="62">
        <v>20000</v>
      </c>
    </row>
    <row r="415" spans="1:13" ht="18" customHeight="1">
      <c r="A415" s="270"/>
      <c r="B415" s="271"/>
      <c r="C415" s="271"/>
      <c r="D415" s="271" t="s">
        <v>164</v>
      </c>
      <c r="E415" s="271"/>
      <c r="F415" s="272"/>
      <c r="G415" s="273" t="s">
        <v>108</v>
      </c>
      <c r="H415" s="275" t="s">
        <v>263</v>
      </c>
      <c r="I415" s="190">
        <v>0</v>
      </c>
      <c r="J415" s="62">
        <v>0</v>
      </c>
      <c r="K415" s="62">
        <f>0-J415</f>
        <v>0</v>
      </c>
      <c r="L415" s="62">
        <f t="shared" si="20"/>
        <v>0</v>
      </c>
      <c r="M415" s="62">
        <v>10000</v>
      </c>
    </row>
    <row r="416" spans="1:13" ht="18" hidden="1" customHeight="1">
      <c r="A416" s="270"/>
      <c r="B416" s="271"/>
      <c r="C416" s="271"/>
      <c r="D416" s="271" t="s">
        <v>487</v>
      </c>
      <c r="E416" s="271"/>
      <c r="F416" s="272"/>
      <c r="G416" s="273" t="s">
        <v>108</v>
      </c>
      <c r="H416" s="275" t="s">
        <v>263</v>
      </c>
      <c r="I416" s="190">
        <v>0</v>
      </c>
      <c r="J416" s="62">
        <v>0</v>
      </c>
      <c r="K416" s="62">
        <f>0-J416</f>
        <v>0</v>
      </c>
      <c r="L416" s="62">
        <f t="shared" si="20"/>
        <v>0</v>
      </c>
      <c r="M416" s="62">
        <v>0</v>
      </c>
    </row>
    <row r="417" spans="1:15" ht="18" customHeight="1">
      <c r="A417" s="270"/>
      <c r="B417" s="271"/>
      <c r="C417" s="271"/>
      <c r="D417" s="271" t="s">
        <v>475</v>
      </c>
      <c r="E417" s="271"/>
      <c r="F417" s="272"/>
      <c r="G417" s="273"/>
      <c r="H417" s="275" t="s">
        <v>263</v>
      </c>
      <c r="I417" s="190">
        <v>77108.850000000006</v>
      </c>
      <c r="J417" s="62">
        <v>0</v>
      </c>
      <c r="K417" s="62">
        <v>0</v>
      </c>
      <c r="L417" s="62">
        <f t="shared" si="20"/>
        <v>0</v>
      </c>
      <c r="M417" s="62">
        <v>0</v>
      </c>
    </row>
    <row r="418" spans="1:15" ht="18" customHeight="1">
      <c r="A418" s="270"/>
      <c r="B418" s="271"/>
      <c r="C418" s="271"/>
      <c r="D418" s="271" t="s">
        <v>67</v>
      </c>
      <c r="E418" s="271"/>
      <c r="F418" s="272"/>
      <c r="G418" s="273" t="s">
        <v>221</v>
      </c>
      <c r="H418" s="275" t="s">
        <v>280</v>
      </c>
      <c r="I418" s="190">
        <v>19650</v>
      </c>
      <c r="J418" s="62">
        <v>24096.9</v>
      </c>
      <c r="K418" s="62">
        <f>25000-J418</f>
        <v>903.09999999999854</v>
      </c>
      <c r="L418" s="62">
        <f t="shared" si="20"/>
        <v>25000</v>
      </c>
      <c r="M418" s="62">
        <v>20000</v>
      </c>
    </row>
    <row r="419" spans="1:15" ht="18" customHeight="1">
      <c r="A419" s="270"/>
      <c r="B419" s="271"/>
      <c r="C419" s="271"/>
      <c r="D419" s="271" t="s">
        <v>166</v>
      </c>
      <c r="E419" s="271"/>
      <c r="F419" s="272"/>
      <c r="G419" s="273" t="s">
        <v>222</v>
      </c>
      <c r="H419" s="275" t="s">
        <v>264</v>
      </c>
      <c r="I419" s="190">
        <v>15000</v>
      </c>
      <c r="J419" s="62">
        <v>15000</v>
      </c>
      <c r="K419" s="62">
        <f>15000-J419</f>
        <v>0</v>
      </c>
      <c r="L419" s="62">
        <f t="shared" si="20"/>
        <v>15000</v>
      </c>
      <c r="M419" s="62">
        <v>20000</v>
      </c>
    </row>
    <row r="420" spans="1:15" ht="18" customHeight="1">
      <c r="A420" s="270"/>
      <c r="B420" s="271"/>
      <c r="C420" s="271"/>
      <c r="D420" s="271" t="s">
        <v>374</v>
      </c>
      <c r="E420" s="271"/>
      <c r="F420" s="271"/>
      <c r="G420" s="277" t="s">
        <v>108</v>
      </c>
      <c r="H420" s="275" t="s">
        <v>263</v>
      </c>
      <c r="I420" s="190">
        <v>122180</v>
      </c>
      <c r="J420" s="62">
        <v>125974</v>
      </c>
      <c r="K420" s="62">
        <f>125974-J420</f>
        <v>0</v>
      </c>
      <c r="L420" s="62">
        <f t="shared" si="20"/>
        <v>125974</v>
      </c>
      <c r="M420" s="62">
        <v>165843</v>
      </c>
    </row>
    <row r="421" spans="1:15" ht="18" customHeight="1">
      <c r="A421" s="270"/>
      <c r="B421" s="271"/>
      <c r="C421" s="271"/>
      <c r="D421" s="271" t="s">
        <v>167</v>
      </c>
      <c r="E421" s="271"/>
      <c r="F421" s="272"/>
      <c r="G421" s="273" t="s">
        <v>223</v>
      </c>
      <c r="H421" s="275" t="s">
        <v>265</v>
      </c>
      <c r="I421" s="190">
        <v>122180</v>
      </c>
      <c r="J421" s="62">
        <v>125974</v>
      </c>
      <c r="K421" s="62">
        <f>125974-J421</f>
        <v>0</v>
      </c>
      <c r="L421" s="62">
        <f t="shared" si="20"/>
        <v>125974</v>
      </c>
      <c r="M421" s="62">
        <v>165843</v>
      </c>
    </row>
    <row r="422" spans="1:15" ht="18" customHeight="1">
      <c r="A422" s="270"/>
      <c r="B422" s="271"/>
      <c r="C422" s="271"/>
      <c r="D422" s="271" t="s">
        <v>249</v>
      </c>
      <c r="E422" s="271"/>
      <c r="F422" s="272"/>
      <c r="G422" s="273" t="s">
        <v>224</v>
      </c>
      <c r="H422" s="275" t="s">
        <v>266</v>
      </c>
      <c r="I422" s="190">
        <v>175850</v>
      </c>
      <c r="J422" s="62">
        <v>181402.56</v>
      </c>
      <c r="K422" s="62">
        <f>182000-J422</f>
        <v>597.44000000000233</v>
      </c>
      <c r="L422" s="62">
        <f t="shared" si="20"/>
        <v>182000</v>
      </c>
      <c r="M422" s="62">
        <v>240384</v>
      </c>
    </row>
    <row r="423" spans="1:15" ht="18" customHeight="1">
      <c r="A423" s="270"/>
      <c r="B423" s="271"/>
      <c r="C423" s="271"/>
      <c r="D423" s="271" t="s">
        <v>168</v>
      </c>
      <c r="E423" s="271"/>
      <c r="F423" s="272"/>
      <c r="G423" s="273" t="s">
        <v>225</v>
      </c>
      <c r="H423" s="275" t="s">
        <v>267</v>
      </c>
      <c r="I423" s="190">
        <v>3800</v>
      </c>
      <c r="J423" s="62">
        <v>3600</v>
      </c>
      <c r="K423" s="62">
        <f>5400-J423</f>
        <v>1800</v>
      </c>
      <c r="L423" s="62">
        <f t="shared" si="20"/>
        <v>5400</v>
      </c>
      <c r="M423" s="62">
        <v>7200</v>
      </c>
    </row>
    <row r="424" spans="1:15" ht="18" customHeight="1">
      <c r="A424" s="270"/>
      <c r="B424" s="271"/>
      <c r="C424" s="271"/>
      <c r="D424" s="271" t="s">
        <v>169</v>
      </c>
      <c r="E424" s="271"/>
      <c r="F424" s="272"/>
      <c r="G424" s="273" t="s">
        <v>226</v>
      </c>
      <c r="H424" s="275" t="s">
        <v>268</v>
      </c>
      <c r="I424" s="190">
        <v>28100</v>
      </c>
      <c r="J424" s="62">
        <v>28578.7</v>
      </c>
      <c r="K424" s="62">
        <f>30000-J424</f>
        <v>1421.2999999999993</v>
      </c>
      <c r="L424" s="62">
        <f>SUM(K424+J424)</f>
        <v>30000</v>
      </c>
      <c r="M424" s="62">
        <v>49900</v>
      </c>
    </row>
    <row r="425" spans="1:15" ht="18" customHeight="1">
      <c r="A425" s="270"/>
      <c r="B425" s="271"/>
      <c r="C425" s="271"/>
      <c r="D425" s="271" t="s">
        <v>248</v>
      </c>
      <c r="E425" s="271"/>
      <c r="F425" s="272"/>
      <c r="G425" s="273" t="s">
        <v>227</v>
      </c>
      <c r="H425" s="275" t="s">
        <v>269</v>
      </c>
      <c r="I425" s="190">
        <v>3600</v>
      </c>
      <c r="J425" s="62">
        <v>3600</v>
      </c>
      <c r="K425" s="62">
        <f>3600-J425</f>
        <v>0</v>
      </c>
      <c r="L425" s="62">
        <f t="shared" si="20"/>
        <v>3600</v>
      </c>
      <c r="M425" s="62">
        <v>4800</v>
      </c>
    </row>
    <row r="426" spans="1:15" ht="18" hidden="1" customHeight="1">
      <c r="A426" s="270"/>
      <c r="B426" s="271"/>
      <c r="C426" s="271"/>
      <c r="D426" s="271" t="s">
        <v>171</v>
      </c>
      <c r="E426" s="271"/>
      <c r="F426" s="272"/>
      <c r="G426" s="273" t="s">
        <v>82</v>
      </c>
      <c r="H426" s="275" t="s">
        <v>281</v>
      </c>
      <c r="I426" s="190">
        <v>0</v>
      </c>
      <c r="J426" s="62">
        <v>0</v>
      </c>
      <c r="K426" s="62">
        <f>0-J426</f>
        <v>0</v>
      </c>
      <c r="L426" s="62">
        <f t="shared" si="20"/>
        <v>0</v>
      </c>
      <c r="M426" s="62">
        <v>0</v>
      </c>
    </row>
    <row r="427" spans="1:15" ht="18" customHeight="1">
      <c r="A427" s="270"/>
      <c r="B427" s="271"/>
      <c r="C427" s="271"/>
      <c r="D427" s="271" t="s">
        <v>476</v>
      </c>
      <c r="E427" s="271"/>
      <c r="F427" s="272"/>
      <c r="G427" s="273"/>
      <c r="H427" s="275" t="s">
        <v>281</v>
      </c>
      <c r="I427" s="190">
        <v>60000</v>
      </c>
      <c r="J427" s="62">
        <v>60000</v>
      </c>
      <c r="K427" s="62">
        <f>60000-J427</f>
        <v>0</v>
      </c>
      <c r="L427" s="62">
        <f t="shared" si="20"/>
        <v>60000</v>
      </c>
      <c r="M427" s="62">
        <v>0</v>
      </c>
    </row>
    <row r="428" spans="1:15" ht="18" customHeight="1">
      <c r="A428" s="270"/>
      <c r="B428" s="271"/>
      <c r="C428" s="271"/>
      <c r="D428" s="271" t="s">
        <v>502</v>
      </c>
      <c r="E428" s="271"/>
      <c r="F428" s="272"/>
      <c r="G428" s="273"/>
      <c r="H428" s="275" t="s">
        <v>281</v>
      </c>
      <c r="I428" s="190"/>
      <c r="J428" s="62">
        <v>90000</v>
      </c>
      <c r="K428" s="62">
        <f>90000-J428</f>
        <v>0</v>
      </c>
      <c r="L428" s="62">
        <f t="shared" si="20"/>
        <v>90000</v>
      </c>
      <c r="M428" s="62"/>
    </row>
    <row r="429" spans="1:15" s="64" customFormat="1" ht="18" customHeight="1">
      <c r="A429" s="278"/>
      <c r="B429" s="279"/>
      <c r="C429" s="279"/>
      <c r="D429" s="279" t="s">
        <v>68</v>
      </c>
      <c r="E429" s="279"/>
      <c r="F429" s="280"/>
      <c r="G429" s="281"/>
      <c r="H429" s="290"/>
      <c r="I429" s="171">
        <f>SUM(I408:I428)</f>
        <v>2351628.85</v>
      </c>
      <c r="J429" s="171">
        <f t="shared" ref="J429:M429" si="21">SUM(J408:J428)</f>
        <v>2427914.16</v>
      </c>
      <c r="K429" s="171">
        <f t="shared" si="21"/>
        <v>4874.84</v>
      </c>
      <c r="L429" s="171">
        <f t="shared" si="21"/>
        <v>2432789</v>
      </c>
      <c r="M429" s="171">
        <f t="shared" si="21"/>
        <v>2967086</v>
      </c>
      <c r="O429" s="234"/>
    </row>
    <row r="430" spans="1:15" ht="18" customHeight="1">
      <c r="A430" s="270"/>
      <c r="B430" s="271" t="s">
        <v>172</v>
      </c>
      <c r="C430" s="271"/>
      <c r="D430" s="271"/>
      <c r="E430" s="271"/>
      <c r="F430" s="272"/>
      <c r="G430" s="273"/>
      <c r="H430" s="288"/>
      <c r="I430" s="190"/>
      <c r="J430" s="62"/>
      <c r="K430" s="62"/>
      <c r="L430" s="62"/>
      <c r="M430" s="62"/>
    </row>
    <row r="431" spans="1:15" ht="18" customHeight="1">
      <c r="A431" s="270"/>
      <c r="B431" s="271"/>
      <c r="C431" s="271"/>
      <c r="D431" s="271" t="s">
        <v>173</v>
      </c>
      <c r="E431" s="271"/>
      <c r="F431" s="272"/>
      <c r="G431" s="273" t="s">
        <v>75</v>
      </c>
      <c r="H431" s="275" t="s">
        <v>271</v>
      </c>
      <c r="I431" s="190">
        <v>54194</v>
      </c>
      <c r="J431" s="62">
        <v>64850</v>
      </c>
      <c r="K431" s="62">
        <f>100000-J431</f>
        <v>35150</v>
      </c>
      <c r="L431" s="62">
        <f t="shared" ref="L431:L436" si="22">SUM(K431+J431)</f>
        <v>100000</v>
      </c>
      <c r="M431" s="62">
        <v>150000</v>
      </c>
    </row>
    <row r="432" spans="1:15" ht="18" customHeight="1">
      <c r="A432" s="270"/>
      <c r="B432" s="271"/>
      <c r="C432" s="271"/>
      <c r="D432" s="271" t="s">
        <v>107</v>
      </c>
      <c r="E432" s="271"/>
      <c r="F432" s="272"/>
      <c r="G432" s="273" t="s">
        <v>76</v>
      </c>
      <c r="H432" s="275" t="s">
        <v>272</v>
      </c>
      <c r="I432" s="190">
        <v>72000.39</v>
      </c>
      <c r="J432" s="62">
        <v>59400.79</v>
      </c>
      <c r="K432" s="62">
        <f>100000-J432</f>
        <v>40599.21</v>
      </c>
      <c r="L432" s="62">
        <f t="shared" si="22"/>
        <v>100000</v>
      </c>
      <c r="M432" s="62">
        <v>150000</v>
      </c>
    </row>
    <row r="433" spans="1:15" ht="18" customHeight="1">
      <c r="A433" s="270"/>
      <c r="B433" s="271"/>
      <c r="C433" s="271"/>
      <c r="D433" s="271" t="s">
        <v>73</v>
      </c>
      <c r="E433" s="271"/>
      <c r="F433" s="272"/>
      <c r="G433" s="273" t="s">
        <v>78</v>
      </c>
      <c r="H433" s="275" t="s">
        <v>273</v>
      </c>
      <c r="I433" s="190">
        <v>63116.6</v>
      </c>
      <c r="J433" s="62">
        <v>58409.1</v>
      </c>
      <c r="K433" s="62">
        <f>70000-J433</f>
        <v>11590.900000000001</v>
      </c>
      <c r="L433" s="62">
        <f t="shared" si="22"/>
        <v>70000</v>
      </c>
      <c r="M433" s="62">
        <v>100000</v>
      </c>
    </row>
    <row r="434" spans="1:15" ht="18" customHeight="1">
      <c r="A434" s="270"/>
      <c r="B434" s="271"/>
      <c r="C434" s="271"/>
      <c r="D434" s="271" t="s">
        <v>179</v>
      </c>
      <c r="E434" s="271"/>
      <c r="F434" s="272"/>
      <c r="G434" s="273" t="s">
        <v>79</v>
      </c>
      <c r="H434" s="275" t="s">
        <v>275</v>
      </c>
      <c r="I434" s="190">
        <v>48000</v>
      </c>
      <c r="J434" s="62">
        <v>48000</v>
      </c>
      <c r="K434" s="62">
        <f>48000-J434</f>
        <v>0</v>
      </c>
      <c r="L434" s="62">
        <f t="shared" si="22"/>
        <v>48000</v>
      </c>
      <c r="M434" s="62">
        <v>48000</v>
      </c>
    </row>
    <row r="435" spans="1:15" ht="18" customHeight="1">
      <c r="A435" s="270"/>
      <c r="B435" s="271"/>
      <c r="C435" s="271"/>
      <c r="D435" s="271" t="s">
        <v>432</v>
      </c>
      <c r="E435" s="271"/>
      <c r="F435" s="272"/>
      <c r="G435" s="273" t="s">
        <v>80</v>
      </c>
      <c r="H435" s="275" t="s">
        <v>276</v>
      </c>
      <c r="I435" s="190">
        <v>1450</v>
      </c>
      <c r="J435" s="62">
        <v>1180</v>
      </c>
      <c r="K435" s="62">
        <f>10000-J435</f>
        <v>8820</v>
      </c>
      <c r="L435" s="62">
        <f t="shared" si="22"/>
        <v>10000</v>
      </c>
      <c r="M435" s="62">
        <v>10000</v>
      </c>
    </row>
    <row r="436" spans="1:15" ht="18" customHeight="1">
      <c r="A436" s="270"/>
      <c r="B436" s="271"/>
      <c r="C436" s="271"/>
      <c r="D436" s="271" t="s">
        <v>502</v>
      </c>
      <c r="E436" s="271"/>
      <c r="F436" s="272"/>
      <c r="G436" s="273"/>
      <c r="H436" s="275" t="s">
        <v>277</v>
      </c>
      <c r="I436" s="190">
        <v>75000</v>
      </c>
      <c r="J436" s="62">
        <v>0</v>
      </c>
      <c r="K436" s="62">
        <f>0-J436</f>
        <v>0</v>
      </c>
      <c r="L436" s="62">
        <f t="shared" si="22"/>
        <v>0</v>
      </c>
      <c r="M436" s="62">
        <v>0</v>
      </c>
    </row>
    <row r="437" spans="1:15" ht="18" customHeight="1">
      <c r="A437" s="278"/>
      <c r="B437" s="279"/>
      <c r="C437" s="279"/>
      <c r="D437" s="279" t="s">
        <v>322</v>
      </c>
      <c r="E437" s="279"/>
      <c r="F437" s="280"/>
      <c r="G437" s="281"/>
      <c r="H437" s="290"/>
      <c r="I437" s="171">
        <f>SUM(I431:I436)</f>
        <v>313760.99</v>
      </c>
      <c r="J437" s="171">
        <f>SUM(J431:J436)</f>
        <v>231839.89</v>
      </c>
      <c r="K437" s="171">
        <f>SUM(K431:K436)</f>
        <v>96160.109999999986</v>
      </c>
      <c r="L437" s="171">
        <f>SUM(L431:L436)</f>
        <v>328000</v>
      </c>
      <c r="M437" s="171">
        <f>SUM(M431:M436)</f>
        <v>458000</v>
      </c>
    </row>
    <row r="438" spans="1:15" s="64" customFormat="1" ht="18" customHeight="1">
      <c r="A438" s="270"/>
      <c r="B438" s="271" t="s">
        <v>186</v>
      </c>
      <c r="C438" s="271"/>
      <c r="D438" s="271"/>
      <c r="E438" s="271"/>
      <c r="F438" s="272"/>
      <c r="G438" s="273"/>
      <c r="H438" s="288"/>
      <c r="I438" s="190"/>
      <c r="J438" s="62"/>
      <c r="K438" s="62"/>
      <c r="L438" s="62"/>
      <c r="M438" s="62"/>
      <c r="O438" s="234"/>
    </row>
    <row r="439" spans="1:15" ht="18" customHeight="1">
      <c r="A439" s="270"/>
      <c r="B439" s="271"/>
      <c r="C439" s="271"/>
      <c r="D439" s="271" t="s">
        <v>256</v>
      </c>
      <c r="E439" s="271"/>
      <c r="F439" s="272"/>
      <c r="G439" s="273" t="s">
        <v>409</v>
      </c>
      <c r="H439" s="275" t="s">
        <v>410</v>
      </c>
      <c r="I439" s="190">
        <v>0</v>
      </c>
      <c r="J439" s="62">
        <v>0</v>
      </c>
      <c r="K439" s="62">
        <f>0-J439</f>
        <v>0</v>
      </c>
      <c r="L439" s="62">
        <f>SUM(K439+J439)</f>
        <v>0</v>
      </c>
      <c r="M439" s="62">
        <v>0</v>
      </c>
    </row>
    <row r="440" spans="1:15" ht="18" hidden="1" customHeight="1">
      <c r="A440" s="270"/>
      <c r="B440" s="271"/>
      <c r="C440" s="271"/>
      <c r="D440" s="271" t="s">
        <v>428</v>
      </c>
      <c r="E440" s="271"/>
      <c r="F440" s="272"/>
      <c r="G440" s="273" t="s">
        <v>411</v>
      </c>
      <c r="H440" s="275" t="s">
        <v>481</v>
      </c>
      <c r="I440" s="190">
        <v>0</v>
      </c>
      <c r="J440" s="62">
        <v>0</v>
      </c>
      <c r="K440" s="62">
        <v>0</v>
      </c>
      <c r="L440" s="62">
        <f>SUM(K440+J440)</f>
        <v>0</v>
      </c>
      <c r="M440" s="62">
        <v>0</v>
      </c>
    </row>
    <row r="441" spans="1:15" ht="18" hidden="1" customHeight="1">
      <c r="A441" s="270"/>
      <c r="B441" s="271"/>
      <c r="C441" s="271"/>
      <c r="D441" s="271" t="s">
        <v>256</v>
      </c>
      <c r="E441" s="271"/>
      <c r="F441" s="272"/>
      <c r="G441" s="273" t="s">
        <v>409</v>
      </c>
      <c r="H441" s="275" t="s">
        <v>410</v>
      </c>
      <c r="I441" s="190">
        <v>0</v>
      </c>
      <c r="J441" s="62">
        <v>0</v>
      </c>
      <c r="K441" s="62">
        <f>0-J441</f>
        <v>0</v>
      </c>
      <c r="L441" s="62">
        <f>SUM(K441+J441)</f>
        <v>0</v>
      </c>
      <c r="M441" s="62">
        <v>0</v>
      </c>
    </row>
    <row r="442" spans="1:15" ht="18" customHeight="1">
      <c r="A442" s="278"/>
      <c r="B442" s="279"/>
      <c r="C442" s="279"/>
      <c r="D442" s="279" t="s">
        <v>366</v>
      </c>
      <c r="E442" s="279"/>
      <c r="F442" s="280"/>
      <c r="G442" s="273"/>
      <c r="H442" s="275"/>
      <c r="I442" s="171">
        <f>SUM(I439:I441)</f>
        <v>0</v>
      </c>
      <c r="J442" s="171">
        <f>SUM(J439:J441)</f>
        <v>0</v>
      </c>
      <c r="K442" s="171">
        <f>SUM(K439:K441)</f>
        <v>0</v>
      </c>
      <c r="L442" s="171">
        <f>SUM(L439:L441)</f>
        <v>0</v>
      </c>
      <c r="M442" s="171">
        <f>SUM(M439:M441)</f>
        <v>0</v>
      </c>
    </row>
    <row r="443" spans="1:15" s="64" customFormat="1" ht="5.0999999999999996" customHeight="1">
      <c r="A443" s="270"/>
      <c r="B443" s="271"/>
      <c r="C443" s="271"/>
      <c r="D443" s="279"/>
      <c r="E443" s="271"/>
      <c r="F443" s="272"/>
      <c r="G443" s="273"/>
      <c r="H443" s="288"/>
      <c r="I443" s="190"/>
      <c r="J443" s="62"/>
      <c r="K443" s="62"/>
      <c r="L443" s="62"/>
      <c r="M443" s="62"/>
      <c r="O443" s="234"/>
    </row>
    <row r="444" spans="1:15" ht="18" customHeight="1">
      <c r="A444" s="282" t="s">
        <v>244</v>
      </c>
      <c r="B444" s="283"/>
      <c r="C444" s="283"/>
      <c r="D444" s="283"/>
      <c r="E444" s="283"/>
      <c r="F444" s="284"/>
      <c r="G444" s="285"/>
      <c r="H444" s="291"/>
      <c r="I444" s="188">
        <f>SUM(I442+I437+I429)</f>
        <v>2665389.84</v>
      </c>
      <c r="J444" s="188">
        <f>SUM(J442+J437+J429)</f>
        <v>2659754.0500000003</v>
      </c>
      <c r="K444" s="188">
        <f>SUM(K442+K437+K429)</f>
        <v>101034.94999999998</v>
      </c>
      <c r="L444" s="188">
        <f>SUM(L442+L437+L429)</f>
        <v>2760789</v>
      </c>
      <c r="M444" s="188">
        <f>SUM(M442+M437+M429)</f>
        <v>3425086</v>
      </c>
    </row>
    <row r="445" spans="1:15" ht="18" customHeight="1">
      <c r="A445" s="54"/>
      <c r="B445" s="71"/>
      <c r="C445" s="54"/>
      <c r="D445" s="54"/>
      <c r="E445" s="54"/>
      <c r="F445" s="54"/>
      <c r="G445" s="54"/>
      <c r="H445" s="135"/>
      <c r="I445" s="135"/>
      <c r="J445" s="72"/>
      <c r="K445" s="72"/>
      <c r="L445" s="72"/>
      <c r="M445" s="72"/>
    </row>
    <row r="446" spans="1:15" s="366" customFormat="1" ht="18" customHeight="1">
      <c r="A446" s="368"/>
      <c r="B446" s="368"/>
      <c r="C446" s="368"/>
      <c r="D446" s="368"/>
      <c r="E446" s="368"/>
      <c r="F446" s="368"/>
      <c r="G446" s="368"/>
      <c r="H446" s="368"/>
      <c r="I446" s="368"/>
      <c r="J446" s="368"/>
      <c r="K446" s="368"/>
      <c r="L446" s="368"/>
      <c r="M446" s="368"/>
      <c r="O446" s="166"/>
    </row>
    <row r="447" spans="1:15" s="366" customFormat="1" ht="18" customHeight="1">
      <c r="A447" s="368" t="s">
        <v>556</v>
      </c>
      <c r="B447" s="368"/>
      <c r="C447" s="368"/>
      <c r="D447" s="368"/>
      <c r="E447" s="368"/>
      <c r="F447" s="368"/>
      <c r="G447" s="368"/>
      <c r="H447" s="368"/>
      <c r="I447" s="368"/>
      <c r="J447" s="368"/>
      <c r="K447" s="368"/>
      <c r="L447" s="368"/>
      <c r="M447" s="368"/>
      <c r="O447" s="166"/>
    </row>
    <row r="448" spans="1:15" s="366" customFormat="1" ht="18" customHeight="1">
      <c r="A448" s="362"/>
      <c r="B448" s="363"/>
      <c r="C448" s="362"/>
      <c r="D448" s="362"/>
      <c r="E448" s="362"/>
      <c r="F448" s="364"/>
      <c r="G448" s="362"/>
      <c r="H448" s="365"/>
      <c r="I448" s="365"/>
      <c r="J448" s="361"/>
      <c r="K448" s="136"/>
      <c r="L448" s="136"/>
      <c r="M448" s="72"/>
      <c r="O448" s="166"/>
    </row>
    <row r="449" spans="1:15" s="366" customFormat="1" ht="18" customHeight="1">
      <c r="A449" s="139" t="s">
        <v>245</v>
      </c>
      <c r="B449" s="139"/>
      <c r="C449" s="361"/>
      <c r="D449" s="139"/>
      <c r="E449" s="139"/>
      <c r="F449" s="361"/>
      <c r="G449" s="139"/>
      <c r="H449" s="139"/>
      <c r="I449" s="139" t="s">
        <v>246</v>
      </c>
      <c r="J449" s="139"/>
      <c r="K449" s="139"/>
      <c r="L449" s="139" t="s">
        <v>43</v>
      </c>
      <c r="M449" s="139"/>
      <c r="O449" s="166"/>
    </row>
    <row r="450" spans="1:15" s="366" customFormat="1" ht="18" customHeight="1">
      <c r="A450" s="51"/>
      <c r="B450" s="50"/>
      <c r="C450" s="52"/>
      <c r="D450" s="51"/>
      <c r="E450" s="51"/>
      <c r="F450" s="52"/>
      <c r="G450" s="51"/>
      <c r="H450" s="52"/>
      <c r="I450" s="51"/>
      <c r="J450" s="135"/>
      <c r="K450" s="76"/>
      <c r="L450" s="75"/>
      <c r="M450" s="136"/>
      <c r="O450" s="166"/>
    </row>
    <row r="451" spans="1:15" s="366" customFormat="1" ht="18" customHeight="1">
      <c r="A451" s="529" t="s">
        <v>12</v>
      </c>
      <c r="B451" s="529"/>
      <c r="C451" s="529"/>
      <c r="D451" s="529"/>
      <c r="E451" s="529"/>
      <c r="F451" s="529"/>
      <c r="G451" s="50"/>
      <c r="H451" s="73"/>
      <c r="I451" s="529" t="s">
        <v>12</v>
      </c>
      <c r="J451" s="529"/>
      <c r="K451" s="74"/>
      <c r="L451" s="529" t="s">
        <v>460</v>
      </c>
      <c r="M451" s="529"/>
      <c r="O451" s="166"/>
    </row>
    <row r="452" spans="1:15" s="367" customFormat="1" ht="20.100000000000001" customHeight="1">
      <c r="A452" s="517" t="s">
        <v>557</v>
      </c>
      <c r="B452" s="517"/>
      <c r="C452" s="517"/>
      <c r="D452" s="517"/>
      <c r="E452" s="517"/>
      <c r="F452" s="517"/>
      <c r="G452" s="33"/>
      <c r="H452" s="33"/>
      <c r="I452" s="518" t="s">
        <v>558</v>
      </c>
      <c r="J452" s="518"/>
      <c r="K452" s="33"/>
      <c r="L452" s="517" t="s">
        <v>559</v>
      </c>
      <c r="M452" s="517"/>
      <c r="O452" s="238"/>
    </row>
    <row r="453" spans="1:15" s="33" customFormat="1" ht="15" customHeight="1">
      <c r="A453" s="167"/>
      <c r="B453" s="167"/>
      <c r="C453" s="167"/>
      <c r="D453" s="167"/>
      <c r="E453" s="167"/>
      <c r="F453" s="167"/>
      <c r="G453" s="167"/>
      <c r="H453" s="167"/>
      <c r="I453" s="167"/>
      <c r="J453" s="167"/>
      <c r="K453" s="167"/>
      <c r="L453" s="167"/>
      <c r="M453" s="167"/>
      <c r="O453" s="236"/>
    </row>
    <row r="454" spans="1:15" s="33" customFormat="1" ht="15" customHeight="1">
      <c r="A454" s="519" t="s">
        <v>549</v>
      </c>
      <c r="B454" s="519"/>
      <c r="C454" s="519"/>
      <c r="D454" s="519"/>
      <c r="E454" s="519"/>
      <c r="F454" s="519"/>
      <c r="G454" s="519"/>
      <c r="H454" s="519"/>
      <c r="I454" s="519"/>
      <c r="J454" s="519"/>
      <c r="K454" s="519"/>
      <c r="L454" s="519"/>
      <c r="M454" s="519"/>
      <c r="O454" s="236"/>
    </row>
    <row r="455" spans="1:15" s="33" customFormat="1" ht="15" customHeight="1">
      <c r="A455" s="167"/>
      <c r="B455" s="167"/>
      <c r="C455" s="167"/>
      <c r="D455" s="167"/>
      <c r="E455" s="167"/>
      <c r="F455" s="167"/>
      <c r="G455" s="167"/>
      <c r="H455" s="167"/>
      <c r="I455" s="167"/>
      <c r="J455" s="167"/>
      <c r="K455" s="167"/>
      <c r="L455" s="167"/>
      <c r="M455" s="167"/>
      <c r="O455" s="236"/>
    </row>
    <row r="456" spans="1:15" s="33" customFormat="1" ht="18" customHeight="1">
      <c r="A456" s="142" t="s">
        <v>550</v>
      </c>
      <c r="B456" s="142"/>
      <c r="C456" s="142"/>
      <c r="D456" s="141"/>
      <c r="E456" s="141"/>
      <c r="F456" s="142" t="s">
        <v>37</v>
      </c>
      <c r="G456" s="142"/>
      <c r="H456" s="142"/>
      <c r="I456" s="142"/>
      <c r="J456" s="142" t="s">
        <v>551</v>
      </c>
      <c r="K456" s="142" t="str">
        <f>$K$9</f>
        <v>2024</v>
      </c>
      <c r="L456" s="142"/>
      <c r="M456" s="142"/>
      <c r="N456" s="163"/>
      <c r="O456" s="236"/>
    </row>
    <row r="457" spans="1:15" s="33" customFormat="1" ht="15.75">
      <c r="A457" s="142" t="s">
        <v>552</v>
      </c>
      <c r="B457" s="142"/>
      <c r="C457" s="142"/>
      <c r="D457" s="141"/>
      <c r="E457" s="142"/>
      <c r="F457" s="142" t="s">
        <v>554</v>
      </c>
      <c r="G457" s="142"/>
      <c r="H457" s="142"/>
      <c r="I457" s="142"/>
      <c r="J457" s="142" t="s">
        <v>553</v>
      </c>
      <c r="K457" s="50" t="s">
        <v>563</v>
      </c>
      <c r="L457" s="142"/>
      <c r="M457" s="142"/>
      <c r="N457" s="164"/>
      <c r="O457" s="236"/>
    </row>
    <row r="458" spans="1:15" s="33" customFormat="1" ht="15.75">
      <c r="A458" s="142" t="s">
        <v>555</v>
      </c>
      <c r="B458" s="142"/>
      <c r="C458" s="142"/>
      <c r="D458" s="142"/>
      <c r="E458" s="142"/>
      <c r="F458" s="142"/>
      <c r="G458" s="142"/>
      <c r="H458" s="142"/>
      <c r="I458" s="142"/>
      <c r="J458" s="142"/>
      <c r="K458" s="142"/>
      <c r="L458" s="142"/>
      <c r="M458" s="142"/>
      <c r="O458" s="236"/>
    </row>
    <row r="459" spans="1:15" s="52" customFormat="1" ht="18" customHeight="1" thickBot="1">
      <c r="A459" s="143"/>
      <c r="B459" s="143"/>
      <c r="C459" s="143"/>
      <c r="D459" s="143"/>
      <c r="E459" s="143"/>
      <c r="F459" s="143"/>
      <c r="G459" s="143"/>
      <c r="H459" s="143"/>
      <c r="I459" s="143"/>
      <c r="J459" s="143"/>
      <c r="K459" s="143"/>
      <c r="L459" s="143"/>
      <c r="M459" s="143"/>
      <c r="O459" s="236"/>
    </row>
    <row r="460" spans="1:15" ht="18" customHeight="1">
      <c r="A460" s="255"/>
      <c r="B460" s="256"/>
      <c r="C460" s="256"/>
      <c r="D460" s="256"/>
      <c r="E460" s="256"/>
      <c r="F460" s="257"/>
      <c r="G460" s="258"/>
      <c r="H460" s="259"/>
      <c r="I460" s="259" t="s">
        <v>6</v>
      </c>
      <c r="J460" s="520" t="s">
        <v>545</v>
      </c>
      <c r="K460" s="521"/>
      <c r="L460" s="522"/>
      <c r="M460" s="260" t="s">
        <v>7</v>
      </c>
    </row>
    <row r="461" spans="1:15" ht="18" customHeight="1">
      <c r="A461" s="523"/>
      <c r="B461" s="524"/>
      <c r="C461" s="524"/>
      <c r="D461" s="524"/>
      <c r="E461" s="524"/>
      <c r="F461" s="525"/>
      <c r="G461" s="448"/>
      <c r="H461" s="261"/>
      <c r="I461" s="261">
        <v>2022</v>
      </c>
      <c r="J461" s="261" t="s">
        <v>192</v>
      </c>
      <c r="K461" s="261" t="s">
        <v>193</v>
      </c>
      <c r="L461" s="261"/>
      <c r="M461" s="262">
        <v>2024</v>
      </c>
    </row>
    <row r="462" spans="1:15" ht="18" customHeight="1">
      <c r="A462" s="523" t="s">
        <v>13</v>
      </c>
      <c r="B462" s="524"/>
      <c r="C462" s="524"/>
      <c r="D462" s="524"/>
      <c r="E462" s="524"/>
      <c r="F462" s="525"/>
      <c r="G462" s="263"/>
      <c r="H462" s="264" t="s">
        <v>243</v>
      </c>
      <c r="I462" s="261" t="s">
        <v>191</v>
      </c>
      <c r="J462" s="261" t="s">
        <v>191</v>
      </c>
      <c r="K462" s="261" t="s">
        <v>194</v>
      </c>
      <c r="L462" s="261" t="s">
        <v>11</v>
      </c>
      <c r="M462" s="262" t="s">
        <v>196</v>
      </c>
    </row>
    <row r="463" spans="1:15" ht="18" customHeight="1">
      <c r="A463" s="265"/>
      <c r="B463" s="266"/>
      <c r="C463" s="266"/>
      <c r="D463" s="266"/>
      <c r="E463" s="266"/>
      <c r="F463" s="267"/>
      <c r="G463" s="263"/>
      <c r="H463" s="261"/>
      <c r="I463" s="261"/>
      <c r="J463" s="261">
        <v>2023</v>
      </c>
      <c r="K463" s="261">
        <v>2023</v>
      </c>
      <c r="L463" s="261"/>
      <c r="M463" s="262"/>
    </row>
    <row r="464" spans="1:15" ht="18" customHeight="1" thickBot="1">
      <c r="A464" s="526"/>
      <c r="B464" s="527"/>
      <c r="C464" s="527"/>
      <c r="D464" s="527"/>
      <c r="E464" s="527"/>
      <c r="F464" s="528"/>
      <c r="G464" s="449"/>
      <c r="H464" s="268"/>
      <c r="I464" s="369"/>
      <c r="J464" s="268"/>
      <c r="K464" s="268"/>
      <c r="L464" s="268"/>
      <c r="M464" s="269"/>
    </row>
    <row r="465" spans="1:13" ht="18" customHeight="1">
      <c r="A465" s="462"/>
      <c r="B465" s="193" t="s">
        <v>66</v>
      </c>
      <c r="C465" s="283"/>
      <c r="D465" s="193"/>
      <c r="E465" s="193"/>
      <c r="F465" s="463"/>
      <c r="G465" s="464"/>
      <c r="H465" s="489"/>
      <c r="I465" s="490"/>
      <c r="J465" s="491"/>
      <c r="K465" s="491"/>
      <c r="L465" s="491"/>
      <c r="M465" s="491"/>
    </row>
    <row r="466" spans="1:13" ht="18" customHeight="1">
      <c r="A466" s="270"/>
      <c r="B466" s="271"/>
      <c r="C466" s="271" t="s">
        <v>148</v>
      </c>
      <c r="D466" s="271"/>
      <c r="E466" s="271"/>
      <c r="F466" s="272"/>
      <c r="G466" s="273"/>
      <c r="H466" s="288"/>
      <c r="I466" s="289"/>
      <c r="J466" s="77"/>
      <c r="K466" s="77"/>
      <c r="L466" s="77"/>
      <c r="M466" s="77"/>
    </row>
    <row r="467" spans="1:13" ht="18" customHeight="1">
      <c r="A467" s="270"/>
      <c r="B467" s="271"/>
      <c r="C467" s="271"/>
      <c r="D467" s="271" t="s">
        <v>149</v>
      </c>
      <c r="E467" s="271"/>
      <c r="F467" s="272"/>
      <c r="G467" s="273" t="s">
        <v>213</v>
      </c>
      <c r="H467" s="275" t="s">
        <v>257</v>
      </c>
      <c r="I467" s="190">
        <v>1872809</v>
      </c>
      <c r="J467" s="62">
        <v>1671370.64</v>
      </c>
      <c r="K467" s="62">
        <f>2130660-J467</f>
        <v>459289.3600000001</v>
      </c>
      <c r="L467" s="62">
        <f t="shared" ref="L467:L488" si="23">SUM(K467+J467)</f>
        <v>2130660</v>
      </c>
      <c r="M467" s="62">
        <v>1926948</v>
      </c>
    </row>
    <row r="468" spans="1:13" ht="18" customHeight="1">
      <c r="A468" s="270"/>
      <c r="B468" s="271"/>
      <c r="C468" s="271" t="s">
        <v>150</v>
      </c>
      <c r="D468" s="271"/>
      <c r="E468" s="271"/>
      <c r="F468" s="272"/>
      <c r="G468" s="273"/>
      <c r="H468" s="288"/>
      <c r="I468" s="190"/>
      <c r="J468" s="62"/>
      <c r="K468" s="62"/>
      <c r="L468" s="62"/>
      <c r="M468" s="62"/>
    </row>
    <row r="469" spans="1:13" ht="18" customHeight="1">
      <c r="A469" s="270"/>
      <c r="B469" s="271"/>
      <c r="C469" s="271"/>
      <c r="D469" s="271" t="s">
        <v>151</v>
      </c>
      <c r="E469" s="271"/>
      <c r="F469" s="272"/>
      <c r="G469" s="273" t="s">
        <v>214</v>
      </c>
      <c r="H469" s="275" t="s">
        <v>258</v>
      </c>
      <c r="I469" s="190">
        <v>122000</v>
      </c>
      <c r="J469" s="62">
        <v>85818.18</v>
      </c>
      <c r="K469" s="62">
        <f>132000-J469</f>
        <v>46181.820000000007</v>
      </c>
      <c r="L469" s="62">
        <f t="shared" si="23"/>
        <v>132000</v>
      </c>
      <c r="M469" s="62">
        <v>120000</v>
      </c>
    </row>
    <row r="470" spans="1:13" ht="18" customHeight="1">
      <c r="A470" s="270"/>
      <c r="B470" s="271"/>
      <c r="C470" s="271"/>
      <c r="D470" s="271" t="s">
        <v>161</v>
      </c>
      <c r="E470" s="271"/>
      <c r="F470" s="272"/>
      <c r="G470" s="273" t="s">
        <v>215</v>
      </c>
      <c r="H470" s="275" t="s">
        <v>259</v>
      </c>
      <c r="I470" s="190">
        <v>76500</v>
      </c>
      <c r="J470" s="62">
        <v>76500</v>
      </c>
      <c r="K470" s="62">
        <f>76500-J470</f>
        <v>0</v>
      </c>
      <c r="L470" s="62">
        <f t="shared" si="23"/>
        <v>76500</v>
      </c>
      <c r="M470" s="62">
        <v>76500</v>
      </c>
    </row>
    <row r="471" spans="1:13" ht="18" customHeight="1">
      <c r="A471" s="270"/>
      <c r="B471" s="271"/>
      <c r="C471" s="271"/>
      <c r="D471" s="271" t="s">
        <v>160</v>
      </c>
      <c r="E471" s="271"/>
      <c r="F471" s="272"/>
      <c r="G471" s="273" t="s">
        <v>216</v>
      </c>
      <c r="H471" s="275" t="s">
        <v>260</v>
      </c>
      <c r="I471" s="190">
        <v>76500</v>
      </c>
      <c r="J471" s="62">
        <v>76500</v>
      </c>
      <c r="K471" s="62">
        <f>76500-J471</f>
        <v>0</v>
      </c>
      <c r="L471" s="62">
        <f t="shared" si="23"/>
        <v>76500</v>
      </c>
      <c r="M471" s="62">
        <v>76500</v>
      </c>
    </row>
    <row r="472" spans="1:13" ht="18" customHeight="1">
      <c r="A472" s="270"/>
      <c r="B472" s="271"/>
      <c r="C472" s="271"/>
      <c r="D472" s="271" t="s">
        <v>162</v>
      </c>
      <c r="E472" s="271"/>
      <c r="F472" s="272"/>
      <c r="G472" s="273" t="s">
        <v>217</v>
      </c>
      <c r="H472" s="275" t="s">
        <v>261</v>
      </c>
      <c r="I472" s="190">
        <v>30000</v>
      </c>
      <c r="J472" s="62">
        <v>24000</v>
      </c>
      <c r="K472" s="62">
        <f>36000-J472</f>
        <v>12000</v>
      </c>
      <c r="L472" s="62">
        <f t="shared" si="23"/>
        <v>36000</v>
      </c>
      <c r="M472" s="62">
        <v>30000</v>
      </c>
    </row>
    <row r="473" spans="1:13" ht="18" customHeight="1">
      <c r="A473" s="270"/>
      <c r="B473" s="271"/>
      <c r="C473" s="271"/>
      <c r="D473" s="271" t="s">
        <v>255</v>
      </c>
      <c r="E473" s="271"/>
      <c r="F473" s="272"/>
      <c r="G473" s="273" t="s">
        <v>219</v>
      </c>
      <c r="H473" s="275" t="s">
        <v>262</v>
      </c>
      <c r="I473" s="190">
        <v>25000</v>
      </c>
      <c r="J473" s="62">
        <v>12000</v>
      </c>
      <c r="K473" s="62">
        <f>25000-J473</f>
        <v>13000</v>
      </c>
      <c r="L473" s="62">
        <f t="shared" si="23"/>
        <v>25000</v>
      </c>
      <c r="M473" s="62">
        <v>25000</v>
      </c>
    </row>
    <row r="474" spans="1:13" ht="18" customHeight="1">
      <c r="A474" s="270"/>
      <c r="B474" s="271"/>
      <c r="C474" s="271"/>
      <c r="D474" s="271" t="s">
        <v>164</v>
      </c>
      <c r="E474" s="271"/>
      <c r="F474" s="272"/>
      <c r="G474" s="273" t="s">
        <v>108</v>
      </c>
      <c r="H474" s="275" t="s">
        <v>263</v>
      </c>
      <c r="I474" s="190">
        <v>10000</v>
      </c>
      <c r="J474" s="62">
        <v>5000</v>
      </c>
      <c r="K474" s="62">
        <f>5000-J474</f>
        <v>0</v>
      </c>
      <c r="L474" s="62">
        <f t="shared" si="23"/>
        <v>5000</v>
      </c>
      <c r="M474" s="62">
        <v>0</v>
      </c>
    </row>
    <row r="475" spans="1:13" ht="18" hidden="1" customHeight="1">
      <c r="A475" s="270"/>
      <c r="B475" s="271"/>
      <c r="C475" s="271"/>
      <c r="D475" s="271" t="s">
        <v>487</v>
      </c>
      <c r="E475" s="271"/>
      <c r="F475" s="272"/>
      <c r="G475" s="273" t="s">
        <v>108</v>
      </c>
      <c r="H475" s="275" t="s">
        <v>263</v>
      </c>
      <c r="I475" s="190">
        <v>0</v>
      </c>
      <c r="J475" s="62">
        <v>0</v>
      </c>
      <c r="K475" s="62">
        <f>0-J475</f>
        <v>0</v>
      </c>
      <c r="L475" s="62">
        <f t="shared" si="23"/>
        <v>0</v>
      </c>
      <c r="M475" s="62">
        <v>0</v>
      </c>
    </row>
    <row r="476" spans="1:13" ht="18" customHeight="1">
      <c r="A476" s="270"/>
      <c r="B476" s="271"/>
      <c r="C476" s="271"/>
      <c r="D476" s="271" t="s">
        <v>475</v>
      </c>
      <c r="E476" s="271"/>
      <c r="F476" s="272"/>
      <c r="G476" s="273"/>
      <c r="H476" s="275" t="s">
        <v>263</v>
      </c>
      <c r="I476" s="190">
        <v>92349.4</v>
      </c>
      <c r="J476" s="62">
        <v>0</v>
      </c>
      <c r="K476" s="62">
        <f>0-J476</f>
        <v>0</v>
      </c>
      <c r="L476" s="62">
        <f t="shared" si="23"/>
        <v>0</v>
      </c>
      <c r="M476" s="62">
        <v>0</v>
      </c>
    </row>
    <row r="477" spans="1:13" ht="18" customHeight="1">
      <c r="A477" s="270"/>
      <c r="B477" s="271"/>
      <c r="C477" s="271"/>
      <c r="D477" s="271" t="s">
        <v>67</v>
      </c>
      <c r="E477" s="271"/>
      <c r="F477" s="272"/>
      <c r="G477" s="273" t="s">
        <v>221</v>
      </c>
      <c r="H477" s="275" t="s">
        <v>280</v>
      </c>
      <c r="I477" s="190">
        <v>22000</v>
      </c>
      <c r="J477" s="62">
        <v>8835.7999999999993</v>
      </c>
      <c r="K477" s="62">
        <f>25000-J477</f>
        <v>16164.2</v>
      </c>
      <c r="L477" s="62">
        <f t="shared" si="23"/>
        <v>25000</v>
      </c>
      <c r="M477" s="62">
        <v>25000</v>
      </c>
    </row>
    <row r="478" spans="1:13" ht="18" customHeight="1">
      <c r="A478" s="270"/>
      <c r="B478" s="271"/>
      <c r="C478" s="271"/>
      <c r="D478" s="271" t="s">
        <v>166</v>
      </c>
      <c r="E478" s="271"/>
      <c r="F478" s="272"/>
      <c r="G478" s="273" t="s">
        <v>222</v>
      </c>
      <c r="H478" s="275" t="s">
        <v>264</v>
      </c>
      <c r="I478" s="190">
        <v>25000</v>
      </c>
      <c r="J478" s="62">
        <v>18500</v>
      </c>
      <c r="K478" s="62">
        <f>25000-J478</f>
        <v>6500</v>
      </c>
      <c r="L478" s="62">
        <f t="shared" si="23"/>
        <v>25000</v>
      </c>
      <c r="M478" s="62">
        <v>25000</v>
      </c>
    </row>
    <row r="479" spans="1:13" ht="18" customHeight="1">
      <c r="A479" s="270"/>
      <c r="B479" s="271"/>
      <c r="C479" s="271"/>
      <c r="D479" s="271" t="s">
        <v>374</v>
      </c>
      <c r="E479" s="271"/>
      <c r="F479" s="271"/>
      <c r="G479" s="277" t="s">
        <v>108</v>
      </c>
      <c r="H479" s="275" t="s">
        <v>263</v>
      </c>
      <c r="I479" s="190">
        <v>155604</v>
      </c>
      <c r="J479" s="62">
        <v>146894</v>
      </c>
      <c r="K479" s="62">
        <f>184932-J479</f>
        <v>38038</v>
      </c>
      <c r="L479" s="62">
        <f t="shared" si="23"/>
        <v>184932</v>
      </c>
      <c r="M479" s="62">
        <v>160142</v>
      </c>
    </row>
    <row r="480" spans="1:13" ht="18" customHeight="1">
      <c r="A480" s="270"/>
      <c r="B480" s="271"/>
      <c r="C480" s="271"/>
      <c r="D480" s="271" t="s">
        <v>167</v>
      </c>
      <c r="E480" s="271"/>
      <c r="F480" s="272"/>
      <c r="G480" s="273" t="s">
        <v>223</v>
      </c>
      <c r="H480" s="275" t="s">
        <v>265</v>
      </c>
      <c r="I480" s="190">
        <v>155604</v>
      </c>
      <c r="J480" s="62">
        <v>139138.5</v>
      </c>
      <c r="K480" s="62">
        <f>185149-J480</f>
        <v>46010.5</v>
      </c>
      <c r="L480" s="62">
        <f t="shared" si="23"/>
        <v>185149</v>
      </c>
      <c r="M480" s="62">
        <v>161453</v>
      </c>
    </row>
    <row r="481" spans="1:15" ht="18" customHeight="1">
      <c r="A481" s="270"/>
      <c r="B481" s="271"/>
      <c r="C481" s="271"/>
      <c r="D481" s="271" t="s">
        <v>249</v>
      </c>
      <c r="E481" s="271"/>
      <c r="F481" s="272"/>
      <c r="G481" s="273" t="s">
        <v>224</v>
      </c>
      <c r="H481" s="275" t="s">
        <v>266</v>
      </c>
      <c r="I481" s="190">
        <v>226100</v>
      </c>
      <c r="J481" s="62">
        <v>200550.02</v>
      </c>
      <c r="K481" s="62">
        <f>257000-J481</f>
        <v>56449.98000000001</v>
      </c>
      <c r="L481" s="62">
        <f t="shared" si="23"/>
        <v>257000</v>
      </c>
      <c r="M481" s="62">
        <v>231500</v>
      </c>
    </row>
    <row r="482" spans="1:15" ht="18" customHeight="1">
      <c r="A482" s="270"/>
      <c r="B482" s="271"/>
      <c r="C482" s="271"/>
      <c r="D482" s="271" t="s">
        <v>168</v>
      </c>
      <c r="E482" s="271"/>
      <c r="F482" s="272"/>
      <c r="G482" s="273" t="s">
        <v>225</v>
      </c>
      <c r="H482" s="275" t="s">
        <v>267</v>
      </c>
      <c r="I482" s="190">
        <v>9150</v>
      </c>
      <c r="J482" s="62">
        <v>4300</v>
      </c>
      <c r="K482" s="62">
        <f>10200-J482</f>
        <v>5900</v>
      </c>
      <c r="L482" s="62">
        <f t="shared" si="23"/>
        <v>10200</v>
      </c>
      <c r="M482" s="62">
        <v>9000</v>
      </c>
    </row>
    <row r="483" spans="1:15" ht="18" customHeight="1">
      <c r="A483" s="270"/>
      <c r="B483" s="271"/>
      <c r="C483" s="271"/>
      <c r="D483" s="271" t="s">
        <v>169</v>
      </c>
      <c r="E483" s="271"/>
      <c r="F483" s="272"/>
      <c r="G483" s="273" t="s">
        <v>226</v>
      </c>
      <c r="H483" s="275" t="s">
        <v>268</v>
      </c>
      <c r="I483" s="190">
        <v>38600</v>
      </c>
      <c r="J483" s="62">
        <v>32919.839999999997</v>
      </c>
      <c r="K483" s="62">
        <f>48500-J483</f>
        <v>15580.160000000003</v>
      </c>
      <c r="L483" s="62">
        <f t="shared" si="23"/>
        <v>48500</v>
      </c>
      <c r="M483" s="62">
        <v>48500</v>
      </c>
    </row>
    <row r="484" spans="1:15" ht="18" customHeight="1">
      <c r="A484" s="270"/>
      <c r="B484" s="271"/>
      <c r="C484" s="271"/>
      <c r="D484" s="271" t="s">
        <v>248</v>
      </c>
      <c r="E484" s="271"/>
      <c r="F484" s="272"/>
      <c r="G484" s="273" t="s">
        <v>227</v>
      </c>
      <c r="H484" s="275" t="s">
        <v>269</v>
      </c>
      <c r="I484" s="190">
        <v>6100</v>
      </c>
      <c r="J484" s="62">
        <v>4300</v>
      </c>
      <c r="K484" s="62">
        <f>6600-J484</f>
        <v>2300</v>
      </c>
      <c r="L484" s="62">
        <f t="shared" si="23"/>
        <v>6600</v>
      </c>
      <c r="M484" s="62">
        <v>6000</v>
      </c>
    </row>
    <row r="485" spans="1:15" ht="18" hidden="1" customHeight="1">
      <c r="A485" s="270"/>
      <c r="B485" s="271"/>
      <c r="C485" s="271"/>
      <c r="D485" s="271" t="s">
        <v>69</v>
      </c>
      <c r="E485" s="271"/>
      <c r="F485" s="272"/>
      <c r="G485" s="273"/>
      <c r="H485" s="275" t="s">
        <v>270</v>
      </c>
      <c r="I485" s="190">
        <v>0</v>
      </c>
      <c r="J485" s="62">
        <v>0</v>
      </c>
      <c r="K485" s="62">
        <f>0-J485</f>
        <v>0</v>
      </c>
      <c r="L485" s="62">
        <f t="shared" si="23"/>
        <v>0</v>
      </c>
      <c r="M485" s="62">
        <v>0</v>
      </c>
    </row>
    <row r="486" spans="1:15" ht="18" customHeight="1">
      <c r="A486" s="270"/>
      <c r="B486" s="271"/>
      <c r="C486" s="271"/>
      <c r="D486" s="271" t="s">
        <v>69</v>
      </c>
      <c r="E486" s="271"/>
      <c r="F486" s="272"/>
      <c r="G486" s="273" t="s">
        <v>82</v>
      </c>
      <c r="H486" s="275" t="s">
        <v>281</v>
      </c>
      <c r="I486" s="190">
        <v>0</v>
      </c>
      <c r="J486" s="62">
        <v>31133.62</v>
      </c>
      <c r="K486" s="62">
        <f>79000-J486</f>
        <v>47866.380000000005</v>
      </c>
      <c r="L486" s="62">
        <f t="shared" si="23"/>
        <v>79000</v>
      </c>
      <c r="M486" s="62">
        <v>0</v>
      </c>
    </row>
    <row r="487" spans="1:15" ht="18" customHeight="1">
      <c r="A487" s="270"/>
      <c r="B487" s="271"/>
      <c r="C487" s="271"/>
      <c r="D487" s="271" t="s">
        <v>476</v>
      </c>
      <c r="E487" s="271"/>
      <c r="F487" s="272"/>
      <c r="G487" s="273"/>
      <c r="H487" s="275" t="s">
        <v>281</v>
      </c>
      <c r="I487" s="190">
        <v>80000</v>
      </c>
      <c r="J487" s="62">
        <v>46000</v>
      </c>
      <c r="K487" s="62">
        <f>46000-J487</f>
        <v>0</v>
      </c>
      <c r="L487" s="62">
        <f t="shared" si="23"/>
        <v>46000</v>
      </c>
      <c r="M487" s="62">
        <v>0</v>
      </c>
    </row>
    <row r="488" spans="1:15" ht="18" customHeight="1">
      <c r="A488" s="270"/>
      <c r="B488" s="271"/>
      <c r="C488" s="271"/>
      <c r="D488" s="271" t="s">
        <v>502</v>
      </c>
      <c r="E488" s="271"/>
      <c r="F488" s="272"/>
      <c r="G488" s="273"/>
      <c r="H488" s="275" t="s">
        <v>281</v>
      </c>
      <c r="I488" s="190"/>
      <c r="J488" s="62">
        <v>127500</v>
      </c>
      <c r="K488" s="62">
        <f>127500-J488</f>
        <v>0</v>
      </c>
      <c r="L488" s="62">
        <f t="shared" si="23"/>
        <v>127500</v>
      </c>
      <c r="M488" s="62"/>
    </row>
    <row r="489" spans="1:15" s="64" customFormat="1" ht="18" customHeight="1">
      <c r="A489" s="278"/>
      <c r="B489" s="279"/>
      <c r="C489" s="279"/>
      <c r="D489" s="279" t="s">
        <v>68</v>
      </c>
      <c r="E489" s="279"/>
      <c r="F489" s="280"/>
      <c r="G489" s="281"/>
      <c r="H489" s="290"/>
      <c r="I489" s="171">
        <f>SUM(I467:I488)</f>
        <v>3023316.4</v>
      </c>
      <c r="J489" s="171">
        <f t="shared" ref="J489:M489" si="24">SUM(J467:J488)</f>
        <v>2711260.6</v>
      </c>
      <c r="K489" s="171">
        <f t="shared" si="24"/>
        <v>765280.40000000014</v>
      </c>
      <c r="L489" s="171">
        <f t="shared" si="24"/>
        <v>3476541</v>
      </c>
      <c r="M489" s="171">
        <f t="shared" si="24"/>
        <v>2921543</v>
      </c>
      <c r="O489" s="234"/>
    </row>
    <row r="490" spans="1:15" ht="18" customHeight="1">
      <c r="A490" s="270"/>
      <c r="B490" s="271" t="s">
        <v>172</v>
      </c>
      <c r="C490" s="271"/>
      <c r="D490" s="271"/>
      <c r="E490" s="271"/>
      <c r="F490" s="272"/>
      <c r="G490" s="273"/>
      <c r="H490" s="288"/>
      <c r="I490" s="190"/>
      <c r="J490" s="62"/>
      <c r="K490" s="62"/>
      <c r="L490" s="62"/>
      <c r="M490" s="62"/>
    </row>
    <row r="491" spans="1:15" ht="18" customHeight="1">
      <c r="A491" s="270"/>
      <c r="B491" s="271"/>
      <c r="C491" s="271"/>
      <c r="D491" s="271" t="s">
        <v>173</v>
      </c>
      <c r="E491" s="271"/>
      <c r="F491" s="272"/>
      <c r="G491" s="273" t="s">
        <v>75</v>
      </c>
      <c r="H491" s="275" t="s">
        <v>271</v>
      </c>
      <c r="I491" s="190">
        <v>111481.71</v>
      </c>
      <c r="J491" s="62">
        <v>119040</v>
      </c>
      <c r="K491" s="62">
        <f>120000-J491</f>
        <v>960</v>
      </c>
      <c r="L491" s="62">
        <f t="shared" ref="L491:L497" si="25">SUM(K491+J491)</f>
        <v>120000</v>
      </c>
      <c r="M491" s="62">
        <v>180000</v>
      </c>
    </row>
    <row r="492" spans="1:15" ht="18" customHeight="1">
      <c r="A492" s="270"/>
      <c r="B492" s="271"/>
      <c r="C492" s="271"/>
      <c r="D492" s="271" t="s">
        <v>107</v>
      </c>
      <c r="E492" s="271"/>
      <c r="F492" s="272"/>
      <c r="G492" s="273" t="s">
        <v>76</v>
      </c>
      <c r="H492" s="275" t="s">
        <v>272</v>
      </c>
      <c r="I492" s="190">
        <v>129984.88</v>
      </c>
      <c r="J492" s="62">
        <v>127684.23</v>
      </c>
      <c r="K492" s="62">
        <f>130000-J492</f>
        <v>2315.7700000000041</v>
      </c>
      <c r="L492" s="62">
        <f t="shared" si="25"/>
        <v>130000</v>
      </c>
      <c r="M492" s="62">
        <v>160000</v>
      </c>
    </row>
    <row r="493" spans="1:15" ht="18" customHeight="1">
      <c r="A493" s="270"/>
      <c r="B493" s="271"/>
      <c r="C493" s="271"/>
      <c r="D493" s="271" t="s">
        <v>73</v>
      </c>
      <c r="E493" s="271"/>
      <c r="F493" s="272"/>
      <c r="G493" s="273" t="s">
        <v>78</v>
      </c>
      <c r="H493" s="275" t="s">
        <v>273</v>
      </c>
      <c r="I493" s="190">
        <v>132329</v>
      </c>
      <c r="J493" s="62">
        <v>187776</v>
      </c>
      <c r="K493" s="62">
        <f>240815-J493</f>
        <v>53039</v>
      </c>
      <c r="L493" s="62">
        <f t="shared" si="25"/>
        <v>240815</v>
      </c>
      <c r="M493" s="62">
        <v>350000</v>
      </c>
    </row>
    <row r="494" spans="1:15" ht="18" customHeight="1">
      <c r="A494" s="270"/>
      <c r="B494" s="271"/>
      <c r="C494" s="271"/>
      <c r="D494" s="271" t="s">
        <v>179</v>
      </c>
      <c r="E494" s="271"/>
      <c r="F494" s="272"/>
      <c r="G494" s="273" t="s">
        <v>79</v>
      </c>
      <c r="H494" s="275" t="s">
        <v>275</v>
      </c>
      <c r="I494" s="190">
        <v>48000</v>
      </c>
      <c r="J494" s="62">
        <v>48000</v>
      </c>
      <c r="K494" s="62">
        <f>48000-J494</f>
        <v>0</v>
      </c>
      <c r="L494" s="62">
        <f t="shared" si="25"/>
        <v>48000</v>
      </c>
      <c r="M494" s="62">
        <v>48000</v>
      </c>
    </row>
    <row r="495" spans="1:15" ht="18" customHeight="1">
      <c r="A495" s="270"/>
      <c r="B495" s="271"/>
      <c r="C495" s="271"/>
      <c r="D495" s="271" t="s">
        <v>432</v>
      </c>
      <c r="E495" s="271"/>
      <c r="F495" s="272"/>
      <c r="G495" s="273" t="s">
        <v>80</v>
      </c>
      <c r="H495" s="275" t="s">
        <v>276</v>
      </c>
      <c r="I495" s="190">
        <v>24900</v>
      </c>
      <c r="J495" s="62">
        <v>22650</v>
      </c>
      <c r="K495" s="62">
        <f>35000-J495</f>
        <v>12350</v>
      </c>
      <c r="L495" s="62">
        <f t="shared" si="25"/>
        <v>35000</v>
      </c>
      <c r="M495" s="62">
        <v>40000</v>
      </c>
    </row>
    <row r="496" spans="1:15" ht="18" customHeight="1">
      <c r="A496" s="270"/>
      <c r="B496" s="271"/>
      <c r="C496" s="271"/>
      <c r="D496" s="271" t="s">
        <v>185</v>
      </c>
      <c r="E496" s="271"/>
      <c r="F496" s="272"/>
      <c r="G496" s="273" t="s">
        <v>81</v>
      </c>
      <c r="H496" s="275" t="s">
        <v>277</v>
      </c>
      <c r="I496" s="190">
        <v>0</v>
      </c>
      <c r="J496" s="62">
        <v>0</v>
      </c>
      <c r="K496" s="62">
        <f>0-J496</f>
        <v>0</v>
      </c>
      <c r="L496" s="62">
        <f t="shared" si="25"/>
        <v>0</v>
      </c>
      <c r="M496" s="62">
        <v>20000</v>
      </c>
    </row>
    <row r="497" spans="1:15" ht="18" customHeight="1">
      <c r="A497" s="270"/>
      <c r="B497" s="271"/>
      <c r="C497" s="271"/>
      <c r="D497" s="271" t="s">
        <v>502</v>
      </c>
      <c r="E497" s="271"/>
      <c r="F497" s="272"/>
      <c r="G497" s="273"/>
      <c r="H497" s="275" t="s">
        <v>277</v>
      </c>
      <c r="I497" s="190">
        <v>100000</v>
      </c>
      <c r="J497" s="62">
        <v>0</v>
      </c>
      <c r="K497" s="62">
        <f>0-J497</f>
        <v>0</v>
      </c>
      <c r="L497" s="62">
        <f t="shared" si="25"/>
        <v>0</v>
      </c>
      <c r="M497" s="62">
        <v>0</v>
      </c>
    </row>
    <row r="498" spans="1:15" s="64" customFormat="1" ht="18" customHeight="1">
      <c r="A498" s="278"/>
      <c r="B498" s="279"/>
      <c r="C498" s="279"/>
      <c r="D498" s="279" t="s">
        <v>322</v>
      </c>
      <c r="E498" s="279"/>
      <c r="F498" s="280"/>
      <c r="G498" s="281"/>
      <c r="H498" s="290"/>
      <c r="I498" s="171">
        <f>SUM(I491:I497)</f>
        <v>546695.59000000008</v>
      </c>
      <c r="J498" s="171">
        <f>SUM(J491:J497)</f>
        <v>505150.23</v>
      </c>
      <c r="K498" s="171">
        <f>SUM(K491:K497)</f>
        <v>68664.77</v>
      </c>
      <c r="L498" s="171">
        <f>SUM(L491:L497)</f>
        <v>573815</v>
      </c>
      <c r="M498" s="171">
        <f>SUM(M491:M497)</f>
        <v>798000</v>
      </c>
      <c r="O498" s="234"/>
    </row>
    <row r="499" spans="1:15" ht="18" customHeight="1">
      <c r="A499" s="270"/>
      <c r="B499" s="271" t="s">
        <v>186</v>
      </c>
      <c r="C499" s="271"/>
      <c r="D499" s="271"/>
      <c r="E499" s="271"/>
      <c r="F499" s="272"/>
      <c r="G499" s="273"/>
      <c r="H499" s="288"/>
      <c r="I499" s="190"/>
      <c r="J499" s="62"/>
      <c r="K499" s="62"/>
      <c r="L499" s="62"/>
      <c r="M499" s="62"/>
    </row>
    <row r="500" spans="1:15" ht="18" customHeight="1">
      <c r="A500" s="270"/>
      <c r="B500" s="271"/>
      <c r="C500" s="271"/>
      <c r="D500" s="271" t="s">
        <v>256</v>
      </c>
      <c r="E500" s="271"/>
      <c r="F500" s="272"/>
      <c r="G500" s="273" t="s">
        <v>409</v>
      </c>
      <c r="H500" s="275" t="s">
        <v>410</v>
      </c>
      <c r="I500" s="190">
        <v>30005</v>
      </c>
      <c r="J500" s="62">
        <v>0</v>
      </c>
      <c r="K500" s="62">
        <f>0-J500</f>
        <v>0</v>
      </c>
      <c r="L500" s="62">
        <f>SUM(K500+J500)</f>
        <v>0</v>
      </c>
      <c r="M500" s="62">
        <v>30000</v>
      </c>
    </row>
    <row r="501" spans="1:15" ht="18" customHeight="1">
      <c r="A501" s="270"/>
      <c r="B501" s="271"/>
      <c r="C501" s="271"/>
      <c r="D501" s="271" t="s">
        <v>408</v>
      </c>
      <c r="E501" s="271"/>
      <c r="F501" s="272"/>
      <c r="G501" s="273" t="s">
        <v>411</v>
      </c>
      <c r="H501" s="275" t="s">
        <v>481</v>
      </c>
      <c r="I501" s="190">
        <v>29876</v>
      </c>
      <c r="J501" s="62">
        <v>0</v>
      </c>
      <c r="K501" s="62">
        <f t="shared" ref="K501:K503" si="26">0-J501</f>
        <v>0</v>
      </c>
      <c r="L501" s="62">
        <f>SUM(K501+J501)</f>
        <v>0</v>
      </c>
      <c r="M501" s="62">
        <v>0</v>
      </c>
    </row>
    <row r="502" spans="1:15" ht="18" hidden="1" customHeight="1">
      <c r="A502" s="270"/>
      <c r="B502" s="271"/>
      <c r="C502" s="271"/>
      <c r="D502" s="271" t="s">
        <v>416</v>
      </c>
      <c r="E502" s="271"/>
      <c r="F502" s="272"/>
      <c r="G502" s="273" t="s">
        <v>430</v>
      </c>
      <c r="H502" s="275" t="s">
        <v>417</v>
      </c>
      <c r="I502" s="190">
        <v>0</v>
      </c>
      <c r="J502" s="62">
        <v>0</v>
      </c>
      <c r="K502" s="62">
        <f t="shared" si="26"/>
        <v>0</v>
      </c>
      <c r="L502" s="62">
        <f>SUM(K502+J502)</f>
        <v>0</v>
      </c>
      <c r="M502" s="62"/>
    </row>
    <row r="503" spans="1:15" ht="18" hidden="1" customHeight="1">
      <c r="A503" s="270"/>
      <c r="B503" s="271"/>
      <c r="C503" s="271"/>
      <c r="D503" s="271" t="s">
        <v>412</v>
      </c>
      <c r="E503" s="271"/>
      <c r="F503" s="272"/>
      <c r="G503" s="273" t="s">
        <v>413</v>
      </c>
      <c r="H503" s="275" t="s">
        <v>414</v>
      </c>
      <c r="I503" s="190">
        <v>0</v>
      </c>
      <c r="J503" s="62">
        <v>0</v>
      </c>
      <c r="K503" s="62">
        <f t="shared" si="26"/>
        <v>0</v>
      </c>
      <c r="L503" s="62">
        <f>SUM(K503+J503)</f>
        <v>0</v>
      </c>
      <c r="M503" s="62">
        <v>0</v>
      </c>
    </row>
    <row r="504" spans="1:15" s="64" customFormat="1" ht="18" customHeight="1">
      <c r="A504" s="278"/>
      <c r="B504" s="279"/>
      <c r="C504" s="279"/>
      <c r="D504" s="279" t="s">
        <v>366</v>
      </c>
      <c r="E504" s="279"/>
      <c r="F504" s="280"/>
      <c r="G504" s="281"/>
      <c r="H504" s="290"/>
      <c r="I504" s="171">
        <f>SUM(I500:I503)</f>
        <v>59881</v>
      </c>
      <c r="J504" s="171">
        <f>SUM(J500:J503)</f>
        <v>0</v>
      </c>
      <c r="K504" s="191">
        <f>SUM(K500:K503)</f>
        <v>0</v>
      </c>
      <c r="L504" s="191">
        <f>SUM(L500:L503)</f>
        <v>0</v>
      </c>
      <c r="M504" s="191">
        <f>SUM(M500:M503)</f>
        <v>30000</v>
      </c>
      <c r="O504" s="234"/>
    </row>
    <row r="505" spans="1:15" s="64" customFormat="1" ht="5.0999999999999996" customHeight="1">
      <c r="A505" s="278"/>
      <c r="B505" s="279"/>
      <c r="C505" s="279"/>
      <c r="D505" s="279"/>
      <c r="E505" s="279"/>
      <c r="F505" s="280"/>
      <c r="G505" s="281"/>
      <c r="H505" s="290"/>
      <c r="I505" s="171"/>
      <c r="J505" s="191"/>
      <c r="K505" s="191"/>
      <c r="L505" s="191"/>
      <c r="M505" s="191"/>
      <c r="O505" s="234"/>
    </row>
    <row r="506" spans="1:15" ht="18" customHeight="1">
      <c r="A506" s="282" t="s">
        <v>244</v>
      </c>
      <c r="B506" s="283"/>
      <c r="C506" s="283"/>
      <c r="D506" s="283"/>
      <c r="E506" s="283"/>
      <c r="F506" s="284"/>
      <c r="G506" s="285"/>
      <c r="H506" s="291"/>
      <c r="I506" s="188">
        <f>SUM(I504+I498+I489)</f>
        <v>3629892.99</v>
      </c>
      <c r="J506" s="188">
        <f>SUM(J504+J498+J489)</f>
        <v>3216410.83</v>
      </c>
      <c r="K506" s="188">
        <f>SUM(K504+K498+K489)</f>
        <v>833945.17000000016</v>
      </c>
      <c r="L506" s="188">
        <f>SUM(L504+L498+L489)</f>
        <v>4050356</v>
      </c>
      <c r="M506" s="188">
        <f>SUM(M504+M498+M489)</f>
        <v>3749543</v>
      </c>
    </row>
    <row r="507" spans="1:15" ht="18" customHeight="1">
      <c r="A507" s="54"/>
      <c r="B507" s="71"/>
      <c r="C507" s="54"/>
      <c r="D507" s="54"/>
      <c r="E507" s="54"/>
      <c r="F507" s="54"/>
      <c r="G507" s="54"/>
      <c r="H507" s="135"/>
      <c r="I507" s="135"/>
      <c r="J507" s="72"/>
      <c r="K507" s="72"/>
      <c r="L507" s="72"/>
      <c r="M507" s="72"/>
    </row>
    <row r="508" spans="1:15" s="366" customFormat="1" ht="18" customHeight="1">
      <c r="A508" s="368"/>
      <c r="B508" s="368"/>
      <c r="C508" s="368"/>
      <c r="D508" s="368"/>
      <c r="E508" s="368"/>
      <c r="F508" s="368"/>
      <c r="G508" s="368"/>
      <c r="H508" s="368"/>
      <c r="I508" s="368"/>
      <c r="J508" s="368"/>
      <c r="K508" s="368"/>
      <c r="L508" s="368"/>
      <c r="M508" s="368"/>
      <c r="O508" s="166"/>
    </row>
    <row r="509" spans="1:15" s="366" customFormat="1" ht="18" customHeight="1">
      <c r="A509" s="368" t="s">
        <v>556</v>
      </c>
      <c r="B509" s="368"/>
      <c r="C509" s="368"/>
      <c r="D509" s="368"/>
      <c r="E509" s="368"/>
      <c r="F509" s="368"/>
      <c r="G509" s="368"/>
      <c r="H509" s="368"/>
      <c r="I509" s="368"/>
      <c r="J509" s="368"/>
      <c r="K509" s="368"/>
      <c r="L509" s="368"/>
      <c r="M509" s="368"/>
      <c r="O509" s="166"/>
    </row>
    <row r="510" spans="1:15" s="366" customFormat="1" ht="18" customHeight="1">
      <c r="A510" s="362"/>
      <c r="B510" s="363"/>
      <c r="C510" s="362"/>
      <c r="D510" s="362"/>
      <c r="E510" s="362"/>
      <c r="F510" s="364"/>
      <c r="G510" s="362"/>
      <c r="H510" s="365"/>
      <c r="I510" s="365"/>
      <c r="J510" s="361"/>
      <c r="K510" s="136"/>
      <c r="L510" s="136"/>
      <c r="M510" s="72"/>
      <c r="O510" s="166"/>
    </row>
    <row r="511" spans="1:15" s="366" customFormat="1" ht="18" customHeight="1">
      <c r="A511" s="139" t="s">
        <v>245</v>
      </c>
      <c r="B511" s="139"/>
      <c r="C511" s="361"/>
      <c r="D511" s="139"/>
      <c r="E511" s="139"/>
      <c r="F511" s="361"/>
      <c r="G511" s="139"/>
      <c r="H511" s="139"/>
      <c r="I511" s="139" t="s">
        <v>246</v>
      </c>
      <c r="J511" s="139"/>
      <c r="K511" s="139"/>
      <c r="L511" s="139" t="s">
        <v>43</v>
      </c>
      <c r="M511" s="139"/>
      <c r="O511" s="166"/>
    </row>
    <row r="512" spans="1:15" s="367" customFormat="1" ht="20.100000000000001" customHeight="1">
      <c r="A512" s="51"/>
      <c r="B512" s="50"/>
      <c r="C512" s="52"/>
      <c r="D512" s="51"/>
      <c r="E512" s="51"/>
      <c r="F512" s="52"/>
      <c r="G512" s="51"/>
      <c r="H512" s="52"/>
      <c r="I512" s="51"/>
      <c r="J512" s="135"/>
      <c r="K512" s="76"/>
      <c r="L512" s="75"/>
      <c r="M512" s="136"/>
      <c r="O512" s="238"/>
    </row>
    <row r="513" spans="1:15" s="52" customFormat="1" ht="18" customHeight="1">
      <c r="A513" s="529" t="s">
        <v>367</v>
      </c>
      <c r="B513" s="529"/>
      <c r="C513" s="529"/>
      <c r="D513" s="529"/>
      <c r="E513" s="529"/>
      <c r="F513" s="529"/>
      <c r="G513" s="50"/>
      <c r="H513" s="73"/>
      <c r="I513" s="529" t="s">
        <v>12</v>
      </c>
      <c r="J513" s="529"/>
      <c r="K513" s="74"/>
      <c r="L513" s="529" t="s">
        <v>460</v>
      </c>
      <c r="M513" s="529"/>
      <c r="O513" s="236"/>
    </row>
    <row r="514" spans="1:15" s="361" customFormat="1" ht="18" customHeight="1">
      <c r="A514" s="517" t="s">
        <v>557</v>
      </c>
      <c r="B514" s="517"/>
      <c r="C514" s="517"/>
      <c r="D514" s="517"/>
      <c r="E514" s="517"/>
      <c r="F514" s="517"/>
      <c r="G514" s="33"/>
      <c r="H514" s="33"/>
      <c r="I514" s="518" t="s">
        <v>558</v>
      </c>
      <c r="J514" s="518"/>
      <c r="K514" s="33"/>
      <c r="L514" s="517" t="s">
        <v>559</v>
      </c>
      <c r="M514" s="517"/>
      <c r="O514" s="236"/>
    </row>
    <row r="515" spans="1:15" s="33" customFormat="1" ht="15" customHeight="1">
      <c r="O515" s="236"/>
    </row>
    <row r="516" spans="1:15" s="33" customFormat="1" ht="15" customHeight="1">
      <c r="A516" s="519" t="s">
        <v>549</v>
      </c>
      <c r="B516" s="519"/>
      <c r="C516" s="519"/>
      <c r="D516" s="519"/>
      <c r="E516" s="519"/>
      <c r="F516" s="519"/>
      <c r="G516" s="519"/>
      <c r="H516" s="519"/>
      <c r="I516" s="519"/>
      <c r="J516" s="519"/>
      <c r="K516" s="519"/>
      <c r="L516" s="519"/>
      <c r="M516" s="519"/>
      <c r="O516" s="236"/>
    </row>
    <row r="517" spans="1:15" s="33" customFormat="1" ht="15" customHeight="1">
      <c r="O517" s="236"/>
    </row>
    <row r="518" spans="1:15" s="33" customFormat="1" ht="18" customHeight="1">
      <c r="A518" s="142" t="s">
        <v>550</v>
      </c>
      <c r="B518" s="142"/>
      <c r="C518" s="142"/>
      <c r="D518" s="141"/>
      <c r="E518" s="141"/>
      <c r="F518" s="142" t="s">
        <v>37</v>
      </c>
      <c r="G518" s="142"/>
      <c r="H518" s="142"/>
      <c r="I518" s="142"/>
      <c r="J518" s="142" t="s">
        <v>551</v>
      </c>
      <c r="K518" s="142" t="str">
        <f>$K$9</f>
        <v>2024</v>
      </c>
      <c r="L518" s="142"/>
      <c r="M518" s="142"/>
      <c r="N518" s="163"/>
      <c r="O518" s="236"/>
    </row>
    <row r="519" spans="1:15" s="33" customFormat="1" ht="15.75">
      <c r="A519" s="142" t="s">
        <v>552</v>
      </c>
      <c r="B519" s="142"/>
      <c r="C519" s="142"/>
      <c r="D519" s="141"/>
      <c r="E519" s="142"/>
      <c r="F519" s="142" t="s">
        <v>554</v>
      </c>
      <c r="G519" s="142"/>
      <c r="H519" s="142"/>
      <c r="I519" s="142"/>
      <c r="J519" s="142" t="s">
        <v>553</v>
      </c>
      <c r="K519" s="50" t="s">
        <v>564</v>
      </c>
      <c r="L519" s="142"/>
      <c r="M519" s="142"/>
      <c r="O519" s="236"/>
    </row>
    <row r="520" spans="1:15" s="33" customFormat="1" ht="15.75">
      <c r="A520" s="142" t="s">
        <v>555</v>
      </c>
      <c r="B520" s="142"/>
      <c r="C520" s="142"/>
      <c r="D520" s="142"/>
      <c r="E520" s="142"/>
      <c r="F520" s="142"/>
      <c r="G520" s="142"/>
      <c r="H520" s="142"/>
      <c r="I520" s="142"/>
      <c r="J520" s="142"/>
      <c r="K520" s="142"/>
      <c r="L520" s="142"/>
      <c r="M520" s="142"/>
      <c r="O520" s="236"/>
    </row>
    <row r="521" spans="1:15" s="52" customFormat="1" ht="18" customHeight="1" thickBot="1">
      <c r="A521" s="143"/>
      <c r="B521" s="143"/>
      <c r="C521" s="143"/>
      <c r="D521" s="143"/>
      <c r="E521" s="143"/>
      <c r="F521" s="143"/>
      <c r="G521" s="143"/>
      <c r="H521" s="143"/>
      <c r="I521" s="143"/>
      <c r="J521" s="143"/>
      <c r="K521" s="143"/>
      <c r="L521" s="143"/>
      <c r="M521" s="143"/>
      <c r="O521" s="236"/>
    </row>
    <row r="522" spans="1:15" ht="18" customHeight="1">
      <c r="A522" s="255"/>
      <c r="B522" s="256"/>
      <c r="C522" s="256"/>
      <c r="D522" s="256"/>
      <c r="E522" s="256"/>
      <c r="F522" s="257"/>
      <c r="G522" s="258"/>
      <c r="H522" s="259"/>
      <c r="I522" s="259" t="s">
        <v>6</v>
      </c>
      <c r="J522" s="520" t="s">
        <v>545</v>
      </c>
      <c r="K522" s="521"/>
      <c r="L522" s="522"/>
      <c r="M522" s="260" t="s">
        <v>7</v>
      </c>
    </row>
    <row r="523" spans="1:15" ht="18" customHeight="1">
      <c r="A523" s="523"/>
      <c r="B523" s="524"/>
      <c r="C523" s="524"/>
      <c r="D523" s="524"/>
      <c r="E523" s="524"/>
      <c r="F523" s="525"/>
      <c r="G523" s="448"/>
      <c r="H523" s="261"/>
      <c r="I523" s="261">
        <v>2022</v>
      </c>
      <c r="J523" s="261" t="s">
        <v>192</v>
      </c>
      <c r="K523" s="261" t="s">
        <v>193</v>
      </c>
      <c r="L523" s="261"/>
      <c r="M523" s="262">
        <v>2024</v>
      </c>
    </row>
    <row r="524" spans="1:15" ht="18" customHeight="1">
      <c r="A524" s="523" t="s">
        <v>13</v>
      </c>
      <c r="B524" s="524"/>
      <c r="C524" s="524"/>
      <c r="D524" s="524"/>
      <c r="E524" s="524"/>
      <c r="F524" s="525"/>
      <c r="G524" s="263"/>
      <c r="H524" s="264" t="s">
        <v>243</v>
      </c>
      <c r="I524" s="261" t="s">
        <v>191</v>
      </c>
      <c r="J524" s="261" t="s">
        <v>191</v>
      </c>
      <c r="K524" s="261" t="s">
        <v>194</v>
      </c>
      <c r="L524" s="261" t="s">
        <v>11</v>
      </c>
      <c r="M524" s="262" t="s">
        <v>196</v>
      </c>
    </row>
    <row r="525" spans="1:15" ht="18" customHeight="1">
      <c r="A525" s="265"/>
      <c r="B525" s="266"/>
      <c r="C525" s="266"/>
      <c r="D525" s="266"/>
      <c r="E525" s="266"/>
      <c r="F525" s="267"/>
      <c r="G525" s="263"/>
      <c r="H525" s="261"/>
      <c r="I525" s="261"/>
      <c r="J525" s="261">
        <v>2023</v>
      </c>
      <c r="K525" s="261">
        <v>2023</v>
      </c>
      <c r="L525" s="261"/>
      <c r="M525" s="262"/>
    </row>
    <row r="526" spans="1:15" ht="18" customHeight="1" thickBot="1">
      <c r="A526" s="526"/>
      <c r="B526" s="527"/>
      <c r="C526" s="527"/>
      <c r="D526" s="527"/>
      <c r="E526" s="527"/>
      <c r="F526" s="528"/>
      <c r="G526" s="449"/>
      <c r="H526" s="268"/>
      <c r="I526" s="369"/>
      <c r="J526" s="268"/>
      <c r="K526" s="268"/>
      <c r="L526" s="268"/>
      <c r="M526" s="269"/>
    </row>
    <row r="527" spans="1:15" ht="18" customHeight="1">
      <c r="A527" s="462"/>
      <c r="B527" s="193" t="s">
        <v>66</v>
      </c>
      <c r="C527" s="283"/>
      <c r="D527" s="193"/>
      <c r="E527" s="193"/>
      <c r="F527" s="463"/>
      <c r="G527" s="464"/>
      <c r="H527" s="489"/>
      <c r="I527" s="490"/>
      <c r="J527" s="491"/>
      <c r="K527" s="491"/>
      <c r="L527" s="491"/>
      <c r="M527" s="491"/>
    </row>
    <row r="528" spans="1:15" ht="18" customHeight="1">
      <c r="A528" s="270"/>
      <c r="B528" s="271"/>
      <c r="C528" s="271" t="s">
        <v>148</v>
      </c>
      <c r="D528" s="271"/>
      <c r="E528" s="271"/>
      <c r="F528" s="272"/>
      <c r="G528" s="273"/>
      <c r="H528" s="288"/>
      <c r="I528" s="289"/>
      <c r="J528" s="77"/>
      <c r="K528" s="77"/>
      <c r="L528" s="77"/>
      <c r="M528" s="77"/>
    </row>
    <row r="529" spans="1:13" ht="18" customHeight="1">
      <c r="A529" s="270"/>
      <c r="B529" s="271"/>
      <c r="C529" s="271"/>
      <c r="D529" s="271" t="s">
        <v>149</v>
      </c>
      <c r="E529" s="271"/>
      <c r="F529" s="272"/>
      <c r="G529" s="273" t="s">
        <v>213</v>
      </c>
      <c r="H529" s="275" t="s">
        <v>257</v>
      </c>
      <c r="I529" s="190">
        <v>2789275</v>
      </c>
      <c r="J529" s="62">
        <v>2963289.46</v>
      </c>
      <c r="K529" s="62">
        <f>3355973.69-J529</f>
        <v>392684.23</v>
      </c>
      <c r="L529" s="62">
        <f>SUM(K529+J529)</f>
        <v>3355973.69</v>
      </c>
      <c r="M529" s="62">
        <v>3424541</v>
      </c>
    </row>
    <row r="530" spans="1:13" ht="18" customHeight="1">
      <c r="A530" s="270"/>
      <c r="B530" s="271"/>
      <c r="C530" s="271" t="s">
        <v>150</v>
      </c>
      <c r="D530" s="271"/>
      <c r="E530" s="271"/>
      <c r="F530" s="272"/>
      <c r="G530" s="273"/>
      <c r="H530" s="288"/>
      <c r="I530" s="190"/>
      <c r="J530" s="62"/>
      <c r="K530" s="62"/>
      <c r="L530" s="62"/>
      <c r="M530" s="62"/>
    </row>
    <row r="531" spans="1:13" ht="18" customHeight="1">
      <c r="A531" s="270"/>
      <c r="B531" s="271"/>
      <c r="C531" s="271"/>
      <c r="D531" s="271" t="s">
        <v>151</v>
      </c>
      <c r="E531" s="271"/>
      <c r="F531" s="272"/>
      <c r="G531" s="273" t="s">
        <v>214</v>
      </c>
      <c r="H531" s="275" t="s">
        <v>258</v>
      </c>
      <c r="I531" s="190">
        <v>266000</v>
      </c>
      <c r="J531" s="62">
        <v>265818.18</v>
      </c>
      <c r="K531" s="62">
        <f>312000-J531</f>
        <v>46181.820000000007</v>
      </c>
      <c r="L531" s="62">
        <f t="shared" ref="L531:L550" si="27">SUM(K531+J531)</f>
        <v>312000</v>
      </c>
      <c r="M531" s="62">
        <v>312000</v>
      </c>
    </row>
    <row r="532" spans="1:13" ht="18" customHeight="1">
      <c r="A532" s="270"/>
      <c r="B532" s="271"/>
      <c r="C532" s="271"/>
      <c r="D532" s="271" t="s">
        <v>161</v>
      </c>
      <c r="E532" s="271"/>
      <c r="F532" s="272"/>
      <c r="G532" s="273" t="s">
        <v>215</v>
      </c>
      <c r="H532" s="275" t="s">
        <v>259</v>
      </c>
      <c r="I532" s="190">
        <v>76500</v>
      </c>
      <c r="J532" s="62">
        <v>76500</v>
      </c>
      <c r="K532" s="62">
        <f>76500-J532</f>
        <v>0</v>
      </c>
      <c r="L532" s="62">
        <f t="shared" si="27"/>
        <v>76500</v>
      </c>
      <c r="M532" s="62">
        <v>76500</v>
      </c>
    </row>
    <row r="533" spans="1:13" ht="18" customHeight="1">
      <c r="A533" s="270"/>
      <c r="B533" s="271"/>
      <c r="C533" s="271"/>
      <c r="D533" s="271" t="s">
        <v>160</v>
      </c>
      <c r="E533" s="271"/>
      <c r="F533" s="272"/>
      <c r="G533" s="273" t="s">
        <v>216</v>
      </c>
      <c r="H533" s="275" t="s">
        <v>260</v>
      </c>
      <c r="I533" s="190">
        <v>76500</v>
      </c>
      <c r="J533" s="62">
        <v>76500</v>
      </c>
      <c r="K533" s="62">
        <f>76500-J533</f>
        <v>0</v>
      </c>
      <c r="L533" s="62">
        <f t="shared" si="27"/>
        <v>76500</v>
      </c>
      <c r="M533" s="62">
        <v>76500</v>
      </c>
    </row>
    <row r="534" spans="1:13" ht="18" customHeight="1">
      <c r="A534" s="270"/>
      <c r="B534" s="271"/>
      <c r="C534" s="271"/>
      <c r="D534" s="271" t="s">
        <v>162</v>
      </c>
      <c r="E534" s="271"/>
      <c r="F534" s="272"/>
      <c r="G534" s="273" t="s">
        <v>217</v>
      </c>
      <c r="H534" s="275" t="s">
        <v>261</v>
      </c>
      <c r="I534" s="190">
        <v>72000</v>
      </c>
      <c r="J534" s="62">
        <v>66000</v>
      </c>
      <c r="K534" s="62">
        <f>78000-J534</f>
        <v>12000</v>
      </c>
      <c r="L534" s="62">
        <f t="shared" si="27"/>
        <v>78000</v>
      </c>
      <c r="M534" s="62">
        <v>78000</v>
      </c>
    </row>
    <row r="535" spans="1:13" ht="18" customHeight="1">
      <c r="A535" s="270"/>
      <c r="B535" s="271"/>
      <c r="C535" s="271"/>
      <c r="D535" s="271" t="s">
        <v>255</v>
      </c>
      <c r="E535" s="271"/>
      <c r="F535" s="272"/>
      <c r="G535" s="273" t="s">
        <v>219</v>
      </c>
      <c r="H535" s="275" t="s">
        <v>262</v>
      </c>
      <c r="I535" s="190">
        <v>55000</v>
      </c>
      <c r="J535" s="62">
        <v>52000</v>
      </c>
      <c r="K535" s="62">
        <f>65000-J535</f>
        <v>13000</v>
      </c>
      <c r="L535" s="62">
        <f t="shared" si="27"/>
        <v>65000</v>
      </c>
      <c r="M535" s="62">
        <v>65000</v>
      </c>
    </row>
    <row r="536" spans="1:13" ht="18" customHeight="1">
      <c r="A536" s="270"/>
      <c r="B536" s="271"/>
      <c r="C536" s="271"/>
      <c r="D536" s="271" t="s">
        <v>164</v>
      </c>
      <c r="E536" s="271"/>
      <c r="F536" s="272"/>
      <c r="G536" s="273" t="s">
        <v>108</v>
      </c>
      <c r="H536" s="275" t="s">
        <v>263</v>
      </c>
      <c r="I536" s="190">
        <v>5000</v>
      </c>
      <c r="J536" s="62">
        <v>10000</v>
      </c>
      <c r="K536" s="62">
        <f>15000-J536</f>
        <v>5000</v>
      </c>
      <c r="L536" s="62">
        <f t="shared" si="27"/>
        <v>15000</v>
      </c>
      <c r="M536" s="62">
        <v>10000</v>
      </c>
    </row>
    <row r="537" spans="1:13" ht="18" hidden="1" customHeight="1">
      <c r="A537" s="270"/>
      <c r="B537" s="271"/>
      <c r="C537" s="271"/>
      <c r="D537" s="271" t="s">
        <v>487</v>
      </c>
      <c r="E537" s="271"/>
      <c r="F537" s="272"/>
      <c r="G537" s="273" t="s">
        <v>108</v>
      </c>
      <c r="H537" s="275" t="s">
        <v>263</v>
      </c>
      <c r="I537" s="190">
        <v>0</v>
      </c>
      <c r="J537" s="62">
        <v>0</v>
      </c>
      <c r="K537" s="62">
        <f>0-J537</f>
        <v>0</v>
      </c>
      <c r="L537" s="62">
        <f t="shared" si="27"/>
        <v>0</v>
      </c>
      <c r="M537" s="62">
        <v>0</v>
      </c>
    </row>
    <row r="538" spans="1:13" ht="18" customHeight="1">
      <c r="A538" s="270"/>
      <c r="B538" s="271"/>
      <c r="C538" s="271"/>
      <c r="D538" s="271" t="s">
        <v>475</v>
      </c>
      <c r="E538" s="271"/>
      <c r="F538" s="272"/>
      <c r="G538" s="273"/>
      <c r="H538" s="275" t="s">
        <v>263</v>
      </c>
      <c r="I538" s="190">
        <v>158717.65</v>
      </c>
      <c r="J538" s="62">
        <v>0</v>
      </c>
      <c r="K538" s="62">
        <f>0-J538</f>
        <v>0</v>
      </c>
      <c r="L538" s="62">
        <f t="shared" si="27"/>
        <v>0</v>
      </c>
      <c r="M538" s="62">
        <v>0</v>
      </c>
    </row>
    <row r="539" spans="1:13" ht="18" customHeight="1">
      <c r="A539" s="270"/>
      <c r="B539" s="271"/>
      <c r="C539" s="271"/>
      <c r="D539" s="271" t="s">
        <v>67</v>
      </c>
      <c r="E539" s="271"/>
      <c r="F539" s="272"/>
      <c r="G539" s="273" t="s">
        <v>221</v>
      </c>
      <c r="H539" s="275" t="s">
        <v>280</v>
      </c>
      <c r="I539" s="190">
        <v>100000</v>
      </c>
      <c r="J539" s="62">
        <v>203529.67</v>
      </c>
      <c r="K539" s="62">
        <f>205000-J539</f>
        <v>1470.3299999999872</v>
      </c>
      <c r="L539" s="62">
        <f t="shared" si="27"/>
        <v>205000</v>
      </c>
      <c r="M539" s="62">
        <v>25000</v>
      </c>
    </row>
    <row r="540" spans="1:13" ht="18" customHeight="1">
      <c r="A540" s="270"/>
      <c r="B540" s="271"/>
      <c r="C540" s="271"/>
      <c r="D540" s="271" t="s">
        <v>166</v>
      </c>
      <c r="E540" s="271"/>
      <c r="F540" s="272"/>
      <c r="G540" s="273" t="s">
        <v>222</v>
      </c>
      <c r="H540" s="275" t="s">
        <v>264</v>
      </c>
      <c r="I540" s="190">
        <v>55000</v>
      </c>
      <c r="J540" s="62">
        <v>55000</v>
      </c>
      <c r="K540" s="62">
        <f>65000-J540</f>
        <v>10000</v>
      </c>
      <c r="L540" s="62">
        <f t="shared" si="27"/>
        <v>65000</v>
      </c>
      <c r="M540" s="62">
        <v>65000</v>
      </c>
    </row>
    <row r="541" spans="1:13" ht="18" customHeight="1">
      <c r="A541" s="270"/>
      <c r="B541" s="271"/>
      <c r="C541" s="271"/>
      <c r="D541" s="271" t="s">
        <v>374</v>
      </c>
      <c r="E541" s="271"/>
      <c r="F541" s="271"/>
      <c r="G541" s="277" t="s">
        <v>108</v>
      </c>
      <c r="H541" s="275" t="s">
        <v>263</v>
      </c>
      <c r="I541" s="190">
        <v>232518</v>
      </c>
      <c r="J541" s="62">
        <v>256211</v>
      </c>
      <c r="K541" s="62">
        <f>284855-J541</f>
        <v>28644</v>
      </c>
      <c r="L541" s="62">
        <f t="shared" si="27"/>
        <v>284855</v>
      </c>
      <c r="M541" s="62">
        <v>284622</v>
      </c>
    </row>
    <row r="542" spans="1:13" ht="18" customHeight="1">
      <c r="A542" s="270"/>
      <c r="B542" s="271"/>
      <c r="C542" s="271"/>
      <c r="D542" s="271" t="s">
        <v>167</v>
      </c>
      <c r="E542" s="271"/>
      <c r="F542" s="272"/>
      <c r="G542" s="273" t="s">
        <v>223</v>
      </c>
      <c r="H542" s="275" t="s">
        <v>265</v>
      </c>
      <c r="I542" s="190">
        <v>232622</v>
      </c>
      <c r="J542" s="62">
        <v>252005.6</v>
      </c>
      <c r="K542" s="62">
        <f>284855-J542</f>
        <v>32849.399999999994</v>
      </c>
      <c r="L542" s="62">
        <f t="shared" si="27"/>
        <v>284855</v>
      </c>
      <c r="M542" s="62">
        <v>286019</v>
      </c>
    </row>
    <row r="543" spans="1:13" ht="18" customHeight="1">
      <c r="A543" s="270"/>
      <c r="B543" s="271"/>
      <c r="C543" s="271"/>
      <c r="D543" s="271" t="s">
        <v>249</v>
      </c>
      <c r="E543" s="271"/>
      <c r="F543" s="272"/>
      <c r="G543" s="273" t="s">
        <v>224</v>
      </c>
      <c r="H543" s="275" t="s">
        <v>266</v>
      </c>
      <c r="I543" s="190">
        <v>337150</v>
      </c>
      <c r="J543" s="62">
        <v>355541.6</v>
      </c>
      <c r="K543" s="62">
        <f>410500-J543</f>
        <v>54958.400000000023</v>
      </c>
      <c r="L543" s="62">
        <f t="shared" si="27"/>
        <v>410500</v>
      </c>
      <c r="M543" s="62">
        <v>411000</v>
      </c>
    </row>
    <row r="544" spans="1:13" ht="18" customHeight="1">
      <c r="A544" s="270"/>
      <c r="B544" s="271"/>
      <c r="C544" s="271"/>
      <c r="D544" s="271" t="s">
        <v>168</v>
      </c>
      <c r="E544" s="271"/>
      <c r="F544" s="272"/>
      <c r="G544" s="273" t="s">
        <v>225</v>
      </c>
      <c r="H544" s="275" t="s">
        <v>267</v>
      </c>
      <c r="I544" s="190">
        <v>19950</v>
      </c>
      <c r="J544" s="62">
        <v>13200</v>
      </c>
      <c r="K544" s="62">
        <f>23400-J544</f>
        <v>10200</v>
      </c>
      <c r="L544" s="62">
        <f t="shared" si="27"/>
        <v>23400</v>
      </c>
      <c r="M544" s="62">
        <v>23400</v>
      </c>
    </row>
    <row r="545" spans="1:13" ht="18" customHeight="1">
      <c r="A545" s="270"/>
      <c r="B545" s="271"/>
      <c r="C545" s="271"/>
      <c r="D545" s="271" t="s">
        <v>169</v>
      </c>
      <c r="E545" s="271"/>
      <c r="F545" s="272"/>
      <c r="G545" s="273" t="s">
        <v>226</v>
      </c>
      <c r="H545" s="275" t="s">
        <v>268</v>
      </c>
      <c r="I545" s="190">
        <v>58400</v>
      </c>
      <c r="J545" s="62">
        <v>58264.24</v>
      </c>
      <c r="K545" s="62">
        <f>77000-J545</f>
        <v>18735.760000000002</v>
      </c>
      <c r="L545" s="62">
        <f t="shared" si="27"/>
        <v>77000</v>
      </c>
      <c r="M545" s="62">
        <v>86000</v>
      </c>
    </row>
    <row r="546" spans="1:13" ht="18" customHeight="1">
      <c r="A546" s="270"/>
      <c r="B546" s="271"/>
      <c r="C546" s="271"/>
      <c r="D546" s="271" t="s">
        <v>248</v>
      </c>
      <c r="E546" s="271"/>
      <c r="F546" s="272"/>
      <c r="G546" s="273" t="s">
        <v>227</v>
      </c>
      <c r="H546" s="275" t="s">
        <v>269</v>
      </c>
      <c r="I546" s="190">
        <v>13300</v>
      </c>
      <c r="J546" s="62">
        <v>13200</v>
      </c>
      <c r="K546" s="62">
        <f>15600-J546</f>
        <v>2400</v>
      </c>
      <c r="L546" s="62">
        <f t="shared" si="27"/>
        <v>15600</v>
      </c>
      <c r="M546" s="62">
        <v>15600</v>
      </c>
    </row>
    <row r="547" spans="1:13" ht="18" customHeight="1">
      <c r="A547" s="270"/>
      <c r="B547" s="271"/>
      <c r="C547" s="271"/>
      <c r="D547" s="271" t="s">
        <v>69</v>
      </c>
      <c r="E547" s="271"/>
      <c r="F547" s="272"/>
      <c r="G547" s="273"/>
      <c r="H547" s="275" t="s">
        <v>270</v>
      </c>
      <c r="I547" s="190"/>
      <c r="J547" s="62">
        <v>62189.31</v>
      </c>
      <c r="K547" s="62">
        <f>62189.31-J547</f>
        <v>0</v>
      </c>
      <c r="L547" s="62">
        <f t="shared" si="27"/>
        <v>62189.31</v>
      </c>
      <c r="M547" s="62"/>
    </row>
    <row r="548" spans="1:13" ht="18" customHeight="1">
      <c r="A548" s="270"/>
      <c r="B548" s="271"/>
      <c r="C548" s="271"/>
      <c r="D548" s="271" t="s">
        <v>171</v>
      </c>
      <c r="E548" s="271"/>
      <c r="F548" s="272"/>
      <c r="G548" s="273" t="s">
        <v>82</v>
      </c>
      <c r="H548" s="275" t="s">
        <v>281</v>
      </c>
      <c r="I548" s="190">
        <v>0</v>
      </c>
      <c r="J548" s="62">
        <v>0</v>
      </c>
      <c r="K548" s="62">
        <f>0-J548</f>
        <v>0</v>
      </c>
      <c r="L548" s="62">
        <f t="shared" si="27"/>
        <v>0</v>
      </c>
      <c r="M548" s="62">
        <v>0</v>
      </c>
    </row>
    <row r="549" spans="1:13" ht="18" customHeight="1">
      <c r="A549" s="270"/>
      <c r="B549" s="271"/>
      <c r="C549" s="271"/>
      <c r="D549" s="271" t="s">
        <v>476</v>
      </c>
      <c r="E549" s="271"/>
      <c r="F549" s="272"/>
      <c r="G549" s="273"/>
      <c r="H549" s="275" t="s">
        <v>281</v>
      </c>
      <c r="I549" s="190">
        <v>220000</v>
      </c>
      <c r="J549" s="62">
        <v>206000</v>
      </c>
      <c r="K549" s="62">
        <f>206000-J549</f>
        <v>0</v>
      </c>
      <c r="L549" s="62">
        <f t="shared" si="27"/>
        <v>206000</v>
      </c>
      <c r="M549" s="62">
        <v>0</v>
      </c>
    </row>
    <row r="550" spans="1:13" ht="18" customHeight="1">
      <c r="A550" s="270"/>
      <c r="B550" s="271"/>
      <c r="C550" s="271"/>
      <c r="D550" s="271" t="s">
        <v>502</v>
      </c>
      <c r="E550" s="271"/>
      <c r="F550" s="272"/>
      <c r="G550" s="273"/>
      <c r="H550" s="275" t="s">
        <v>281</v>
      </c>
      <c r="I550" s="190"/>
      <c r="J550" s="62">
        <v>342500</v>
      </c>
      <c r="K550" s="62">
        <f>342500-J550</f>
        <v>0</v>
      </c>
      <c r="L550" s="62">
        <f t="shared" si="27"/>
        <v>342500</v>
      </c>
      <c r="M550" s="62"/>
    </row>
    <row r="551" spans="1:13" ht="18" customHeight="1">
      <c r="A551" s="278"/>
      <c r="B551" s="279"/>
      <c r="C551" s="279"/>
      <c r="D551" s="279" t="s">
        <v>68</v>
      </c>
      <c r="E551" s="279"/>
      <c r="F551" s="280"/>
      <c r="G551" s="281"/>
      <c r="H551" s="290"/>
      <c r="I551" s="171">
        <f>SUM(I529:I550)</f>
        <v>4767932.6500000004</v>
      </c>
      <c r="J551" s="171">
        <f t="shared" ref="J551:M551" si="28">SUM(J529:J550)</f>
        <v>5327749.0599999996</v>
      </c>
      <c r="K551" s="171">
        <f t="shared" si="28"/>
        <v>628123.94000000006</v>
      </c>
      <c r="L551" s="171">
        <f t="shared" si="28"/>
        <v>5955872.9999999991</v>
      </c>
      <c r="M551" s="171">
        <f t="shared" si="28"/>
        <v>5239182</v>
      </c>
    </row>
    <row r="552" spans="1:13" ht="18" customHeight="1">
      <c r="A552" s="270"/>
      <c r="B552" s="271" t="s">
        <v>172</v>
      </c>
      <c r="C552" s="271"/>
      <c r="D552" s="271"/>
      <c r="E552" s="271"/>
      <c r="F552" s="272"/>
      <c r="G552" s="273"/>
      <c r="H552" s="288"/>
      <c r="I552" s="190"/>
      <c r="J552" s="62"/>
      <c r="K552" s="62"/>
      <c r="L552" s="62"/>
      <c r="M552" s="62"/>
    </row>
    <row r="553" spans="1:13" ht="18" customHeight="1">
      <c r="A553" s="270"/>
      <c r="B553" s="271"/>
      <c r="C553" s="271"/>
      <c r="D553" s="271" t="s">
        <v>173</v>
      </c>
      <c r="E553" s="271"/>
      <c r="F553" s="272"/>
      <c r="G553" s="273" t="s">
        <v>75</v>
      </c>
      <c r="H553" s="275" t="s">
        <v>271</v>
      </c>
      <c r="I553" s="190">
        <v>78827</v>
      </c>
      <c r="J553" s="62">
        <v>161557</v>
      </c>
      <c r="K553" s="62">
        <f>180000-J553</f>
        <v>18443</v>
      </c>
      <c r="L553" s="62">
        <f t="shared" ref="L553:L562" si="29">SUM(K553+J553)</f>
        <v>180000</v>
      </c>
      <c r="M553" s="62">
        <v>150000</v>
      </c>
    </row>
    <row r="554" spans="1:13" ht="18" customHeight="1">
      <c r="A554" s="270"/>
      <c r="B554" s="271"/>
      <c r="C554" s="271"/>
      <c r="D554" s="271" t="s">
        <v>107</v>
      </c>
      <c r="E554" s="271"/>
      <c r="F554" s="272"/>
      <c r="G554" s="273" t="s">
        <v>76</v>
      </c>
      <c r="H554" s="275" t="s">
        <v>272</v>
      </c>
      <c r="I554" s="190">
        <v>56464</v>
      </c>
      <c r="J554" s="62">
        <v>93521.23</v>
      </c>
      <c r="K554" s="62">
        <f>100000-J554</f>
        <v>6478.7700000000041</v>
      </c>
      <c r="L554" s="62">
        <f t="shared" si="29"/>
        <v>100000</v>
      </c>
      <c r="M554" s="62">
        <v>100000</v>
      </c>
    </row>
    <row r="555" spans="1:13" ht="18" customHeight="1">
      <c r="A555" s="270"/>
      <c r="B555" s="271"/>
      <c r="C555" s="271"/>
      <c r="D555" s="271" t="s">
        <v>73</v>
      </c>
      <c r="E555" s="271"/>
      <c r="F555" s="272"/>
      <c r="G555" s="273" t="s">
        <v>78</v>
      </c>
      <c r="H555" s="275" t="s">
        <v>273</v>
      </c>
      <c r="I555" s="190">
        <v>158222.20000000001</v>
      </c>
      <c r="J555" s="62">
        <v>94585</v>
      </c>
      <c r="K555" s="62">
        <f>95000-J555</f>
        <v>415</v>
      </c>
      <c r="L555" s="62">
        <f t="shared" si="29"/>
        <v>95000</v>
      </c>
      <c r="M555" s="62">
        <v>300000</v>
      </c>
    </row>
    <row r="556" spans="1:13" ht="18" customHeight="1">
      <c r="A556" s="270"/>
      <c r="B556" s="271"/>
      <c r="C556" s="271"/>
      <c r="D556" s="271" t="s">
        <v>174</v>
      </c>
      <c r="E556" s="271"/>
      <c r="F556" s="272"/>
      <c r="G556" s="273" t="s">
        <v>230</v>
      </c>
      <c r="H556" s="275" t="s">
        <v>282</v>
      </c>
      <c r="I556" s="190">
        <v>307900</v>
      </c>
      <c r="J556" s="62">
        <v>148475</v>
      </c>
      <c r="K556" s="62">
        <f>200000-J556</f>
        <v>51525</v>
      </c>
      <c r="L556" s="62">
        <f t="shared" si="29"/>
        <v>200000</v>
      </c>
      <c r="M556" s="62">
        <v>300000</v>
      </c>
    </row>
    <row r="557" spans="1:13" ht="18" customHeight="1">
      <c r="A557" s="270"/>
      <c r="B557" s="271"/>
      <c r="C557" s="271"/>
      <c r="D557" s="271" t="s">
        <v>177</v>
      </c>
      <c r="E557" s="271"/>
      <c r="F557" s="272"/>
      <c r="G557" s="273" t="s">
        <v>232</v>
      </c>
      <c r="H557" s="275" t="s">
        <v>274</v>
      </c>
      <c r="I557" s="190">
        <v>0</v>
      </c>
      <c r="J557" s="62">
        <v>2800</v>
      </c>
      <c r="K557" s="62">
        <f>5000-J557</f>
        <v>2200</v>
      </c>
      <c r="L557" s="62">
        <f t="shared" si="29"/>
        <v>5000</v>
      </c>
      <c r="M557" s="62">
        <v>5000</v>
      </c>
    </row>
    <row r="558" spans="1:13" ht="18" customHeight="1">
      <c r="A558" s="270"/>
      <c r="B558" s="271"/>
      <c r="C558" s="271"/>
      <c r="D558" s="271" t="s">
        <v>179</v>
      </c>
      <c r="E558" s="271"/>
      <c r="F558" s="272"/>
      <c r="G558" s="273" t="s">
        <v>79</v>
      </c>
      <c r="H558" s="275" t="s">
        <v>275</v>
      </c>
      <c r="I558" s="190">
        <v>36000</v>
      </c>
      <c r="J558" s="62">
        <v>36000</v>
      </c>
      <c r="K558" s="62">
        <f>36000-J558</f>
        <v>0</v>
      </c>
      <c r="L558" s="62">
        <f t="shared" si="29"/>
        <v>36000</v>
      </c>
      <c r="M558" s="62">
        <v>36000</v>
      </c>
    </row>
    <row r="559" spans="1:13" ht="18" customHeight="1">
      <c r="A559" s="270"/>
      <c r="B559" s="271"/>
      <c r="C559" s="271"/>
      <c r="D559" s="271" t="s">
        <v>432</v>
      </c>
      <c r="E559" s="271"/>
      <c r="F559" s="272"/>
      <c r="G559" s="273" t="s">
        <v>80</v>
      </c>
      <c r="H559" s="275" t="s">
        <v>276</v>
      </c>
      <c r="I559" s="190">
        <v>32175</v>
      </c>
      <c r="J559" s="62">
        <v>34250</v>
      </c>
      <c r="K559" s="62">
        <f>47500-J559</f>
        <v>13250</v>
      </c>
      <c r="L559" s="62">
        <f t="shared" si="29"/>
        <v>47500</v>
      </c>
      <c r="M559" s="62">
        <v>100000</v>
      </c>
    </row>
    <row r="560" spans="1:13" ht="18" customHeight="1">
      <c r="A560" s="270"/>
      <c r="B560" s="271"/>
      <c r="C560" s="271"/>
      <c r="D560" s="271" t="s">
        <v>184</v>
      </c>
      <c r="E560" s="271"/>
      <c r="F560" s="272"/>
      <c r="G560" s="273" t="s">
        <v>239</v>
      </c>
      <c r="H560" s="275" t="s">
        <v>290</v>
      </c>
      <c r="I560" s="190">
        <v>274053.75</v>
      </c>
      <c r="J560" s="62">
        <v>270993.13</v>
      </c>
      <c r="K560" s="62">
        <f>300000-J560</f>
        <v>29006.869999999995</v>
      </c>
      <c r="L560" s="62">
        <f t="shared" si="29"/>
        <v>300000</v>
      </c>
      <c r="M560" s="62">
        <v>400000</v>
      </c>
    </row>
    <row r="561" spans="1:15" ht="18" customHeight="1">
      <c r="A561" s="270"/>
      <c r="B561" s="271"/>
      <c r="C561" s="271"/>
      <c r="D561" s="271" t="s">
        <v>185</v>
      </c>
      <c r="E561" s="271"/>
      <c r="F561" s="272"/>
      <c r="G561" s="273" t="s">
        <v>81</v>
      </c>
      <c r="H561" s="275" t="s">
        <v>277</v>
      </c>
      <c r="I561" s="190">
        <v>2100</v>
      </c>
      <c r="J561" s="62">
        <v>5220</v>
      </c>
      <c r="K561" s="62">
        <f>25000-J561</f>
        <v>19780</v>
      </c>
      <c r="L561" s="62">
        <f t="shared" si="29"/>
        <v>25000</v>
      </c>
      <c r="M561" s="62">
        <v>40000</v>
      </c>
    </row>
    <row r="562" spans="1:15" ht="18" customHeight="1">
      <c r="A562" s="270"/>
      <c r="B562" s="271"/>
      <c r="C562" s="271"/>
      <c r="D562" s="271" t="s">
        <v>502</v>
      </c>
      <c r="E562" s="271"/>
      <c r="F562" s="272"/>
      <c r="G562" s="273"/>
      <c r="H562" s="275" t="s">
        <v>277</v>
      </c>
      <c r="I562" s="190">
        <v>275000</v>
      </c>
      <c r="J562" s="62">
        <v>0</v>
      </c>
      <c r="K562" s="62">
        <f>0-J562</f>
        <v>0</v>
      </c>
      <c r="L562" s="62">
        <f t="shared" si="29"/>
        <v>0</v>
      </c>
      <c r="M562" s="62">
        <v>0</v>
      </c>
    </row>
    <row r="563" spans="1:15" ht="18" customHeight="1">
      <c r="A563" s="278"/>
      <c r="B563" s="279"/>
      <c r="C563" s="279"/>
      <c r="D563" s="279" t="s">
        <v>322</v>
      </c>
      <c r="E563" s="279"/>
      <c r="F563" s="280"/>
      <c r="G563" s="281"/>
      <c r="H563" s="290"/>
      <c r="I563" s="171">
        <f>SUM(I553:I562)</f>
        <v>1220741.95</v>
      </c>
      <c r="J563" s="171">
        <f>SUM(J553:J562)</f>
        <v>847401.36</v>
      </c>
      <c r="K563" s="171">
        <f>SUM(K553:K562)</f>
        <v>141098.64000000001</v>
      </c>
      <c r="L563" s="171">
        <f>SUM(L553:L562)</f>
        <v>988500</v>
      </c>
      <c r="M563" s="171">
        <f>SUM(M553:M562)</f>
        <v>1431000</v>
      </c>
    </row>
    <row r="564" spans="1:15" ht="18" customHeight="1">
      <c r="A564" s="270"/>
      <c r="B564" s="271" t="s">
        <v>186</v>
      </c>
      <c r="C564" s="271"/>
      <c r="D564" s="271"/>
      <c r="E564" s="271"/>
      <c r="F564" s="272"/>
      <c r="G564" s="273"/>
      <c r="H564" s="288"/>
      <c r="I564" s="190"/>
      <c r="J564" s="62"/>
      <c r="K564" s="62"/>
      <c r="L564" s="62"/>
      <c r="M564" s="62"/>
    </row>
    <row r="565" spans="1:15" ht="18" customHeight="1">
      <c r="A565" s="270"/>
      <c r="B565" s="271"/>
      <c r="C565" s="271"/>
      <c r="D565" s="271" t="s">
        <v>256</v>
      </c>
      <c r="E565" s="271"/>
      <c r="F565" s="272"/>
      <c r="G565" s="273" t="s">
        <v>409</v>
      </c>
      <c r="H565" s="275" t="s">
        <v>410</v>
      </c>
      <c r="I565" s="190">
        <v>27500</v>
      </c>
      <c r="J565" s="62">
        <v>0</v>
      </c>
      <c r="K565" s="62">
        <f>0-J565</f>
        <v>0</v>
      </c>
      <c r="L565" s="62">
        <f>SUM(K565+J565)</f>
        <v>0</v>
      </c>
      <c r="M565" s="62">
        <v>60000</v>
      </c>
    </row>
    <row r="566" spans="1:15" ht="18" customHeight="1">
      <c r="A566" s="270"/>
      <c r="B566" s="271"/>
      <c r="C566" s="271"/>
      <c r="D566" s="271" t="s">
        <v>408</v>
      </c>
      <c r="E566" s="271"/>
      <c r="F566" s="272"/>
      <c r="G566" s="273" t="s">
        <v>411</v>
      </c>
      <c r="H566" s="275" t="s">
        <v>481</v>
      </c>
      <c r="I566" s="190">
        <v>358895</v>
      </c>
      <c r="J566" s="62">
        <v>0</v>
      </c>
      <c r="K566" s="62">
        <f t="shared" ref="K566" si="30">0-J566</f>
        <v>0</v>
      </c>
      <c r="L566" s="62">
        <f t="shared" ref="L566:L567" si="31">SUM(K566+J566)</f>
        <v>0</v>
      </c>
      <c r="M566" s="62">
        <v>80000</v>
      </c>
    </row>
    <row r="567" spans="1:15" ht="18" hidden="1" customHeight="1">
      <c r="A567" s="270"/>
      <c r="B567" s="271"/>
      <c r="C567" s="271"/>
      <c r="D567" s="271" t="s">
        <v>416</v>
      </c>
      <c r="E567" s="271"/>
      <c r="F567" s="272"/>
      <c r="G567" s="273"/>
      <c r="H567" s="275" t="s">
        <v>417</v>
      </c>
      <c r="I567" s="190">
        <v>0</v>
      </c>
      <c r="J567" s="62">
        <v>0</v>
      </c>
      <c r="K567" s="62">
        <f>0-J567</f>
        <v>0</v>
      </c>
      <c r="L567" s="62">
        <f t="shared" si="31"/>
        <v>0</v>
      </c>
      <c r="M567" s="62">
        <v>0</v>
      </c>
    </row>
    <row r="568" spans="1:15" ht="18" customHeight="1">
      <c r="A568" s="278"/>
      <c r="B568" s="279"/>
      <c r="C568" s="279"/>
      <c r="D568" s="279" t="s">
        <v>366</v>
      </c>
      <c r="E568" s="279"/>
      <c r="F568" s="280"/>
      <c r="G568" s="281"/>
      <c r="H568" s="290"/>
      <c r="I568" s="171">
        <f>SUM(I565:I567)</f>
        <v>386395</v>
      </c>
      <c r="J568" s="191">
        <f>SUM(J565:J567)</f>
        <v>0</v>
      </c>
      <c r="K568" s="191">
        <f>SUM(K565:K567)</f>
        <v>0</v>
      </c>
      <c r="L568" s="191">
        <f>SUM(L565:L567)</f>
        <v>0</v>
      </c>
      <c r="M568" s="191">
        <f>SUM(M565:M567)</f>
        <v>140000</v>
      </c>
    </row>
    <row r="569" spans="1:15" ht="5.0999999999999996" customHeight="1">
      <c r="A569" s="278"/>
      <c r="B569" s="279"/>
      <c r="C569" s="279"/>
      <c r="D569" s="279"/>
      <c r="E569" s="279"/>
      <c r="F569" s="280"/>
      <c r="G569" s="281"/>
      <c r="H569" s="290"/>
      <c r="I569" s="171"/>
      <c r="J569" s="191"/>
      <c r="K569" s="191"/>
      <c r="L569" s="191"/>
      <c r="M569" s="191"/>
    </row>
    <row r="570" spans="1:15" ht="18" customHeight="1">
      <c r="A570" s="282" t="s">
        <v>244</v>
      </c>
      <c r="B570" s="283"/>
      <c r="C570" s="283"/>
      <c r="D570" s="283"/>
      <c r="E570" s="283"/>
      <c r="F570" s="284"/>
      <c r="G570" s="285"/>
      <c r="H570" s="291"/>
      <c r="I570" s="188">
        <f>SUM(I568+I563+I551)</f>
        <v>6375069.6000000006</v>
      </c>
      <c r="J570" s="188">
        <f>SUM(J568+J563+J551)</f>
        <v>6175150.4199999999</v>
      </c>
      <c r="K570" s="188">
        <f>SUM(K568+K563+K551)</f>
        <v>769222.58000000007</v>
      </c>
      <c r="L570" s="188">
        <f>SUM(L568+L563+L551)</f>
        <v>6944372.9999999991</v>
      </c>
      <c r="M570" s="188">
        <f>SUM(M568+M563+M551)</f>
        <v>6810182</v>
      </c>
    </row>
    <row r="571" spans="1:15" ht="18" customHeight="1">
      <c r="A571" s="54"/>
      <c r="B571" s="71"/>
      <c r="C571" s="54"/>
      <c r="D571" s="54"/>
      <c r="E571" s="54"/>
      <c r="F571" s="54"/>
      <c r="G571" s="54"/>
      <c r="H571" s="135"/>
      <c r="I571" s="135"/>
      <c r="J571" s="72"/>
      <c r="K571" s="72"/>
      <c r="L571" s="72"/>
      <c r="M571" s="72"/>
    </row>
    <row r="572" spans="1:15" s="361" customFormat="1" ht="18" customHeight="1">
      <c r="A572" s="368" t="s">
        <v>556</v>
      </c>
      <c r="B572" s="368"/>
      <c r="C572" s="368"/>
      <c r="D572" s="368"/>
      <c r="E572" s="368"/>
      <c r="F572" s="368"/>
      <c r="G572" s="368"/>
      <c r="H572" s="368"/>
      <c r="I572" s="368"/>
      <c r="J572" s="368"/>
      <c r="K572" s="368"/>
      <c r="L572" s="368"/>
      <c r="M572" s="368"/>
      <c r="O572" s="236"/>
    </row>
    <row r="573" spans="1:15" s="361" customFormat="1" ht="18" customHeight="1">
      <c r="A573" s="362"/>
      <c r="B573" s="363"/>
      <c r="C573" s="362"/>
      <c r="D573" s="362"/>
      <c r="E573" s="362"/>
      <c r="F573" s="364"/>
      <c r="G573" s="362"/>
      <c r="H573" s="365"/>
      <c r="I573" s="365"/>
      <c r="K573" s="136"/>
      <c r="L573" s="136"/>
      <c r="M573" s="72"/>
      <c r="O573" s="236"/>
    </row>
    <row r="574" spans="1:15" s="367" customFormat="1" ht="20.100000000000001" customHeight="1">
      <c r="A574" s="139" t="s">
        <v>245</v>
      </c>
      <c r="B574" s="139"/>
      <c r="C574" s="361"/>
      <c r="D574" s="139"/>
      <c r="E574" s="139"/>
      <c r="F574" s="361"/>
      <c r="G574" s="139"/>
      <c r="H574" s="139"/>
      <c r="I574" s="139" t="s">
        <v>246</v>
      </c>
      <c r="J574" s="139"/>
      <c r="K574" s="139"/>
      <c r="L574" s="139" t="s">
        <v>43</v>
      </c>
      <c r="M574" s="139"/>
      <c r="O574" s="238"/>
    </row>
    <row r="575" spans="1:15" s="52" customFormat="1" ht="18" customHeight="1">
      <c r="A575" s="51"/>
      <c r="B575" s="50"/>
      <c r="D575" s="51"/>
      <c r="E575" s="51"/>
      <c r="G575" s="51"/>
      <c r="I575" s="51"/>
      <c r="J575" s="135"/>
      <c r="K575" s="76"/>
      <c r="L575" s="75"/>
      <c r="M575" s="136"/>
      <c r="O575" s="236"/>
    </row>
    <row r="576" spans="1:15" s="33" customFormat="1" ht="15" customHeight="1">
      <c r="A576" s="529" t="s">
        <v>33</v>
      </c>
      <c r="B576" s="529"/>
      <c r="C576" s="529"/>
      <c r="D576" s="529"/>
      <c r="E576" s="529"/>
      <c r="F576" s="529"/>
      <c r="G576" s="50"/>
      <c r="H576" s="73"/>
      <c r="I576" s="529" t="s">
        <v>12</v>
      </c>
      <c r="J576" s="529"/>
      <c r="K576" s="74"/>
      <c r="L576" s="529" t="s">
        <v>460</v>
      </c>
      <c r="M576" s="529"/>
      <c r="O576" s="236"/>
    </row>
    <row r="577" spans="1:15" s="33" customFormat="1" ht="15" customHeight="1">
      <c r="A577" s="517" t="s">
        <v>557</v>
      </c>
      <c r="B577" s="517"/>
      <c r="C577" s="517"/>
      <c r="D577" s="517"/>
      <c r="E577" s="517"/>
      <c r="F577" s="517"/>
      <c r="I577" s="518" t="s">
        <v>558</v>
      </c>
      <c r="J577" s="518"/>
      <c r="L577" s="517" t="s">
        <v>559</v>
      </c>
      <c r="M577" s="517"/>
      <c r="O577" s="236"/>
    </row>
    <row r="578" spans="1:15" s="33" customFormat="1" ht="15" customHeight="1">
      <c r="A578" s="167"/>
      <c r="B578" s="167"/>
      <c r="C578" s="167"/>
      <c r="D578" s="167"/>
      <c r="E578" s="167"/>
      <c r="F578" s="167"/>
      <c r="I578" s="167"/>
      <c r="J578" s="167"/>
      <c r="L578" s="167"/>
      <c r="M578" s="167"/>
      <c r="O578" s="236"/>
    </row>
    <row r="579" spans="1:15" s="33" customFormat="1" ht="15" customHeight="1">
      <c r="A579" s="519" t="s">
        <v>549</v>
      </c>
      <c r="B579" s="519"/>
      <c r="C579" s="519"/>
      <c r="D579" s="519"/>
      <c r="E579" s="519"/>
      <c r="F579" s="519"/>
      <c r="G579" s="519"/>
      <c r="H579" s="519"/>
      <c r="I579" s="519"/>
      <c r="J579" s="519"/>
      <c r="K579" s="519"/>
      <c r="L579" s="519"/>
      <c r="M579" s="519"/>
      <c r="O579" s="236"/>
    </row>
    <row r="580" spans="1:15" s="33" customFormat="1" ht="15" customHeight="1">
      <c r="O580" s="236"/>
    </row>
    <row r="581" spans="1:15" s="33" customFormat="1" ht="15.75">
      <c r="A581" s="142" t="s">
        <v>550</v>
      </c>
      <c r="B581" s="142"/>
      <c r="C581" s="142"/>
      <c r="D581" s="141"/>
      <c r="E581" s="141"/>
      <c r="F581" s="142" t="s">
        <v>37</v>
      </c>
      <c r="G581" s="142"/>
      <c r="H581" s="142"/>
      <c r="I581" s="142"/>
      <c r="J581" s="142" t="s">
        <v>551</v>
      </c>
      <c r="K581" s="142" t="str">
        <f>$K$9</f>
        <v>2024</v>
      </c>
      <c r="L581" s="142"/>
      <c r="M581" s="142"/>
      <c r="N581" s="164"/>
      <c r="O581" s="236"/>
    </row>
    <row r="582" spans="1:15" s="33" customFormat="1" ht="15.75">
      <c r="A582" s="142" t="s">
        <v>552</v>
      </c>
      <c r="B582" s="142"/>
      <c r="C582" s="142"/>
      <c r="D582" s="141"/>
      <c r="E582" s="142"/>
      <c r="F582" s="142" t="s">
        <v>554</v>
      </c>
      <c r="G582" s="142"/>
      <c r="H582" s="142"/>
      <c r="I582" s="142"/>
      <c r="J582" s="142" t="s">
        <v>553</v>
      </c>
      <c r="K582" s="50" t="s">
        <v>565</v>
      </c>
      <c r="L582" s="142"/>
      <c r="M582" s="142"/>
      <c r="O582" s="236"/>
    </row>
    <row r="583" spans="1:15" s="33" customFormat="1" ht="15.75">
      <c r="A583" s="142" t="s">
        <v>555</v>
      </c>
      <c r="B583" s="142"/>
      <c r="C583" s="142"/>
      <c r="D583" s="142"/>
      <c r="E583" s="142"/>
      <c r="F583" s="142"/>
      <c r="G583" s="142"/>
      <c r="H583" s="142"/>
      <c r="I583" s="142"/>
      <c r="J583" s="142"/>
      <c r="K583" s="142"/>
      <c r="L583" s="142"/>
      <c r="M583" s="142"/>
      <c r="O583" s="236"/>
    </row>
    <row r="584" spans="1:15" ht="18" customHeight="1" thickBot="1">
      <c r="A584" s="140"/>
      <c r="B584" s="140"/>
      <c r="C584" s="140"/>
      <c r="D584" s="140"/>
      <c r="E584" s="140"/>
      <c r="F584" s="140"/>
      <c r="G584" s="140"/>
      <c r="H584" s="140"/>
      <c r="I584" s="140"/>
      <c r="J584" s="140"/>
      <c r="K584" s="140"/>
      <c r="L584" s="140"/>
      <c r="M584" s="140"/>
    </row>
    <row r="585" spans="1:15" ht="18" customHeight="1">
      <c r="A585" s="255"/>
      <c r="B585" s="256"/>
      <c r="C585" s="256"/>
      <c r="D585" s="256"/>
      <c r="E585" s="256"/>
      <c r="F585" s="257"/>
      <c r="G585" s="258"/>
      <c r="H585" s="259"/>
      <c r="I585" s="259" t="s">
        <v>6</v>
      </c>
      <c r="J585" s="520" t="s">
        <v>545</v>
      </c>
      <c r="K585" s="521"/>
      <c r="L585" s="522"/>
      <c r="M585" s="260" t="s">
        <v>7</v>
      </c>
    </row>
    <row r="586" spans="1:15" ht="18" customHeight="1">
      <c r="A586" s="523"/>
      <c r="B586" s="524"/>
      <c r="C586" s="524"/>
      <c r="D586" s="524"/>
      <c r="E586" s="524"/>
      <c r="F586" s="525"/>
      <c r="G586" s="448"/>
      <c r="H586" s="261"/>
      <c r="I586" s="261">
        <v>2022</v>
      </c>
      <c r="J586" s="261" t="s">
        <v>192</v>
      </c>
      <c r="K586" s="261" t="s">
        <v>193</v>
      </c>
      <c r="L586" s="261"/>
      <c r="M586" s="262">
        <v>2024</v>
      </c>
    </row>
    <row r="587" spans="1:15" ht="18" customHeight="1">
      <c r="A587" s="523" t="s">
        <v>13</v>
      </c>
      <c r="B587" s="524"/>
      <c r="C587" s="524"/>
      <c r="D587" s="524"/>
      <c r="E587" s="524"/>
      <c r="F587" s="525"/>
      <c r="G587" s="263"/>
      <c r="H587" s="264" t="s">
        <v>243</v>
      </c>
      <c r="I587" s="261" t="s">
        <v>191</v>
      </c>
      <c r="J587" s="261" t="s">
        <v>191</v>
      </c>
      <c r="K587" s="261" t="s">
        <v>194</v>
      </c>
      <c r="L587" s="261" t="s">
        <v>11</v>
      </c>
      <c r="M587" s="262" t="s">
        <v>196</v>
      </c>
    </row>
    <row r="588" spans="1:15" ht="18" customHeight="1">
      <c r="A588" s="265"/>
      <c r="B588" s="266"/>
      <c r="C588" s="266"/>
      <c r="D588" s="266"/>
      <c r="E588" s="266"/>
      <c r="F588" s="267"/>
      <c r="G588" s="263"/>
      <c r="H588" s="261"/>
      <c r="I588" s="261"/>
      <c r="J588" s="261">
        <v>2023</v>
      </c>
      <c r="K588" s="261">
        <v>2023</v>
      </c>
      <c r="L588" s="261"/>
      <c r="M588" s="262"/>
    </row>
    <row r="589" spans="1:15" ht="18" customHeight="1" thickBot="1">
      <c r="A589" s="526"/>
      <c r="B589" s="527"/>
      <c r="C589" s="527"/>
      <c r="D589" s="527"/>
      <c r="E589" s="527"/>
      <c r="F589" s="528"/>
      <c r="G589" s="449"/>
      <c r="H589" s="268"/>
      <c r="I589" s="369"/>
      <c r="J589" s="268"/>
      <c r="K589" s="268"/>
      <c r="L589" s="268"/>
      <c r="M589" s="269"/>
    </row>
    <row r="590" spans="1:15" ht="18" customHeight="1">
      <c r="A590" s="462"/>
      <c r="B590" s="193" t="s">
        <v>66</v>
      </c>
      <c r="C590" s="283"/>
      <c r="D590" s="193"/>
      <c r="E590" s="193"/>
      <c r="F590" s="463"/>
      <c r="G590" s="464"/>
      <c r="H590" s="489"/>
      <c r="I590" s="490"/>
      <c r="J590" s="491"/>
      <c r="K590" s="491"/>
      <c r="L590" s="491"/>
      <c r="M590" s="491"/>
    </row>
    <row r="591" spans="1:15" ht="18" customHeight="1">
      <c r="A591" s="270"/>
      <c r="B591" s="271"/>
      <c r="C591" s="271" t="s">
        <v>148</v>
      </c>
      <c r="D591" s="271"/>
      <c r="E591" s="271"/>
      <c r="F591" s="272"/>
      <c r="G591" s="273"/>
      <c r="H591" s="288"/>
      <c r="I591" s="289"/>
      <c r="J591" s="77"/>
      <c r="K591" s="77"/>
      <c r="L591" s="77"/>
      <c r="M591" s="77"/>
    </row>
    <row r="592" spans="1:15" ht="18" customHeight="1">
      <c r="A592" s="270"/>
      <c r="B592" s="271"/>
      <c r="C592" s="271"/>
      <c r="D592" s="271" t="s">
        <v>149</v>
      </c>
      <c r="E592" s="271"/>
      <c r="F592" s="272"/>
      <c r="G592" s="273" t="s">
        <v>213</v>
      </c>
      <c r="H592" s="275" t="s">
        <v>257</v>
      </c>
      <c r="I592" s="190">
        <v>1886924</v>
      </c>
      <c r="J592" s="62">
        <v>1952160.27</v>
      </c>
      <c r="K592" s="62">
        <f>1952421-J592</f>
        <v>260.72999999998137</v>
      </c>
      <c r="L592" s="62">
        <f>SUM(K592+J592)</f>
        <v>1952421</v>
      </c>
      <c r="M592" s="62">
        <v>1957254</v>
      </c>
    </row>
    <row r="593" spans="1:13" ht="18" customHeight="1">
      <c r="A593" s="270"/>
      <c r="B593" s="271"/>
      <c r="C593" s="271" t="s">
        <v>150</v>
      </c>
      <c r="D593" s="271"/>
      <c r="E593" s="271"/>
      <c r="F593" s="272"/>
      <c r="G593" s="273"/>
      <c r="H593" s="288"/>
      <c r="I593" s="190"/>
      <c r="J593" s="62"/>
      <c r="K593" s="62"/>
      <c r="L593" s="62"/>
      <c r="M593" s="62"/>
    </row>
    <row r="594" spans="1:13" ht="18" customHeight="1">
      <c r="A594" s="270"/>
      <c r="B594" s="271"/>
      <c r="C594" s="271"/>
      <c r="D594" s="271" t="s">
        <v>151</v>
      </c>
      <c r="E594" s="271"/>
      <c r="F594" s="272"/>
      <c r="G594" s="273" t="s">
        <v>214</v>
      </c>
      <c r="H594" s="275" t="s">
        <v>258</v>
      </c>
      <c r="I594" s="190">
        <v>144000</v>
      </c>
      <c r="J594" s="62">
        <v>144000</v>
      </c>
      <c r="K594" s="62">
        <f>144000-J594</f>
        <v>0</v>
      </c>
      <c r="L594" s="62">
        <f t="shared" ref="L594:L611" si="32">SUM(K594+J594)</f>
        <v>144000</v>
      </c>
      <c r="M594" s="62">
        <v>144000</v>
      </c>
    </row>
    <row r="595" spans="1:13" ht="18" customHeight="1">
      <c r="A595" s="270"/>
      <c r="B595" s="271"/>
      <c r="C595" s="271"/>
      <c r="D595" s="271" t="s">
        <v>161</v>
      </c>
      <c r="E595" s="271"/>
      <c r="F595" s="272"/>
      <c r="G595" s="273" t="s">
        <v>215</v>
      </c>
      <c r="H595" s="275" t="s">
        <v>259</v>
      </c>
      <c r="I595" s="190">
        <v>76500</v>
      </c>
      <c r="J595" s="62">
        <v>76500</v>
      </c>
      <c r="K595" s="62">
        <f>76500-J595</f>
        <v>0</v>
      </c>
      <c r="L595" s="62">
        <f t="shared" si="32"/>
        <v>76500</v>
      </c>
      <c r="M595" s="62">
        <v>76500</v>
      </c>
    </row>
    <row r="596" spans="1:13" ht="18" customHeight="1">
      <c r="A596" s="270"/>
      <c r="B596" s="271"/>
      <c r="C596" s="271"/>
      <c r="D596" s="271" t="s">
        <v>160</v>
      </c>
      <c r="E596" s="271"/>
      <c r="F596" s="272"/>
      <c r="G596" s="273" t="s">
        <v>216</v>
      </c>
      <c r="H596" s="275" t="s">
        <v>260</v>
      </c>
      <c r="I596" s="190">
        <v>76500</v>
      </c>
      <c r="J596" s="62">
        <v>76500</v>
      </c>
      <c r="K596" s="62">
        <f>76500-J596</f>
        <v>0</v>
      </c>
      <c r="L596" s="62">
        <f t="shared" si="32"/>
        <v>76500</v>
      </c>
      <c r="M596" s="62">
        <v>76500</v>
      </c>
    </row>
    <row r="597" spans="1:13" ht="18" customHeight="1">
      <c r="A597" s="270"/>
      <c r="B597" s="271"/>
      <c r="C597" s="271"/>
      <c r="D597" s="271" t="s">
        <v>162</v>
      </c>
      <c r="E597" s="271"/>
      <c r="F597" s="272"/>
      <c r="G597" s="273" t="s">
        <v>217</v>
      </c>
      <c r="H597" s="275" t="s">
        <v>261</v>
      </c>
      <c r="I597" s="190">
        <v>36000</v>
      </c>
      <c r="J597" s="62">
        <v>36000</v>
      </c>
      <c r="K597" s="62">
        <f>36000-J597</f>
        <v>0</v>
      </c>
      <c r="L597" s="62">
        <f t="shared" si="32"/>
        <v>36000</v>
      </c>
      <c r="M597" s="62">
        <v>36000</v>
      </c>
    </row>
    <row r="598" spans="1:13" ht="18" customHeight="1">
      <c r="A598" s="270"/>
      <c r="B598" s="271"/>
      <c r="C598" s="271"/>
      <c r="D598" s="271" t="s">
        <v>255</v>
      </c>
      <c r="E598" s="271"/>
      <c r="F598" s="272"/>
      <c r="G598" s="273" t="s">
        <v>219</v>
      </c>
      <c r="H598" s="275" t="s">
        <v>262</v>
      </c>
      <c r="I598" s="190">
        <v>30000</v>
      </c>
      <c r="J598" s="62">
        <v>30000</v>
      </c>
      <c r="K598" s="62">
        <f>30000-J598</f>
        <v>0</v>
      </c>
      <c r="L598" s="62">
        <f t="shared" si="32"/>
        <v>30000</v>
      </c>
      <c r="M598" s="62">
        <v>30000</v>
      </c>
    </row>
    <row r="599" spans="1:13" ht="18" customHeight="1">
      <c r="A599" s="270"/>
      <c r="B599" s="271"/>
      <c r="C599" s="271"/>
      <c r="D599" s="271" t="s">
        <v>164</v>
      </c>
      <c r="E599" s="271"/>
      <c r="F599" s="272"/>
      <c r="G599" s="273" t="s">
        <v>108</v>
      </c>
      <c r="H599" s="275" t="s">
        <v>263</v>
      </c>
      <c r="I599" s="190">
        <v>5000</v>
      </c>
      <c r="J599" s="62">
        <v>5000</v>
      </c>
      <c r="K599" s="62">
        <f>5000-J599</f>
        <v>0</v>
      </c>
      <c r="L599" s="62">
        <f t="shared" si="32"/>
        <v>5000</v>
      </c>
      <c r="M599" s="62">
        <v>15000</v>
      </c>
    </row>
    <row r="600" spans="1:13" ht="18" hidden="1" customHeight="1">
      <c r="A600" s="270"/>
      <c r="B600" s="271"/>
      <c r="C600" s="271"/>
      <c r="D600" s="271" t="s">
        <v>487</v>
      </c>
      <c r="E600" s="271"/>
      <c r="F600" s="272"/>
      <c r="G600" s="273" t="s">
        <v>108</v>
      </c>
      <c r="H600" s="275" t="s">
        <v>263</v>
      </c>
      <c r="I600" s="190">
        <v>0</v>
      </c>
      <c r="J600" s="62">
        <v>0</v>
      </c>
      <c r="K600" s="62">
        <f>0-J600</f>
        <v>0</v>
      </c>
      <c r="L600" s="62">
        <f t="shared" si="32"/>
        <v>0</v>
      </c>
      <c r="M600" s="62">
        <v>0</v>
      </c>
    </row>
    <row r="601" spans="1:13" ht="18" customHeight="1">
      <c r="A601" s="270"/>
      <c r="B601" s="271"/>
      <c r="C601" s="271"/>
      <c r="D601" s="271" t="s">
        <v>475</v>
      </c>
      <c r="E601" s="271"/>
      <c r="F601" s="272"/>
      <c r="G601" s="273"/>
      <c r="H601" s="275" t="s">
        <v>263</v>
      </c>
      <c r="I601" s="190">
        <v>98876.05</v>
      </c>
      <c r="J601" s="62">
        <v>0</v>
      </c>
      <c r="K601" s="62">
        <v>0</v>
      </c>
      <c r="L601" s="62">
        <f t="shared" si="32"/>
        <v>0</v>
      </c>
      <c r="M601" s="62">
        <v>0</v>
      </c>
    </row>
    <row r="602" spans="1:13" ht="18" customHeight="1">
      <c r="A602" s="270"/>
      <c r="B602" s="271"/>
      <c r="C602" s="271"/>
      <c r="D602" s="271" t="s">
        <v>166</v>
      </c>
      <c r="E602" s="271"/>
      <c r="F602" s="272"/>
      <c r="G602" s="273" t="s">
        <v>222</v>
      </c>
      <c r="H602" s="275" t="s">
        <v>264</v>
      </c>
      <c r="I602" s="190">
        <v>30000</v>
      </c>
      <c r="J602" s="62">
        <v>30000</v>
      </c>
      <c r="K602" s="62">
        <f>30000-J602</f>
        <v>0</v>
      </c>
      <c r="L602" s="62">
        <f t="shared" si="32"/>
        <v>30000</v>
      </c>
      <c r="M602" s="62">
        <v>30000</v>
      </c>
    </row>
    <row r="603" spans="1:13" ht="18" customHeight="1">
      <c r="A603" s="270"/>
      <c r="B603" s="271"/>
      <c r="C603" s="271"/>
      <c r="D603" s="271" t="s">
        <v>374</v>
      </c>
      <c r="E603" s="271"/>
      <c r="F603" s="271"/>
      <c r="G603" s="277" t="s">
        <v>108</v>
      </c>
      <c r="H603" s="275" t="s">
        <v>263</v>
      </c>
      <c r="I603" s="190">
        <v>157163</v>
      </c>
      <c r="J603" s="62">
        <v>162450</v>
      </c>
      <c r="K603" s="62">
        <f>162669-J603</f>
        <v>219</v>
      </c>
      <c r="L603" s="62">
        <f t="shared" si="32"/>
        <v>162669</v>
      </c>
      <c r="M603" s="62">
        <v>162771</v>
      </c>
    </row>
    <row r="604" spans="1:13" ht="18" customHeight="1">
      <c r="A604" s="270"/>
      <c r="B604" s="271"/>
      <c r="C604" s="271"/>
      <c r="D604" s="271" t="s">
        <v>167</v>
      </c>
      <c r="E604" s="271"/>
      <c r="F604" s="272"/>
      <c r="G604" s="273" t="s">
        <v>223</v>
      </c>
      <c r="H604" s="275" t="s">
        <v>265</v>
      </c>
      <c r="I604" s="190">
        <v>157405</v>
      </c>
      <c r="J604" s="62">
        <v>162771</v>
      </c>
      <c r="K604" s="62">
        <f>162771-J604</f>
        <v>0</v>
      </c>
      <c r="L604" s="62">
        <f t="shared" si="32"/>
        <v>162771</v>
      </c>
      <c r="M604" s="62">
        <v>164105</v>
      </c>
    </row>
    <row r="605" spans="1:13" ht="18" customHeight="1">
      <c r="A605" s="270"/>
      <c r="B605" s="271"/>
      <c r="C605" s="271"/>
      <c r="D605" s="271" t="s">
        <v>249</v>
      </c>
      <c r="E605" s="271"/>
      <c r="F605" s="272"/>
      <c r="G605" s="273" t="s">
        <v>224</v>
      </c>
      <c r="H605" s="275" t="s">
        <v>266</v>
      </c>
      <c r="I605" s="190">
        <v>227000</v>
      </c>
      <c r="J605" s="62">
        <v>234252</v>
      </c>
      <c r="K605" s="62">
        <f>235000-J605</f>
        <v>748</v>
      </c>
      <c r="L605" s="62">
        <f t="shared" si="32"/>
        <v>235000</v>
      </c>
      <c r="M605" s="62">
        <v>235000</v>
      </c>
    </row>
    <row r="606" spans="1:13" ht="18" customHeight="1">
      <c r="A606" s="270"/>
      <c r="B606" s="271"/>
      <c r="C606" s="271"/>
      <c r="D606" s="271" t="s">
        <v>168</v>
      </c>
      <c r="E606" s="271"/>
      <c r="F606" s="272"/>
      <c r="G606" s="273" t="s">
        <v>225</v>
      </c>
      <c r="H606" s="275" t="s">
        <v>267</v>
      </c>
      <c r="I606" s="190">
        <v>10800</v>
      </c>
      <c r="J606" s="62">
        <v>7200</v>
      </c>
      <c r="K606" s="62">
        <f>10800-J606</f>
        <v>3600</v>
      </c>
      <c r="L606" s="62">
        <f t="shared" si="32"/>
        <v>10800</v>
      </c>
      <c r="M606" s="62">
        <v>10800</v>
      </c>
    </row>
    <row r="607" spans="1:13" ht="18" customHeight="1">
      <c r="A607" s="270"/>
      <c r="B607" s="271"/>
      <c r="C607" s="271"/>
      <c r="D607" s="271" t="s">
        <v>169</v>
      </c>
      <c r="E607" s="271"/>
      <c r="F607" s="272"/>
      <c r="G607" s="273" t="s">
        <v>226</v>
      </c>
      <c r="H607" s="275" t="s">
        <v>268</v>
      </c>
      <c r="I607" s="190">
        <v>39000</v>
      </c>
      <c r="J607" s="62">
        <v>38058.5</v>
      </c>
      <c r="K607" s="62">
        <f>44000-J607</f>
        <v>5941.5</v>
      </c>
      <c r="L607" s="62">
        <f t="shared" si="32"/>
        <v>44000</v>
      </c>
      <c r="M607" s="62">
        <v>49000</v>
      </c>
    </row>
    <row r="608" spans="1:13" ht="18" customHeight="1">
      <c r="A608" s="270"/>
      <c r="B608" s="271"/>
      <c r="C608" s="271"/>
      <c r="D608" s="271" t="s">
        <v>248</v>
      </c>
      <c r="E608" s="271"/>
      <c r="F608" s="272"/>
      <c r="G608" s="273" t="s">
        <v>227</v>
      </c>
      <c r="H608" s="275" t="s">
        <v>269</v>
      </c>
      <c r="I608" s="190">
        <v>7200</v>
      </c>
      <c r="J608" s="62">
        <v>7200</v>
      </c>
      <c r="K608" s="62">
        <f>7200-J608</f>
        <v>0</v>
      </c>
      <c r="L608" s="62">
        <f t="shared" si="32"/>
        <v>7200</v>
      </c>
      <c r="M608" s="62">
        <v>7200</v>
      </c>
    </row>
    <row r="609" spans="1:13" ht="18" hidden="1" customHeight="1">
      <c r="A609" s="270"/>
      <c r="B609" s="271"/>
      <c r="C609" s="271"/>
      <c r="D609" s="271" t="s">
        <v>171</v>
      </c>
      <c r="E609" s="271"/>
      <c r="F609" s="272"/>
      <c r="G609" s="273" t="s">
        <v>82</v>
      </c>
      <c r="H609" s="275" t="s">
        <v>281</v>
      </c>
      <c r="I609" s="190">
        <v>0</v>
      </c>
      <c r="J609" s="62">
        <v>0</v>
      </c>
      <c r="K609" s="62">
        <f>0-J609</f>
        <v>0</v>
      </c>
      <c r="L609" s="62">
        <f t="shared" si="32"/>
        <v>0</v>
      </c>
      <c r="M609" s="62">
        <v>0</v>
      </c>
    </row>
    <row r="610" spans="1:13" ht="18" customHeight="1">
      <c r="A610" s="270"/>
      <c r="B610" s="271"/>
      <c r="C610" s="271"/>
      <c r="D610" s="271" t="s">
        <v>476</v>
      </c>
      <c r="E610" s="271"/>
      <c r="F610" s="272"/>
      <c r="G610" s="273"/>
      <c r="H610" s="275" t="s">
        <v>281</v>
      </c>
      <c r="I610" s="190">
        <v>120000</v>
      </c>
      <c r="J610" s="62">
        <v>120000</v>
      </c>
      <c r="K610" s="62">
        <f>120000-J610</f>
        <v>0</v>
      </c>
      <c r="L610" s="62">
        <f t="shared" si="32"/>
        <v>120000</v>
      </c>
      <c r="M610" s="62">
        <v>0</v>
      </c>
    </row>
    <row r="611" spans="1:13" ht="18" customHeight="1">
      <c r="A611" s="270"/>
      <c r="B611" s="271"/>
      <c r="C611" s="271"/>
      <c r="D611" s="271" t="s">
        <v>502</v>
      </c>
      <c r="E611" s="271"/>
      <c r="F611" s="272"/>
      <c r="G611" s="273"/>
      <c r="H611" s="275" t="s">
        <v>281</v>
      </c>
      <c r="I611" s="190"/>
      <c r="J611" s="62">
        <v>180000</v>
      </c>
      <c r="K611" s="62">
        <f>180000-J611</f>
        <v>0</v>
      </c>
      <c r="L611" s="62">
        <f t="shared" si="32"/>
        <v>180000</v>
      </c>
      <c r="M611" s="62"/>
    </row>
    <row r="612" spans="1:13" ht="18" customHeight="1">
      <c r="A612" s="278"/>
      <c r="B612" s="279"/>
      <c r="C612" s="279"/>
      <c r="D612" s="279" t="s">
        <v>68</v>
      </c>
      <c r="E612" s="279"/>
      <c r="F612" s="280"/>
      <c r="G612" s="281"/>
      <c r="H612" s="290"/>
      <c r="I612" s="171">
        <f>SUM(I592:I611)</f>
        <v>3102368.05</v>
      </c>
      <c r="J612" s="171">
        <f t="shared" ref="J612:M612" si="33">SUM(J592:J611)</f>
        <v>3262091.77</v>
      </c>
      <c r="K612" s="171">
        <f t="shared" si="33"/>
        <v>10769.229999999981</v>
      </c>
      <c r="L612" s="171">
        <f t="shared" si="33"/>
        <v>3272861</v>
      </c>
      <c r="M612" s="171">
        <f t="shared" si="33"/>
        <v>2994130</v>
      </c>
    </row>
    <row r="613" spans="1:13" ht="18" customHeight="1">
      <c r="A613" s="270"/>
      <c r="B613" s="271" t="s">
        <v>172</v>
      </c>
      <c r="C613" s="271"/>
      <c r="D613" s="271"/>
      <c r="E613" s="271"/>
      <c r="F613" s="272"/>
      <c r="G613" s="273"/>
      <c r="H613" s="288"/>
      <c r="I613" s="190"/>
      <c r="J613" s="62"/>
      <c r="K613" s="62"/>
      <c r="L613" s="62"/>
      <c r="M613" s="62"/>
    </row>
    <row r="614" spans="1:13" ht="18" customHeight="1">
      <c r="A614" s="270"/>
      <c r="B614" s="271"/>
      <c r="C614" s="271"/>
      <c r="D614" s="271" t="s">
        <v>173</v>
      </c>
      <c r="E614" s="271"/>
      <c r="F614" s="272"/>
      <c r="G614" s="273" t="s">
        <v>75</v>
      </c>
      <c r="H614" s="275" t="s">
        <v>271</v>
      </c>
      <c r="I614" s="190">
        <v>77962</v>
      </c>
      <c r="J614" s="62">
        <v>138565.04999999999</v>
      </c>
      <c r="K614" s="62">
        <f>140000-J614</f>
        <v>1434.9500000000116</v>
      </c>
      <c r="L614" s="62">
        <f t="shared" ref="L614:L621" si="34">SUM(K614+J614)</f>
        <v>140000</v>
      </c>
      <c r="M614" s="62">
        <v>150000</v>
      </c>
    </row>
    <row r="615" spans="1:13" ht="18" customHeight="1">
      <c r="A615" s="270"/>
      <c r="B615" s="271"/>
      <c r="C615" s="271"/>
      <c r="D615" s="271" t="s">
        <v>107</v>
      </c>
      <c r="E615" s="271"/>
      <c r="F615" s="272"/>
      <c r="G615" s="273" t="s">
        <v>76</v>
      </c>
      <c r="H615" s="275" t="s">
        <v>272</v>
      </c>
      <c r="I615" s="190">
        <v>97478</v>
      </c>
      <c r="J615" s="62">
        <v>99907</v>
      </c>
      <c r="K615" s="62">
        <f>100000-J615</f>
        <v>93</v>
      </c>
      <c r="L615" s="62">
        <f t="shared" si="34"/>
        <v>100000</v>
      </c>
      <c r="M615" s="62">
        <v>120000</v>
      </c>
    </row>
    <row r="616" spans="1:13" ht="18" customHeight="1">
      <c r="A616" s="270"/>
      <c r="B616" s="271"/>
      <c r="C616" s="271"/>
      <c r="D616" s="271" t="s">
        <v>73</v>
      </c>
      <c r="E616" s="271"/>
      <c r="F616" s="272"/>
      <c r="G616" s="273" t="s">
        <v>78</v>
      </c>
      <c r="H616" s="275" t="s">
        <v>273</v>
      </c>
      <c r="I616" s="190">
        <v>111518.25</v>
      </c>
      <c r="J616" s="62">
        <v>93482</v>
      </c>
      <c r="K616" s="62">
        <f>120000-J616</f>
        <v>26518</v>
      </c>
      <c r="L616" s="62">
        <f t="shared" si="34"/>
        <v>120000</v>
      </c>
      <c r="M616" s="62">
        <v>130000</v>
      </c>
    </row>
    <row r="617" spans="1:13" ht="18" customHeight="1">
      <c r="A617" s="270"/>
      <c r="B617" s="271"/>
      <c r="C617" s="271"/>
      <c r="D617" s="271" t="s">
        <v>177</v>
      </c>
      <c r="E617" s="271"/>
      <c r="F617" s="272"/>
      <c r="G617" s="273" t="s">
        <v>232</v>
      </c>
      <c r="H617" s="275" t="s">
        <v>274</v>
      </c>
      <c r="I617" s="190">
        <v>0</v>
      </c>
      <c r="J617" s="62">
        <v>0</v>
      </c>
      <c r="K617" s="62">
        <f>500-J617</f>
        <v>500</v>
      </c>
      <c r="L617" s="62">
        <f t="shared" si="34"/>
        <v>500</v>
      </c>
      <c r="M617" s="62">
        <v>500</v>
      </c>
    </row>
    <row r="618" spans="1:13" ht="18" customHeight="1">
      <c r="A618" s="270"/>
      <c r="B618" s="271"/>
      <c r="C618" s="271"/>
      <c r="D618" s="271" t="s">
        <v>179</v>
      </c>
      <c r="E618" s="271"/>
      <c r="F618" s="272"/>
      <c r="G618" s="273" t="s">
        <v>79</v>
      </c>
      <c r="H618" s="275" t="s">
        <v>275</v>
      </c>
      <c r="I618" s="190">
        <v>36000</v>
      </c>
      <c r="J618" s="62">
        <v>36000</v>
      </c>
      <c r="K618" s="62">
        <f>36000-J618</f>
        <v>0</v>
      </c>
      <c r="L618" s="62">
        <f t="shared" si="34"/>
        <v>36000</v>
      </c>
      <c r="M618" s="62">
        <v>36000</v>
      </c>
    </row>
    <row r="619" spans="1:13" ht="18" customHeight="1">
      <c r="A619" s="270"/>
      <c r="B619" s="271"/>
      <c r="C619" s="271"/>
      <c r="D619" s="271" t="s">
        <v>432</v>
      </c>
      <c r="E619" s="271"/>
      <c r="F619" s="272"/>
      <c r="G619" s="273" t="s">
        <v>80</v>
      </c>
      <c r="H619" s="275" t="s">
        <v>276</v>
      </c>
      <c r="I619" s="190">
        <v>2500</v>
      </c>
      <c r="J619" s="62">
        <v>0</v>
      </c>
      <c r="K619" s="62">
        <f>25000-J619</f>
        <v>25000</v>
      </c>
      <c r="L619" s="62">
        <f t="shared" si="34"/>
        <v>25000</v>
      </c>
      <c r="M619" s="62">
        <v>25000</v>
      </c>
    </row>
    <row r="620" spans="1:13" ht="18" customHeight="1">
      <c r="A620" s="270"/>
      <c r="B620" s="271"/>
      <c r="C620" s="271"/>
      <c r="D620" s="271" t="s">
        <v>185</v>
      </c>
      <c r="E620" s="271"/>
      <c r="F620" s="272"/>
      <c r="G620" s="273" t="s">
        <v>81</v>
      </c>
      <c r="H620" s="275" t="s">
        <v>277</v>
      </c>
      <c r="I620" s="190">
        <v>600</v>
      </c>
      <c r="J620" s="62">
        <v>0</v>
      </c>
      <c r="K620" s="62">
        <f>22000-J620</f>
        <v>22000</v>
      </c>
      <c r="L620" s="62">
        <f t="shared" si="34"/>
        <v>22000</v>
      </c>
      <c r="M620" s="62">
        <v>22000</v>
      </c>
    </row>
    <row r="621" spans="1:13" ht="18" customHeight="1">
      <c r="A621" s="270"/>
      <c r="B621" s="271"/>
      <c r="C621" s="271"/>
      <c r="D621" s="271" t="s">
        <v>502</v>
      </c>
      <c r="E621" s="271"/>
      <c r="F621" s="272"/>
      <c r="G621" s="273"/>
      <c r="H621" s="275" t="s">
        <v>277</v>
      </c>
      <c r="I621" s="190">
        <v>150000</v>
      </c>
      <c r="J621" s="62">
        <v>0</v>
      </c>
      <c r="K621" s="62">
        <f>0-J621</f>
        <v>0</v>
      </c>
      <c r="L621" s="62">
        <f t="shared" si="34"/>
        <v>0</v>
      </c>
      <c r="M621" s="62">
        <v>0</v>
      </c>
    </row>
    <row r="622" spans="1:13" ht="18" customHeight="1">
      <c r="A622" s="278"/>
      <c r="B622" s="279"/>
      <c r="C622" s="279"/>
      <c r="D622" s="279" t="s">
        <v>322</v>
      </c>
      <c r="E622" s="279"/>
      <c r="F622" s="280"/>
      <c r="G622" s="281"/>
      <c r="H622" s="290"/>
      <c r="I622" s="171">
        <f>SUM(I614:I621)</f>
        <v>476058.25</v>
      </c>
      <c r="J622" s="171">
        <f>SUM(J614:J621)</f>
        <v>367954.05</v>
      </c>
      <c r="K622" s="171">
        <f>SUM(K614:K621)</f>
        <v>75545.950000000012</v>
      </c>
      <c r="L622" s="171">
        <f>SUM(L614:L621)</f>
        <v>443500</v>
      </c>
      <c r="M622" s="171">
        <f>SUM(M614:M621)</f>
        <v>483500</v>
      </c>
    </row>
    <row r="623" spans="1:13" ht="18" customHeight="1">
      <c r="A623" s="270"/>
      <c r="B623" s="271" t="s">
        <v>186</v>
      </c>
      <c r="C623" s="271"/>
      <c r="D623" s="271"/>
      <c r="E623" s="271"/>
      <c r="F623" s="272"/>
      <c r="G623" s="273"/>
      <c r="H623" s="288"/>
      <c r="I623" s="190"/>
      <c r="J623" s="62"/>
      <c r="K623" s="62"/>
      <c r="L623" s="62"/>
      <c r="M623" s="62"/>
    </row>
    <row r="624" spans="1:13" ht="18" hidden="1" customHeight="1">
      <c r="A624" s="270"/>
      <c r="B624" s="271"/>
      <c r="C624" s="271"/>
      <c r="D624" s="271" t="s">
        <v>256</v>
      </c>
      <c r="E624" s="271"/>
      <c r="F624" s="272"/>
      <c r="G624" s="273" t="s">
        <v>409</v>
      </c>
      <c r="H624" s="275" t="s">
        <v>410</v>
      </c>
      <c r="I624" s="190">
        <v>0</v>
      </c>
      <c r="J624" s="62">
        <v>0</v>
      </c>
      <c r="K624" s="62">
        <f>0-J624</f>
        <v>0</v>
      </c>
      <c r="L624" s="62">
        <f>K624+J624</f>
        <v>0</v>
      </c>
      <c r="M624" s="62">
        <v>0</v>
      </c>
    </row>
    <row r="625" spans="1:15" ht="18" customHeight="1">
      <c r="A625" s="270"/>
      <c r="B625" s="271"/>
      <c r="C625" s="271"/>
      <c r="D625" s="271" t="s">
        <v>408</v>
      </c>
      <c r="E625" s="271"/>
      <c r="F625" s="272"/>
      <c r="G625" s="273" t="s">
        <v>411</v>
      </c>
      <c r="H625" s="275" t="s">
        <v>481</v>
      </c>
      <c r="I625" s="190">
        <v>34700</v>
      </c>
      <c r="J625" s="62">
        <v>0</v>
      </c>
      <c r="K625" s="62">
        <f t="shared" ref="K625:K627" si="35">0-J625</f>
        <v>0</v>
      </c>
      <c r="L625" s="62">
        <f>K625+J625</f>
        <v>0</v>
      </c>
      <c r="M625" s="62">
        <v>80000</v>
      </c>
    </row>
    <row r="626" spans="1:15" ht="18" hidden="1" customHeight="1">
      <c r="A626" s="270"/>
      <c r="B626" s="271"/>
      <c r="C626" s="271"/>
      <c r="D626" s="271" t="s">
        <v>416</v>
      </c>
      <c r="E626" s="271"/>
      <c r="F626" s="272"/>
      <c r="G626" s="273"/>
      <c r="H626" s="275" t="s">
        <v>417</v>
      </c>
      <c r="I626" s="190">
        <v>0</v>
      </c>
      <c r="J626" s="62">
        <v>0</v>
      </c>
      <c r="K626" s="62">
        <f t="shared" si="35"/>
        <v>0</v>
      </c>
      <c r="L626" s="62">
        <f>K626+J626</f>
        <v>0</v>
      </c>
      <c r="M626" s="62">
        <v>0</v>
      </c>
    </row>
    <row r="627" spans="1:15" ht="18" hidden="1" customHeight="1">
      <c r="A627" s="270"/>
      <c r="B627" s="271"/>
      <c r="C627" s="271"/>
      <c r="D627" s="271" t="s">
        <v>412</v>
      </c>
      <c r="E627" s="271"/>
      <c r="F627" s="272"/>
      <c r="G627" s="273" t="s">
        <v>413</v>
      </c>
      <c r="H627" s="275" t="s">
        <v>414</v>
      </c>
      <c r="I627" s="190">
        <v>0</v>
      </c>
      <c r="J627" s="62">
        <v>0</v>
      </c>
      <c r="K627" s="62">
        <f t="shared" si="35"/>
        <v>0</v>
      </c>
      <c r="L627" s="62">
        <f>K627+J627</f>
        <v>0</v>
      </c>
      <c r="M627" s="62">
        <v>0</v>
      </c>
    </row>
    <row r="628" spans="1:15" ht="18" customHeight="1">
      <c r="A628" s="278"/>
      <c r="B628" s="279"/>
      <c r="C628" s="279"/>
      <c r="D628" s="279" t="s">
        <v>366</v>
      </c>
      <c r="E628" s="279"/>
      <c r="F628" s="280"/>
      <c r="G628" s="281"/>
      <c r="H628" s="290"/>
      <c r="I628" s="171">
        <f>SUM(I624:I627)</f>
        <v>34700</v>
      </c>
      <c r="J628" s="171">
        <f>SUM(J624:J627)</f>
        <v>0</v>
      </c>
      <c r="K628" s="171">
        <f>SUM(K624:K627)</f>
        <v>0</v>
      </c>
      <c r="L628" s="171">
        <f>SUM(L624:L627)</f>
        <v>0</v>
      </c>
      <c r="M628" s="171">
        <f>SUM(M624:M627)</f>
        <v>80000</v>
      </c>
    </row>
    <row r="629" spans="1:15" ht="5.0999999999999996" customHeight="1">
      <c r="A629" s="278"/>
      <c r="B629" s="279"/>
      <c r="C629" s="279"/>
      <c r="D629" s="279"/>
      <c r="E629" s="279"/>
      <c r="F629" s="280"/>
      <c r="G629" s="281"/>
      <c r="H629" s="290"/>
      <c r="I629" s="171"/>
      <c r="J629" s="191"/>
      <c r="K629" s="191"/>
      <c r="L629" s="191"/>
      <c r="M629" s="191"/>
    </row>
    <row r="630" spans="1:15" ht="18" customHeight="1">
      <c r="A630" s="282" t="s">
        <v>244</v>
      </c>
      <c r="B630" s="283"/>
      <c r="C630" s="283"/>
      <c r="D630" s="283"/>
      <c r="E630" s="283"/>
      <c r="F630" s="284"/>
      <c r="G630" s="285"/>
      <c r="H630" s="291"/>
      <c r="I630" s="188">
        <f>SUM(I628+I622+I612)</f>
        <v>3613126.3</v>
      </c>
      <c r="J630" s="188">
        <f>SUM(J628+J622+J612)</f>
        <v>3630045.82</v>
      </c>
      <c r="K630" s="188">
        <f>SUM(K628+K622+K612)</f>
        <v>86315.18</v>
      </c>
      <c r="L630" s="188">
        <f>SUM(L628+L622+L612)</f>
        <v>3716361</v>
      </c>
      <c r="M630" s="188">
        <f>SUM(M628+M622+M612)</f>
        <v>3557630</v>
      </c>
    </row>
    <row r="631" spans="1:15" ht="18" customHeight="1">
      <c r="A631" s="54"/>
      <c r="B631" s="71"/>
      <c r="C631" s="54"/>
      <c r="D631" s="54"/>
      <c r="E631" s="54"/>
      <c r="F631" s="54"/>
      <c r="G631" s="54"/>
      <c r="H631" s="135"/>
      <c r="I631" s="135"/>
      <c r="J631" s="72"/>
      <c r="K631" s="72"/>
      <c r="L631" s="72"/>
      <c r="M631" s="72"/>
    </row>
    <row r="632" spans="1:15" s="366" customFormat="1" ht="18" customHeight="1">
      <c r="A632" s="534"/>
      <c r="B632" s="534"/>
      <c r="C632" s="534"/>
      <c r="D632" s="534"/>
      <c r="E632" s="534"/>
      <c r="F632" s="534"/>
      <c r="G632" s="534"/>
      <c r="H632" s="534"/>
      <c r="I632" s="534"/>
      <c r="J632" s="534"/>
      <c r="K632" s="534"/>
      <c r="L632" s="534"/>
      <c r="M632" s="534"/>
      <c r="O632" s="166"/>
    </row>
    <row r="633" spans="1:15" s="361" customFormat="1" ht="18" customHeight="1">
      <c r="A633" s="368" t="s">
        <v>556</v>
      </c>
      <c r="B633" s="368"/>
      <c r="C633" s="368"/>
      <c r="D633" s="368"/>
      <c r="E633" s="368"/>
      <c r="F633" s="368"/>
      <c r="G633" s="368"/>
      <c r="H633" s="368"/>
      <c r="I633" s="368"/>
      <c r="J633" s="368"/>
      <c r="K633" s="368"/>
      <c r="L633" s="368"/>
      <c r="M633" s="368"/>
      <c r="O633" s="236"/>
    </row>
    <row r="634" spans="1:15" s="361" customFormat="1" ht="20.100000000000001" customHeight="1">
      <c r="A634" s="362"/>
      <c r="B634" s="363"/>
      <c r="C634" s="362"/>
      <c r="D634" s="362"/>
      <c r="E634" s="362"/>
      <c r="F634" s="364"/>
      <c r="G634" s="362"/>
      <c r="H634" s="365"/>
      <c r="I634" s="365"/>
      <c r="K634" s="136"/>
      <c r="L634" s="136"/>
      <c r="M634" s="72"/>
      <c r="O634" s="236"/>
    </row>
    <row r="635" spans="1:15" s="52" customFormat="1" ht="18" customHeight="1">
      <c r="A635" s="139" t="s">
        <v>245</v>
      </c>
      <c r="B635" s="139"/>
      <c r="C635" s="361"/>
      <c r="D635" s="139"/>
      <c r="E635" s="139"/>
      <c r="F635" s="361"/>
      <c r="G635" s="139"/>
      <c r="H635" s="139"/>
      <c r="I635" s="139" t="s">
        <v>246</v>
      </c>
      <c r="J635" s="139"/>
      <c r="K635" s="139"/>
      <c r="L635" s="139" t="s">
        <v>43</v>
      </c>
      <c r="M635" s="139"/>
      <c r="O635" s="236"/>
    </row>
    <row r="636" spans="1:15" s="33" customFormat="1" ht="15" customHeight="1">
      <c r="A636" s="51"/>
      <c r="B636" s="50"/>
      <c r="C636" s="52"/>
      <c r="D636" s="51"/>
      <c r="E636" s="51"/>
      <c r="F636" s="52"/>
      <c r="G636" s="51"/>
      <c r="H636" s="52"/>
      <c r="I636" s="51"/>
      <c r="J636" s="135"/>
      <c r="K636" s="76"/>
      <c r="L636" s="75"/>
      <c r="M636" s="136"/>
      <c r="O636" s="236"/>
    </row>
    <row r="637" spans="1:15" s="33" customFormat="1" ht="15" customHeight="1">
      <c r="A637" s="529" t="s">
        <v>14</v>
      </c>
      <c r="B637" s="529"/>
      <c r="C637" s="529"/>
      <c r="D637" s="529"/>
      <c r="E637" s="529"/>
      <c r="F637" s="529"/>
      <c r="G637" s="50"/>
      <c r="H637" s="73"/>
      <c r="I637" s="529" t="s">
        <v>12</v>
      </c>
      <c r="J637" s="529"/>
      <c r="K637" s="74"/>
      <c r="L637" s="529" t="s">
        <v>460</v>
      </c>
      <c r="M637" s="529"/>
      <c r="O637" s="236"/>
    </row>
    <row r="638" spans="1:15" s="33" customFormat="1" ht="15" customHeight="1">
      <c r="A638" s="517" t="s">
        <v>557</v>
      </c>
      <c r="B638" s="517"/>
      <c r="C638" s="517"/>
      <c r="D638" s="517"/>
      <c r="E638" s="517"/>
      <c r="F638" s="517"/>
      <c r="I638" s="518" t="s">
        <v>558</v>
      </c>
      <c r="J638" s="518"/>
      <c r="L638" s="517" t="s">
        <v>559</v>
      </c>
      <c r="M638" s="517"/>
      <c r="O638" s="236"/>
    </row>
    <row r="639" spans="1:15" s="33" customFormat="1" ht="15" customHeight="1">
      <c r="A639" s="167"/>
      <c r="B639" s="167"/>
      <c r="C639" s="167"/>
      <c r="D639" s="167"/>
      <c r="E639" s="167"/>
      <c r="F639" s="167"/>
      <c r="I639" s="167"/>
      <c r="J639" s="167"/>
      <c r="L639" s="167"/>
      <c r="M639" s="167"/>
      <c r="O639" s="236"/>
    </row>
    <row r="640" spans="1:15" s="33" customFormat="1" ht="15" customHeight="1">
      <c r="A640" s="519" t="s">
        <v>549</v>
      </c>
      <c r="B640" s="519"/>
      <c r="C640" s="519"/>
      <c r="D640" s="519"/>
      <c r="E640" s="519"/>
      <c r="F640" s="519"/>
      <c r="G640" s="519"/>
      <c r="H640" s="519"/>
      <c r="I640" s="519"/>
      <c r="J640" s="519"/>
      <c r="K640" s="519"/>
      <c r="L640" s="519"/>
      <c r="M640" s="519"/>
      <c r="O640" s="236"/>
    </row>
    <row r="641" spans="1:15" s="33" customFormat="1" ht="18" customHeight="1">
      <c r="A641" s="165"/>
      <c r="B641" s="165"/>
      <c r="C641" s="165"/>
      <c r="D641" s="165"/>
      <c r="E641" s="165"/>
      <c r="F641" s="165"/>
      <c r="G641" s="165"/>
      <c r="H641" s="165"/>
      <c r="I641" s="165"/>
      <c r="J641" s="165"/>
      <c r="K641" s="165"/>
      <c r="L641" s="165"/>
      <c r="M641" s="165"/>
      <c r="N641" s="163"/>
      <c r="O641" s="236"/>
    </row>
    <row r="642" spans="1:15" s="33" customFormat="1" ht="15.75">
      <c r="A642" s="142" t="s">
        <v>550</v>
      </c>
      <c r="B642" s="142"/>
      <c r="C642" s="142"/>
      <c r="D642" s="141"/>
      <c r="E642" s="141"/>
      <c r="F642" s="142" t="s">
        <v>37</v>
      </c>
      <c r="G642" s="142"/>
      <c r="H642" s="142"/>
      <c r="I642" s="142"/>
      <c r="J642" s="142" t="s">
        <v>551</v>
      </c>
      <c r="K642" s="142" t="str">
        <f>$K$9</f>
        <v>2024</v>
      </c>
      <c r="L642" s="142"/>
      <c r="M642" s="142"/>
      <c r="N642" s="164"/>
      <c r="O642" s="236"/>
    </row>
    <row r="643" spans="1:15" s="33" customFormat="1" ht="18" customHeight="1">
      <c r="A643" s="142" t="s">
        <v>552</v>
      </c>
      <c r="B643" s="142"/>
      <c r="C643" s="142"/>
      <c r="D643" s="141"/>
      <c r="E643" s="142"/>
      <c r="F643" s="142" t="s">
        <v>554</v>
      </c>
      <c r="G643" s="142"/>
      <c r="H643" s="142"/>
      <c r="I643" s="142"/>
      <c r="J643" s="142" t="s">
        <v>553</v>
      </c>
      <c r="K643" s="50" t="s">
        <v>566</v>
      </c>
      <c r="L643" s="142"/>
      <c r="M643" s="142"/>
      <c r="O643" s="236"/>
    </row>
    <row r="644" spans="1:15" s="33" customFormat="1" ht="18" customHeight="1">
      <c r="A644" s="142" t="s">
        <v>555</v>
      </c>
      <c r="B644" s="142"/>
      <c r="C644" s="142"/>
      <c r="D644" s="142"/>
      <c r="E644" s="142"/>
      <c r="F644" s="142"/>
      <c r="G644" s="142"/>
      <c r="H644" s="142"/>
      <c r="I644" s="142"/>
      <c r="J644" s="142"/>
      <c r="K644" s="142"/>
      <c r="L644" s="142"/>
      <c r="M644" s="142"/>
      <c r="O644" s="236"/>
    </row>
    <row r="645" spans="1:15" s="52" customFormat="1" ht="18" customHeight="1" thickBot="1">
      <c r="A645" s="143"/>
      <c r="B645" s="143"/>
      <c r="C645" s="143"/>
      <c r="D645" s="143"/>
      <c r="E645" s="143"/>
      <c r="F645" s="143"/>
      <c r="G645" s="143"/>
      <c r="H645" s="143"/>
      <c r="I645" s="143"/>
      <c r="J645" s="143"/>
      <c r="K645" s="143"/>
      <c r="L645" s="143"/>
      <c r="M645" s="143"/>
      <c r="O645" s="236"/>
    </row>
    <row r="646" spans="1:15" ht="18" customHeight="1">
      <c r="A646" s="255"/>
      <c r="B646" s="256"/>
      <c r="C646" s="256"/>
      <c r="D646" s="256"/>
      <c r="E646" s="256"/>
      <c r="F646" s="257"/>
      <c r="G646" s="258"/>
      <c r="H646" s="259"/>
      <c r="I646" s="259" t="s">
        <v>6</v>
      </c>
      <c r="J646" s="520" t="s">
        <v>545</v>
      </c>
      <c r="K646" s="521"/>
      <c r="L646" s="522"/>
      <c r="M646" s="260" t="s">
        <v>7</v>
      </c>
    </row>
    <row r="647" spans="1:15" ht="18" customHeight="1">
      <c r="A647" s="523"/>
      <c r="B647" s="524"/>
      <c r="C647" s="524"/>
      <c r="D647" s="524"/>
      <c r="E647" s="524"/>
      <c r="F647" s="525"/>
      <c r="G647" s="448"/>
      <c r="H647" s="261"/>
      <c r="I647" s="261">
        <v>2022</v>
      </c>
      <c r="J647" s="261" t="s">
        <v>192</v>
      </c>
      <c r="K647" s="261" t="s">
        <v>193</v>
      </c>
      <c r="L647" s="261"/>
      <c r="M647" s="262">
        <v>2024</v>
      </c>
    </row>
    <row r="648" spans="1:15" ht="18" customHeight="1">
      <c r="A648" s="523" t="s">
        <v>13</v>
      </c>
      <c r="B648" s="524"/>
      <c r="C648" s="524"/>
      <c r="D648" s="524"/>
      <c r="E648" s="524"/>
      <c r="F648" s="525"/>
      <c r="G648" s="263"/>
      <c r="H648" s="264" t="s">
        <v>243</v>
      </c>
      <c r="I648" s="261" t="s">
        <v>191</v>
      </c>
      <c r="J648" s="261" t="s">
        <v>191</v>
      </c>
      <c r="K648" s="261" t="s">
        <v>194</v>
      </c>
      <c r="L648" s="261" t="s">
        <v>11</v>
      </c>
      <c r="M648" s="262" t="s">
        <v>196</v>
      </c>
    </row>
    <row r="649" spans="1:15" ht="18" customHeight="1">
      <c r="A649" s="265"/>
      <c r="B649" s="266"/>
      <c r="C649" s="266"/>
      <c r="D649" s="266"/>
      <c r="E649" s="266"/>
      <c r="F649" s="267"/>
      <c r="G649" s="263"/>
      <c r="H649" s="261"/>
      <c r="I649" s="261"/>
      <c r="J649" s="261">
        <v>2023</v>
      </c>
      <c r="K649" s="261">
        <v>2023</v>
      </c>
      <c r="L649" s="261"/>
      <c r="M649" s="262"/>
    </row>
    <row r="650" spans="1:15" ht="18" customHeight="1" thickBot="1">
      <c r="A650" s="526"/>
      <c r="B650" s="527"/>
      <c r="C650" s="527"/>
      <c r="D650" s="527"/>
      <c r="E650" s="527"/>
      <c r="F650" s="528"/>
      <c r="G650" s="449"/>
      <c r="H650" s="268"/>
      <c r="I650" s="369"/>
      <c r="J650" s="268"/>
      <c r="K650" s="268"/>
      <c r="L650" s="268"/>
      <c r="M650" s="269"/>
    </row>
    <row r="651" spans="1:15" ht="18" customHeight="1">
      <c r="A651" s="462"/>
      <c r="B651" s="193" t="s">
        <v>66</v>
      </c>
      <c r="C651" s="283"/>
      <c r="D651" s="193"/>
      <c r="E651" s="193"/>
      <c r="F651" s="463"/>
      <c r="G651" s="464"/>
      <c r="H651" s="489"/>
      <c r="I651" s="490"/>
      <c r="J651" s="491"/>
      <c r="K651" s="491"/>
      <c r="L651" s="491"/>
      <c r="M651" s="491"/>
    </row>
    <row r="652" spans="1:15" ht="18" customHeight="1">
      <c r="A652" s="270"/>
      <c r="B652" s="271"/>
      <c r="C652" s="271" t="s">
        <v>148</v>
      </c>
      <c r="D652" s="271"/>
      <c r="E652" s="271"/>
      <c r="F652" s="272"/>
      <c r="G652" s="273"/>
      <c r="H652" s="288"/>
      <c r="I652" s="289"/>
      <c r="J652" s="77"/>
      <c r="K652" s="77"/>
      <c r="L652" s="77"/>
      <c r="M652" s="77"/>
    </row>
    <row r="653" spans="1:15" ht="18" customHeight="1">
      <c r="A653" s="270"/>
      <c r="B653" s="271"/>
      <c r="C653" s="271"/>
      <c r="D653" s="271" t="s">
        <v>149</v>
      </c>
      <c r="E653" s="271"/>
      <c r="F653" s="272"/>
      <c r="G653" s="273" t="s">
        <v>213</v>
      </c>
      <c r="H653" s="275" t="s">
        <v>257</v>
      </c>
      <c r="I653" s="190">
        <v>1482600</v>
      </c>
      <c r="J653" s="62">
        <v>1531656</v>
      </c>
      <c r="K653" s="62">
        <f>1531656-J653</f>
        <v>0</v>
      </c>
      <c r="L653" s="62">
        <f>SUM(K653+J653)</f>
        <v>1531656</v>
      </c>
      <c r="M653" s="62">
        <v>1541462</v>
      </c>
    </row>
    <row r="654" spans="1:15" ht="18" customHeight="1">
      <c r="A654" s="270"/>
      <c r="B654" s="271"/>
      <c r="C654" s="271" t="s">
        <v>150</v>
      </c>
      <c r="D654" s="271"/>
      <c r="E654" s="271"/>
      <c r="F654" s="272"/>
      <c r="G654" s="273"/>
      <c r="H654" s="288"/>
      <c r="I654" s="190"/>
      <c r="J654" s="62"/>
      <c r="K654" s="62"/>
      <c r="L654" s="62"/>
      <c r="M654" s="62"/>
    </row>
    <row r="655" spans="1:15" ht="18" customHeight="1">
      <c r="A655" s="270"/>
      <c r="B655" s="271"/>
      <c r="C655" s="271"/>
      <c r="D655" s="271" t="s">
        <v>151</v>
      </c>
      <c r="E655" s="271"/>
      <c r="F655" s="272"/>
      <c r="G655" s="273" t="s">
        <v>214</v>
      </c>
      <c r="H655" s="275" t="s">
        <v>258</v>
      </c>
      <c r="I655" s="190">
        <v>72000</v>
      </c>
      <c r="J655" s="62">
        <v>72000</v>
      </c>
      <c r="K655" s="62">
        <f>72000-J655</f>
        <v>0</v>
      </c>
      <c r="L655" s="62">
        <f t="shared" ref="L655:L673" si="36">SUM(K655+J655)</f>
        <v>72000</v>
      </c>
      <c r="M655" s="62">
        <v>72000</v>
      </c>
    </row>
    <row r="656" spans="1:15" ht="18" customHeight="1">
      <c r="A656" s="270"/>
      <c r="B656" s="271"/>
      <c r="C656" s="271"/>
      <c r="D656" s="271" t="s">
        <v>161</v>
      </c>
      <c r="E656" s="271"/>
      <c r="F656" s="272"/>
      <c r="G656" s="273" t="s">
        <v>215</v>
      </c>
      <c r="H656" s="275" t="s">
        <v>259</v>
      </c>
      <c r="I656" s="190">
        <v>76500</v>
      </c>
      <c r="J656" s="62">
        <v>76500</v>
      </c>
      <c r="K656" s="62">
        <f>76500-J656</f>
        <v>0</v>
      </c>
      <c r="L656" s="62">
        <f t="shared" si="36"/>
        <v>76500</v>
      </c>
      <c r="M656" s="62">
        <v>76500</v>
      </c>
    </row>
    <row r="657" spans="1:13" ht="18" customHeight="1">
      <c r="A657" s="270"/>
      <c r="B657" s="271"/>
      <c r="C657" s="271"/>
      <c r="D657" s="271" t="s">
        <v>160</v>
      </c>
      <c r="E657" s="271"/>
      <c r="F657" s="272"/>
      <c r="G657" s="273" t="s">
        <v>216</v>
      </c>
      <c r="H657" s="275" t="s">
        <v>260</v>
      </c>
      <c r="I657" s="190">
        <v>76500</v>
      </c>
      <c r="J657" s="62">
        <v>76500</v>
      </c>
      <c r="K657" s="62">
        <f>76500-J657</f>
        <v>0</v>
      </c>
      <c r="L657" s="62">
        <f t="shared" si="36"/>
        <v>76500</v>
      </c>
      <c r="M657" s="62">
        <v>76500</v>
      </c>
    </row>
    <row r="658" spans="1:13" ht="18" customHeight="1">
      <c r="A658" s="270"/>
      <c r="B658" s="271"/>
      <c r="C658" s="271"/>
      <c r="D658" s="271" t="s">
        <v>162</v>
      </c>
      <c r="E658" s="271"/>
      <c r="F658" s="272"/>
      <c r="G658" s="273" t="s">
        <v>217</v>
      </c>
      <c r="H658" s="275" t="s">
        <v>261</v>
      </c>
      <c r="I658" s="190">
        <v>18000</v>
      </c>
      <c r="J658" s="62">
        <v>18000</v>
      </c>
      <c r="K658" s="62">
        <f>18000-J658</f>
        <v>0</v>
      </c>
      <c r="L658" s="62">
        <f t="shared" si="36"/>
        <v>18000</v>
      </c>
      <c r="M658" s="62">
        <v>18000</v>
      </c>
    </row>
    <row r="659" spans="1:13" ht="18" customHeight="1">
      <c r="A659" s="270"/>
      <c r="B659" s="271"/>
      <c r="C659" s="271"/>
      <c r="D659" s="271" t="s">
        <v>255</v>
      </c>
      <c r="E659" s="271"/>
      <c r="F659" s="272"/>
      <c r="G659" s="273" t="s">
        <v>219</v>
      </c>
      <c r="H659" s="275" t="s">
        <v>262</v>
      </c>
      <c r="I659" s="190">
        <v>15000</v>
      </c>
      <c r="J659" s="62">
        <v>15000</v>
      </c>
      <c r="K659" s="62">
        <f>15000-J659</f>
        <v>0</v>
      </c>
      <c r="L659" s="62">
        <f t="shared" si="36"/>
        <v>15000</v>
      </c>
      <c r="M659" s="62">
        <v>15000</v>
      </c>
    </row>
    <row r="660" spans="1:13" ht="18" hidden="1" customHeight="1">
      <c r="A660" s="270"/>
      <c r="B660" s="271"/>
      <c r="C660" s="271"/>
      <c r="D660" s="271" t="s">
        <v>164</v>
      </c>
      <c r="E660" s="271"/>
      <c r="F660" s="272"/>
      <c r="G660" s="273" t="s">
        <v>108</v>
      </c>
      <c r="H660" s="275" t="s">
        <v>263</v>
      </c>
      <c r="I660" s="190">
        <v>0</v>
      </c>
      <c r="J660" s="62">
        <v>0</v>
      </c>
      <c r="K660" s="62">
        <v>0</v>
      </c>
      <c r="L660" s="62">
        <f t="shared" si="36"/>
        <v>0</v>
      </c>
      <c r="M660" s="62">
        <v>0</v>
      </c>
    </row>
    <row r="661" spans="1:13" ht="18" hidden="1" customHeight="1">
      <c r="A661" s="270"/>
      <c r="B661" s="271"/>
      <c r="C661" s="271"/>
      <c r="D661" s="271" t="s">
        <v>487</v>
      </c>
      <c r="E661" s="271"/>
      <c r="F661" s="272"/>
      <c r="G661" s="273" t="s">
        <v>108</v>
      </c>
      <c r="H661" s="275" t="s">
        <v>263</v>
      </c>
      <c r="I661" s="190">
        <v>0</v>
      </c>
      <c r="J661" s="62">
        <v>0</v>
      </c>
      <c r="K661" s="62">
        <f>0-J661</f>
        <v>0</v>
      </c>
      <c r="L661" s="62">
        <f t="shared" si="36"/>
        <v>0</v>
      </c>
      <c r="M661" s="62">
        <v>0</v>
      </c>
    </row>
    <row r="662" spans="1:13" ht="18" customHeight="1">
      <c r="A662" s="270"/>
      <c r="B662" s="271"/>
      <c r="C662" s="271"/>
      <c r="D662" s="271" t="s">
        <v>475</v>
      </c>
      <c r="E662" s="271"/>
      <c r="F662" s="272"/>
      <c r="G662" s="273"/>
      <c r="H662" s="275" t="s">
        <v>263</v>
      </c>
      <c r="I662" s="190">
        <v>77651.600000000006</v>
      </c>
      <c r="J662" s="62">
        <v>0</v>
      </c>
      <c r="K662" s="62">
        <f>0-J662</f>
        <v>0</v>
      </c>
      <c r="L662" s="62">
        <f t="shared" si="36"/>
        <v>0</v>
      </c>
      <c r="M662" s="62">
        <v>0</v>
      </c>
    </row>
    <row r="663" spans="1:13" ht="18" customHeight="1">
      <c r="A663" s="270"/>
      <c r="B663" s="271"/>
      <c r="C663" s="271"/>
      <c r="D663" s="271" t="s">
        <v>166</v>
      </c>
      <c r="E663" s="271"/>
      <c r="F663" s="272"/>
      <c r="G663" s="273" t="s">
        <v>222</v>
      </c>
      <c r="H663" s="275" t="s">
        <v>264</v>
      </c>
      <c r="I663" s="190">
        <v>15000</v>
      </c>
      <c r="J663" s="62">
        <v>15000</v>
      </c>
      <c r="K663" s="62">
        <f>15000-J663</f>
        <v>0</v>
      </c>
      <c r="L663" s="62">
        <f t="shared" si="36"/>
        <v>15000</v>
      </c>
      <c r="M663" s="62">
        <v>15000</v>
      </c>
    </row>
    <row r="664" spans="1:13" ht="18" customHeight="1">
      <c r="A664" s="270"/>
      <c r="B664" s="271"/>
      <c r="C664" s="271"/>
      <c r="D664" s="271" t="s">
        <v>374</v>
      </c>
      <c r="E664" s="271"/>
      <c r="F664" s="271"/>
      <c r="G664" s="277" t="s">
        <v>108</v>
      </c>
      <c r="H664" s="275" t="s">
        <v>263</v>
      </c>
      <c r="I664" s="190">
        <v>123550</v>
      </c>
      <c r="J664" s="62">
        <v>127638</v>
      </c>
      <c r="K664" s="62">
        <f>127638-J664</f>
        <v>0</v>
      </c>
      <c r="L664" s="62">
        <f t="shared" si="36"/>
        <v>127638</v>
      </c>
      <c r="M664" s="62">
        <v>127880</v>
      </c>
    </row>
    <row r="665" spans="1:13" ht="18" customHeight="1">
      <c r="A665" s="270"/>
      <c r="B665" s="271"/>
      <c r="C665" s="271"/>
      <c r="D665" s="271" t="s">
        <v>167</v>
      </c>
      <c r="E665" s="271"/>
      <c r="F665" s="272"/>
      <c r="G665" s="273" t="s">
        <v>223</v>
      </c>
      <c r="H665" s="275" t="s">
        <v>265</v>
      </c>
      <c r="I665" s="190">
        <v>123550</v>
      </c>
      <c r="J665" s="62">
        <v>127638</v>
      </c>
      <c r="K665" s="62">
        <f>127638-J665</f>
        <v>0</v>
      </c>
      <c r="L665" s="62">
        <f t="shared" si="36"/>
        <v>127638</v>
      </c>
      <c r="M665" s="62">
        <v>129151</v>
      </c>
    </row>
    <row r="666" spans="1:13" ht="18" customHeight="1">
      <c r="A666" s="270"/>
      <c r="B666" s="271"/>
      <c r="C666" s="271"/>
      <c r="D666" s="271" t="s">
        <v>249</v>
      </c>
      <c r="E666" s="271"/>
      <c r="F666" s="272"/>
      <c r="G666" s="273" t="s">
        <v>224</v>
      </c>
      <c r="H666" s="275" t="s">
        <v>266</v>
      </c>
      <c r="I666" s="190">
        <v>179650</v>
      </c>
      <c r="J666" s="62">
        <v>183798.72</v>
      </c>
      <c r="K666" s="62">
        <f>184000-J666</f>
        <v>201.27999999999884</v>
      </c>
      <c r="L666" s="62">
        <f t="shared" si="36"/>
        <v>184000</v>
      </c>
      <c r="M666" s="62">
        <v>185000</v>
      </c>
    </row>
    <row r="667" spans="1:13" ht="18" customHeight="1">
      <c r="A667" s="270"/>
      <c r="B667" s="271"/>
      <c r="C667" s="271"/>
      <c r="D667" s="271" t="s">
        <v>168</v>
      </c>
      <c r="E667" s="271"/>
      <c r="F667" s="272"/>
      <c r="G667" s="273" t="s">
        <v>225</v>
      </c>
      <c r="H667" s="275" t="s">
        <v>267</v>
      </c>
      <c r="I667" s="190">
        <v>5400</v>
      </c>
      <c r="J667" s="62">
        <v>3600</v>
      </c>
      <c r="K667" s="62">
        <f>5400-J667</f>
        <v>1800</v>
      </c>
      <c r="L667" s="62">
        <f t="shared" si="36"/>
        <v>5400</v>
      </c>
      <c r="M667" s="62">
        <v>5400</v>
      </c>
    </row>
    <row r="668" spans="1:13" ht="18" customHeight="1">
      <c r="A668" s="270"/>
      <c r="B668" s="271"/>
      <c r="C668" s="271"/>
      <c r="D668" s="271" t="s">
        <v>169</v>
      </c>
      <c r="E668" s="271"/>
      <c r="F668" s="272"/>
      <c r="G668" s="273" t="s">
        <v>226</v>
      </c>
      <c r="H668" s="275" t="s">
        <v>268</v>
      </c>
      <c r="I668" s="190">
        <v>29350</v>
      </c>
      <c r="J668" s="62">
        <v>30240</v>
      </c>
      <c r="K668" s="62">
        <f>35000-J668</f>
        <v>4760</v>
      </c>
      <c r="L668" s="62">
        <f t="shared" si="36"/>
        <v>35000</v>
      </c>
      <c r="M668" s="62">
        <v>39000</v>
      </c>
    </row>
    <row r="669" spans="1:13" ht="18" customHeight="1">
      <c r="A669" s="270"/>
      <c r="B669" s="271"/>
      <c r="C669" s="271"/>
      <c r="D669" s="271" t="s">
        <v>248</v>
      </c>
      <c r="E669" s="271"/>
      <c r="F669" s="272"/>
      <c r="G669" s="273" t="s">
        <v>227</v>
      </c>
      <c r="H669" s="275" t="s">
        <v>269</v>
      </c>
      <c r="I669" s="190">
        <v>3600</v>
      </c>
      <c r="J669" s="62">
        <v>3600</v>
      </c>
      <c r="K669" s="62">
        <f>3600-J669</f>
        <v>0</v>
      </c>
      <c r="L669" s="62">
        <f t="shared" si="36"/>
        <v>3600</v>
      </c>
      <c r="M669" s="62">
        <v>3600</v>
      </c>
    </row>
    <row r="670" spans="1:13" ht="18" hidden="1" customHeight="1">
      <c r="A670" s="270"/>
      <c r="B670" s="271"/>
      <c r="C670" s="271"/>
      <c r="D670" s="271" t="s">
        <v>69</v>
      </c>
      <c r="E670" s="271"/>
      <c r="F670" s="272"/>
      <c r="G670" s="273" t="s">
        <v>228</v>
      </c>
      <c r="H670" s="275" t="s">
        <v>270</v>
      </c>
      <c r="I670" s="190">
        <v>0</v>
      </c>
      <c r="J670" s="62">
        <v>0</v>
      </c>
      <c r="K670" s="62">
        <v>0</v>
      </c>
      <c r="L670" s="62">
        <f t="shared" si="36"/>
        <v>0</v>
      </c>
      <c r="M670" s="62">
        <v>0</v>
      </c>
    </row>
    <row r="671" spans="1:13" ht="18" hidden="1" customHeight="1">
      <c r="A671" s="270"/>
      <c r="B671" s="271"/>
      <c r="C671" s="271"/>
      <c r="D671" s="271" t="s">
        <v>171</v>
      </c>
      <c r="E671" s="271"/>
      <c r="F671" s="272"/>
      <c r="G671" s="273" t="s">
        <v>82</v>
      </c>
      <c r="H671" s="275" t="s">
        <v>281</v>
      </c>
      <c r="I671" s="190">
        <v>0</v>
      </c>
      <c r="J671" s="62">
        <v>0</v>
      </c>
      <c r="K671" s="62">
        <v>0</v>
      </c>
      <c r="L671" s="62">
        <f t="shared" si="36"/>
        <v>0</v>
      </c>
      <c r="M671" s="62">
        <v>0</v>
      </c>
    </row>
    <row r="672" spans="1:13" ht="18" customHeight="1">
      <c r="A672" s="270"/>
      <c r="B672" s="271"/>
      <c r="C672" s="271"/>
      <c r="D672" s="271" t="s">
        <v>476</v>
      </c>
      <c r="E672" s="271"/>
      <c r="F672" s="272"/>
      <c r="G672" s="273"/>
      <c r="H672" s="275" t="s">
        <v>281</v>
      </c>
      <c r="I672" s="190">
        <v>60000</v>
      </c>
      <c r="J672" s="62">
        <v>60000</v>
      </c>
      <c r="K672" s="62">
        <f>60000-J672</f>
        <v>0</v>
      </c>
      <c r="L672" s="62">
        <f t="shared" si="36"/>
        <v>60000</v>
      </c>
      <c r="M672" s="62">
        <v>0</v>
      </c>
    </row>
    <row r="673" spans="1:13" ht="18" customHeight="1">
      <c r="A673" s="270"/>
      <c r="B673" s="271"/>
      <c r="C673" s="271"/>
      <c r="D673" s="271" t="s">
        <v>502</v>
      </c>
      <c r="E673" s="271"/>
      <c r="F673" s="272"/>
      <c r="G673" s="273"/>
      <c r="H673" s="275" t="s">
        <v>281</v>
      </c>
      <c r="I673" s="190"/>
      <c r="J673" s="62">
        <v>90000</v>
      </c>
      <c r="K673" s="62">
        <f>90000-J673</f>
        <v>0</v>
      </c>
      <c r="L673" s="62">
        <f t="shared" si="36"/>
        <v>90000</v>
      </c>
      <c r="M673" s="62">
        <v>0</v>
      </c>
    </row>
    <row r="674" spans="1:13" ht="18" customHeight="1">
      <c r="A674" s="278"/>
      <c r="B674" s="279"/>
      <c r="C674" s="279"/>
      <c r="D674" s="279" t="s">
        <v>68</v>
      </c>
      <c r="E674" s="279"/>
      <c r="F674" s="280"/>
      <c r="G674" s="281"/>
      <c r="H674" s="290"/>
      <c r="I674" s="171">
        <f>SUM(I653:I673)</f>
        <v>2358351.6</v>
      </c>
      <c r="J674" s="171">
        <f t="shared" ref="J674:M674" si="37">SUM(J653:J673)</f>
        <v>2431170.7200000002</v>
      </c>
      <c r="K674" s="171">
        <f t="shared" si="37"/>
        <v>6761.2799999999988</v>
      </c>
      <c r="L674" s="171">
        <f t="shared" si="37"/>
        <v>2437932</v>
      </c>
      <c r="M674" s="171">
        <f t="shared" si="37"/>
        <v>2304493</v>
      </c>
    </row>
    <row r="675" spans="1:13" ht="18" customHeight="1">
      <c r="A675" s="270"/>
      <c r="B675" s="271" t="s">
        <v>172</v>
      </c>
      <c r="C675" s="271"/>
      <c r="D675" s="271"/>
      <c r="E675" s="271"/>
      <c r="F675" s="272"/>
      <c r="G675" s="273"/>
      <c r="H675" s="288"/>
      <c r="I675" s="190"/>
      <c r="J675" s="62"/>
      <c r="K675" s="62"/>
      <c r="L675" s="62"/>
      <c r="M675" s="62"/>
    </row>
    <row r="676" spans="1:13" ht="18" customHeight="1">
      <c r="A676" s="270"/>
      <c r="B676" s="271"/>
      <c r="C676" s="271"/>
      <c r="D676" s="271" t="s">
        <v>173</v>
      </c>
      <c r="E676" s="271"/>
      <c r="F676" s="272"/>
      <c r="G676" s="273" t="s">
        <v>75</v>
      </c>
      <c r="H676" s="275" t="s">
        <v>271</v>
      </c>
      <c r="I676" s="190">
        <v>39970</v>
      </c>
      <c r="J676" s="62">
        <v>52503.74</v>
      </c>
      <c r="K676" s="62">
        <f>53000-J676</f>
        <v>496.26000000000204</v>
      </c>
      <c r="L676" s="62">
        <f t="shared" ref="L676:L684" si="38">SUM(K676+J676)</f>
        <v>53000</v>
      </c>
      <c r="M676" s="62">
        <v>80000</v>
      </c>
    </row>
    <row r="677" spans="1:13" ht="18" customHeight="1">
      <c r="A677" s="270"/>
      <c r="B677" s="271"/>
      <c r="C677" s="271"/>
      <c r="D677" s="271" t="s">
        <v>107</v>
      </c>
      <c r="E677" s="271"/>
      <c r="F677" s="272"/>
      <c r="G677" s="273" t="s">
        <v>76</v>
      </c>
      <c r="H677" s="275" t="s">
        <v>272</v>
      </c>
      <c r="I677" s="190">
        <v>41200</v>
      </c>
      <c r="J677" s="62">
        <v>54365.83</v>
      </c>
      <c r="K677" s="62">
        <f>54570-J677</f>
        <v>204.16999999999825</v>
      </c>
      <c r="L677" s="62">
        <f t="shared" si="38"/>
        <v>54570</v>
      </c>
      <c r="M677" s="62">
        <v>60000</v>
      </c>
    </row>
    <row r="678" spans="1:13" ht="18" customHeight="1">
      <c r="A678" s="270"/>
      <c r="B678" s="271"/>
      <c r="C678" s="271"/>
      <c r="D678" s="271" t="s">
        <v>73</v>
      </c>
      <c r="E678" s="271"/>
      <c r="F678" s="272"/>
      <c r="G678" s="273" t="s">
        <v>78</v>
      </c>
      <c r="H678" s="275" t="s">
        <v>273</v>
      </c>
      <c r="I678" s="190">
        <v>65777.679999999993</v>
      </c>
      <c r="J678" s="62">
        <v>74430</v>
      </c>
      <c r="K678" s="62">
        <f>74430-J678</f>
        <v>0</v>
      </c>
      <c r="L678" s="62">
        <f t="shared" si="38"/>
        <v>74430</v>
      </c>
      <c r="M678" s="62">
        <v>140000</v>
      </c>
    </row>
    <row r="679" spans="1:13" ht="18" hidden="1" customHeight="1">
      <c r="A679" s="270"/>
      <c r="B679" s="271"/>
      <c r="C679" s="271"/>
      <c r="D679" s="271" t="s">
        <v>177</v>
      </c>
      <c r="E679" s="271"/>
      <c r="F679" s="272"/>
      <c r="G679" s="273" t="s">
        <v>232</v>
      </c>
      <c r="H679" s="275" t="s">
        <v>274</v>
      </c>
      <c r="I679" s="190">
        <v>0</v>
      </c>
      <c r="J679" s="62">
        <v>0</v>
      </c>
      <c r="K679" s="62">
        <f>0-J679</f>
        <v>0</v>
      </c>
      <c r="L679" s="62">
        <f t="shared" si="38"/>
        <v>0</v>
      </c>
      <c r="M679" s="62">
        <v>0</v>
      </c>
    </row>
    <row r="680" spans="1:13" ht="18" customHeight="1">
      <c r="A680" s="270"/>
      <c r="B680" s="271"/>
      <c r="C680" s="271"/>
      <c r="D680" s="271" t="s">
        <v>179</v>
      </c>
      <c r="E680" s="271"/>
      <c r="F680" s="272"/>
      <c r="G680" s="273" t="s">
        <v>79</v>
      </c>
      <c r="H680" s="275" t="s">
        <v>275</v>
      </c>
      <c r="I680" s="190">
        <v>36000</v>
      </c>
      <c r="J680" s="62">
        <v>36000</v>
      </c>
      <c r="K680" s="62">
        <f>36000-J680</f>
        <v>0</v>
      </c>
      <c r="L680" s="62">
        <f t="shared" si="38"/>
        <v>36000</v>
      </c>
      <c r="M680" s="62">
        <v>36000</v>
      </c>
    </row>
    <row r="681" spans="1:13" ht="18" customHeight="1">
      <c r="A681" s="270"/>
      <c r="B681" s="271"/>
      <c r="C681" s="271"/>
      <c r="D681" s="271" t="s">
        <v>432</v>
      </c>
      <c r="E681" s="271"/>
      <c r="F681" s="272"/>
      <c r="G681" s="273" t="s">
        <v>80</v>
      </c>
      <c r="H681" s="275" t="s">
        <v>276</v>
      </c>
      <c r="I681" s="190">
        <v>6100</v>
      </c>
      <c r="J681" s="62">
        <v>12375</v>
      </c>
      <c r="K681" s="62">
        <f>16000-J681</f>
        <v>3625</v>
      </c>
      <c r="L681" s="62">
        <f t="shared" si="38"/>
        <v>16000</v>
      </c>
      <c r="M681" s="62">
        <v>40000</v>
      </c>
    </row>
    <row r="682" spans="1:13" ht="18" customHeight="1">
      <c r="A682" s="270"/>
      <c r="B682" s="271"/>
      <c r="C682" s="271"/>
      <c r="D682" s="271" t="s">
        <v>185</v>
      </c>
      <c r="E682" s="271"/>
      <c r="F682" s="272"/>
      <c r="G682" s="273" t="s">
        <v>81</v>
      </c>
      <c r="H682" s="275" t="s">
        <v>277</v>
      </c>
      <c r="I682" s="190">
        <v>1000</v>
      </c>
      <c r="J682" s="62">
        <v>0</v>
      </c>
      <c r="K682" s="62">
        <f>0-J682</f>
        <v>0</v>
      </c>
      <c r="L682" s="62">
        <f t="shared" si="38"/>
        <v>0</v>
      </c>
      <c r="M682" s="62">
        <v>15000</v>
      </c>
    </row>
    <row r="683" spans="1:13" ht="18" customHeight="1">
      <c r="A683" s="270"/>
      <c r="B683" s="271"/>
      <c r="C683" s="271"/>
      <c r="D683" s="271" t="s">
        <v>502</v>
      </c>
      <c r="E683" s="271"/>
      <c r="F683" s="272"/>
      <c r="G683" s="273"/>
      <c r="H683" s="275" t="s">
        <v>277</v>
      </c>
      <c r="I683" s="190">
        <v>75000</v>
      </c>
      <c r="J683" s="62">
        <v>0</v>
      </c>
      <c r="K683" s="62">
        <f>0-J683</f>
        <v>0</v>
      </c>
      <c r="L683" s="62">
        <f t="shared" si="38"/>
        <v>0</v>
      </c>
      <c r="M683" s="62">
        <v>0</v>
      </c>
    </row>
    <row r="684" spans="1:13" ht="18" hidden="1" customHeight="1">
      <c r="A684" s="270"/>
      <c r="B684" s="271"/>
      <c r="C684" s="271"/>
      <c r="D684" s="271" t="s">
        <v>177</v>
      </c>
      <c r="E684" s="271"/>
      <c r="F684" s="272"/>
      <c r="G684" s="273" t="s">
        <v>232</v>
      </c>
      <c r="H684" s="275" t="s">
        <v>274</v>
      </c>
      <c r="I684" s="190">
        <v>0</v>
      </c>
      <c r="J684" s="62">
        <v>0</v>
      </c>
      <c r="K684" s="62">
        <v>0</v>
      </c>
      <c r="L684" s="62">
        <f t="shared" si="38"/>
        <v>0</v>
      </c>
      <c r="M684" s="62">
        <v>0</v>
      </c>
    </row>
    <row r="685" spans="1:13" ht="18" customHeight="1">
      <c r="A685" s="278"/>
      <c r="B685" s="279"/>
      <c r="C685" s="279"/>
      <c r="D685" s="279" t="s">
        <v>322</v>
      </c>
      <c r="E685" s="279"/>
      <c r="F685" s="280"/>
      <c r="G685" s="281"/>
      <c r="H685" s="290"/>
      <c r="I685" s="171">
        <f>SUM(I676:I684)</f>
        <v>265047.67999999999</v>
      </c>
      <c r="J685" s="171">
        <f>SUM(J676:J684)</f>
        <v>229674.57</v>
      </c>
      <c r="K685" s="171">
        <f>SUM(K676:K684)</f>
        <v>4325.43</v>
      </c>
      <c r="L685" s="171">
        <f>SUM(L676:L684)</f>
        <v>234000</v>
      </c>
      <c r="M685" s="171">
        <f>SUM(M676:M684)</f>
        <v>371000</v>
      </c>
    </row>
    <row r="686" spans="1:13" ht="18" customHeight="1">
      <c r="A686" s="270"/>
      <c r="B686" s="271" t="s">
        <v>186</v>
      </c>
      <c r="C686" s="271"/>
      <c r="D686" s="271"/>
      <c r="E686" s="271"/>
      <c r="F686" s="272"/>
      <c r="G686" s="273"/>
      <c r="H686" s="288"/>
      <c r="I686" s="190"/>
      <c r="J686" s="62"/>
      <c r="K686" s="62"/>
      <c r="L686" s="62"/>
      <c r="M686" s="62"/>
    </row>
    <row r="687" spans="1:13" ht="18" customHeight="1">
      <c r="A687" s="270"/>
      <c r="B687" s="271"/>
      <c r="C687" s="271"/>
      <c r="D687" s="271" t="s">
        <v>408</v>
      </c>
      <c r="E687" s="271"/>
      <c r="F687" s="272"/>
      <c r="G687" s="273" t="s">
        <v>411</v>
      </c>
      <c r="H687" s="275" t="s">
        <v>481</v>
      </c>
      <c r="I687" s="190">
        <v>0</v>
      </c>
      <c r="J687" s="62">
        <v>0</v>
      </c>
      <c r="K687" s="62">
        <f>0-J687</f>
        <v>0</v>
      </c>
      <c r="L687" s="62">
        <f>SUM(K687+J687)</f>
        <v>0</v>
      </c>
      <c r="M687" s="62">
        <v>0</v>
      </c>
    </row>
    <row r="688" spans="1:13" ht="18" hidden="1" customHeight="1">
      <c r="A688" s="270"/>
      <c r="B688" s="271"/>
      <c r="C688" s="271"/>
      <c r="D688" s="271" t="s">
        <v>416</v>
      </c>
      <c r="E688" s="271"/>
      <c r="F688" s="272"/>
      <c r="G688" s="273"/>
      <c r="H688" s="275" t="s">
        <v>417</v>
      </c>
      <c r="I688" s="190">
        <v>0</v>
      </c>
      <c r="J688" s="62">
        <v>0</v>
      </c>
      <c r="K688" s="62">
        <f t="shared" ref="K688:K690" si="39">0-J688</f>
        <v>0</v>
      </c>
      <c r="L688" s="62">
        <f>SUM(K688+J688)</f>
        <v>0</v>
      </c>
      <c r="M688" s="62">
        <v>0</v>
      </c>
    </row>
    <row r="689" spans="1:15" ht="18" hidden="1" customHeight="1">
      <c r="A689" s="270"/>
      <c r="B689" s="271"/>
      <c r="C689" s="271"/>
      <c r="D689" s="271" t="s">
        <v>452</v>
      </c>
      <c r="E689" s="271"/>
      <c r="F689" s="272"/>
      <c r="G689" s="273"/>
      <c r="H689" s="275" t="s">
        <v>453</v>
      </c>
      <c r="I689" s="190">
        <v>0</v>
      </c>
      <c r="J689" s="62">
        <v>0</v>
      </c>
      <c r="K689" s="62">
        <f t="shared" si="39"/>
        <v>0</v>
      </c>
      <c r="L689" s="62">
        <f>SUM(K689+J689)</f>
        <v>0</v>
      </c>
      <c r="M689" s="62">
        <v>0</v>
      </c>
    </row>
    <row r="690" spans="1:15" ht="18" hidden="1" customHeight="1">
      <c r="A690" s="270"/>
      <c r="B690" s="271"/>
      <c r="C690" s="271"/>
      <c r="D690" s="271" t="s">
        <v>412</v>
      </c>
      <c r="E690" s="271"/>
      <c r="F690" s="272"/>
      <c r="G690" s="273" t="s">
        <v>413</v>
      </c>
      <c r="H690" s="275" t="s">
        <v>414</v>
      </c>
      <c r="I690" s="190">
        <v>0</v>
      </c>
      <c r="J690" s="62">
        <v>0</v>
      </c>
      <c r="K690" s="62">
        <f t="shared" si="39"/>
        <v>0</v>
      </c>
      <c r="L690" s="62">
        <f>SUM(K690+J690)</f>
        <v>0</v>
      </c>
      <c r="M690" s="62">
        <v>0</v>
      </c>
    </row>
    <row r="691" spans="1:15" ht="18" customHeight="1">
      <c r="A691" s="278"/>
      <c r="B691" s="279"/>
      <c r="C691" s="279"/>
      <c r="D691" s="279" t="s">
        <v>366</v>
      </c>
      <c r="E691" s="279"/>
      <c r="F691" s="280"/>
      <c r="G691" s="281"/>
      <c r="H691" s="290"/>
      <c r="I691" s="171">
        <f>SUM(I687:I690)</f>
        <v>0</v>
      </c>
      <c r="J691" s="171">
        <f>SUM(J687:J690)</f>
        <v>0</v>
      </c>
      <c r="K691" s="171">
        <f>SUM(K687:K690)</f>
        <v>0</v>
      </c>
      <c r="L691" s="171">
        <f>SUM(L687:L690)</f>
        <v>0</v>
      </c>
      <c r="M691" s="171">
        <f>SUM(M687:M690)</f>
        <v>0</v>
      </c>
    </row>
    <row r="692" spans="1:15" ht="5.0999999999999996" customHeight="1">
      <c r="A692" s="278"/>
      <c r="B692" s="279"/>
      <c r="C692" s="279"/>
      <c r="D692" s="279"/>
      <c r="E692" s="279"/>
      <c r="F692" s="280"/>
      <c r="G692" s="281"/>
      <c r="H692" s="290"/>
      <c r="I692" s="171"/>
      <c r="J692" s="191"/>
      <c r="K692" s="191"/>
      <c r="L692" s="191"/>
      <c r="M692" s="191"/>
    </row>
    <row r="693" spans="1:15" ht="18" customHeight="1">
      <c r="A693" s="282" t="s">
        <v>244</v>
      </c>
      <c r="B693" s="283"/>
      <c r="C693" s="283"/>
      <c r="D693" s="283"/>
      <c r="E693" s="283"/>
      <c r="F693" s="284"/>
      <c r="G693" s="285"/>
      <c r="H693" s="291"/>
      <c r="I693" s="188">
        <f>I674+I685+I691</f>
        <v>2623399.2800000003</v>
      </c>
      <c r="J693" s="188">
        <f t="shared" ref="J693:M693" si="40">J674+J685+J691</f>
        <v>2660845.29</v>
      </c>
      <c r="K693" s="188">
        <f t="shared" si="40"/>
        <v>11086.71</v>
      </c>
      <c r="L693" s="188">
        <f t="shared" si="40"/>
        <v>2671932</v>
      </c>
      <c r="M693" s="188">
        <f t="shared" si="40"/>
        <v>2675493</v>
      </c>
    </row>
    <row r="694" spans="1:15" ht="18" customHeight="1">
      <c r="A694" s="54"/>
      <c r="B694" s="71"/>
      <c r="C694" s="54"/>
      <c r="D694" s="54"/>
      <c r="E694" s="54"/>
      <c r="F694" s="54"/>
      <c r="G694" s="54"/>
      <c r="H694" s="135"/>
      <c r="I694" s="135"/>
      <c r="J694" s="72"/>
      <c r="K694" s="72"/>
      <c r="L694" s="72"/>
      <c r="M694" s="72"/>
    </row>
    <row r="695" spans="1:15" s="366" customFormat="1" ht="18" customHeight="1">
      <c r="A695" s="534"/>
      <c r="B695" s="534"/>
      <c r="C695" s="534"/>
      <c r="D695" s="534"/>
      <c r="E695" s="534"/>
      <c r="F695" s="534"/>
      <c r="G695" s="534"/>
      <c r="H695" s="534"/>
      <c r="I695" s="534"/>
      <c r="J695" s="534"/>
      <c r="K695" s="534"/>
      <c r="L695" s="534"/>
      <c r="M695" s="534"/>
      <c r="O695" s="166"/>
    </row>
    <row r="696" spans="1:15" s="366" customFormat="1" ht="18" customHeight="1">
      <c r="A696" s="368" t="s">
        <v>556</v>
      </c>
      <c r="B696" s="368"/>
      <c r="C696" s="368"/>
      <c r="D696" s="368"/>
      <c r="E696" s="368"/>
      <c r="F696" s="368"/>
      <c r="G696" s="368"/>
      <c r="H696" s="368"/>
      <c r="I696" s="368"/>
      <c r="J696" s="368"/>
      <c r="K696" s="368"/>
      <c r="L696" s="368"/>
      <c r="M696" s="368"/>
      <c r="O696" s="166"/>
    </row>
    <row r="697" spans="1:15" s="361" customFormat="1" ht="18" customHeight="1">
      <c r="A697" s="362"/>
      <c r="B697" s="363"/>
      <c r="C697" s="362"/>
      <c r="D697" s="362"/>
      <c r="E697" s="362"/>
      <c r="F697" s="364"/>
      <c r="G697" s="362"/>
      <c r="H697" s="365"/>
      <c r="I697" s="365"/>
      <c r="K697" s="136"/>
      <c r="L697" s="136"/>
      <c r="M697" s="72"/>
      <c r="O697" s="236"/>
    </row>
    <row r="698" spans="1:15" s="361" customFormat="1" ht="18" customHeight="1">
      <c r="A698" s="139" t="s">
        <v>245</v>
      </c>
      <c r="B698" s="139"/>
      <c r="D698" s="139"/>
      <c r="E698" s="139"/>
      <c r="G698" s="139"/>
      <c r="H698" s="139"/>
      <c r="I698" s="139" t="s">
        <v>246</v>
      </c>
      <c r="J698" s="139"/>
      <c r="K698" s="139"/>
      <c r="L698" s="139" t="s">
        <v>43</v>
      </c>
      <c r="M698" s="139"/>
      <c r="O698" s="236"/>
    </row>
    <row r="699" spans="1:15" s="361" customFormat="1" ht="18" customHeight="1">
      <c r="A699" s="51"/>
      <c r="B699" s="50"/>
      <c r="C699" s="52"/>
      <c r="D699" s="51"/>
      <c r="E699" s="51"/>
      <c r="F699" s="52"/>
      <c r="G699" s="51"/>
      <c r="H699" s="52"/>
      <c r="I699" s="51"/>
      <c r="J699" s="135"/>
      <c r="K699" s="76"/>
      <c r="L699" s="75"/>
      <c r="M699" s="136"/>
      <c r="O699" s="236"/>
    </row>
    <row r="700" spans="1:15" s="361" customFormat="1" ht="18" customHeight="1">
      <c r="A700" s="529" t="s">
        <v>431</v>
      </c>
      <c r="B700" s="529"/>
      <c r="C700" s="529"/>
      <c r="D700" s="529"/>
      <c r="E700" s="529"/>
      <c r="F700" s="529"/>
      <c r="G700" s="50"/>
      <c r="H700" s="73"/>
      <c r="I700" s="529" t="s">
        <v>12</v>
      </c>
      <c r="J700" s="529"/>
      <c r="K700" s="74"/>
      <c r="L700" s="529" t="s">
        <v>460</v>
      </c>
      <c r="M700" s="529"/>
      <c r="O700" s="236"/>
    </row>
    <row r="701" spans="1:15" s="367" customFormat="1" ht="20.100000000000001" customHeight="1">
      <c r="A701" s="517" t="s">
        <v>557</v>
      </c>
      <c r="B701" s="517"/>
      <c r="C701" s="517"/>
      <c r="D701" s="517"/>
      <c r="E701" s="517"/>
      <c r="F701" s="517"/>
      <c r="G701" s="33"/>
      <c r="H701" s="33"/>
      <c r="I701" s="518" t="s">
        <v>558</v>
      </c>
      <c r="J701" s="518"/>
      <c r="K701" s="33"/>
      <c r="L701" s="517" t="s">
        <v>559</v>
      </c>
      <c r="M701" s="517"/>
      <c r="O701" s="238"/>
    </row>
    <row r="702" spans="1:15" s="367" customFormat="1" ht="20.100000000000001" customHeight="1">
      <c r="A702" s="167"/>
      <c r="B702" s="167"/>
      <c r="C702" s="167"/>
      <c r="D702" s="167"/>
      <c r="E702" s="167"/>
      <c r="F702" s="167"/>
      <c r="G702" s="33"/>
      <c r="H702" s="33"/>
      <c r="I702" s="167"/>
      <c r="J702" s="167"/>
      <c r="K702" s="33"/>
      <c r="L702" s="167"/>
      <c r="M702" s="167"/>
      <c r="O702" s="238"/>
    </row>
    <row r="703" spans="1:15" s="33" customFormat="1" ht="15" customHeight="1">
      <c r="A703" s="519" t="s">
        <v>549</v>
      </c>
      <c r="B703" s="519"/>
      <c r="C703" s="519"/>
      <c r="D703" s="519"/>
      <c r="E703" s="519"/>
      <c r="F703" s="519"/>
      <c r="G703" s="519"/>
      <c r="H703" s="519"/>
      <c r="I703" s="519"/>
      <c r="J703" s="519"/>
      <c r="K703" s="519"/>
      <c r="L703" s="519"/>
      <c r="M703" s="519"/>
      <c r="O703" s="236"/>
    </row>
    <row r="704" spans="1:15" s="33" customFormat="1" ht="15" customHeight="1">
      <c r="A704" s="167"/>
      <c r="B704" s="167"/>
      <c r="C704" s="167"/>
      <c r="D704" s="167"/>
      <c r="E704" s="167"/>
      <c r="F704" s="167"/>
      <c r="G704" s="167"/>
      <c r="H704" s="167"/>
      <c r="I704" s="167"/>
      <c r="J704" s="167"/>
      <c r="K704" s="167"/>
      <c r="L704" s="167"/>
      <c r="M704" s="167"/>
      <c r="O704" s="236"/>
    </row>
    <row r="705" spans="1:15" s="33" customFormat="1" ht="18" customHeight="1">
      <c r="A705" s="142" t="s">
        <v>550</v>
      </c>
      <c r="B705" s="142"/>
      <c r="C705" s="142"/>
      <c r="D705" s="141"/>
      <c r="E705" s="141"/>
      <c r="F705" s="142" t="s">
        <v>37</v>
      </c>
      <c r="G705" s="142"/>
      <c r="H705" s="142"/>
      <c r="I705" s="142"/>
      <c r="J705" s="142" t="s">
        <v>551</v>
      </c>
      <c r="K705" s="142" t="str">
        <f>$K$9</f>
        <v>2024</v>
      </c>
      <c r="L705" s="142"/>
      <c r="M705" s="142"/>
      <c r="N705" s="163"/>
      <c r="O705" s="236"/>
    </row>
    <row r="706" spans="1:15" s="33" customFormat="1" ht="15.75">
      <c r="A706" s="142" t="s">
        <v>552</v>
      </c>
      <c r="B706" s="142"/>
      <c r="C706" s="142"/>
      <c r="D706" s="141"/>
      <c r="E706" s="142"/>
      <c r="F706" s="142" t="s">
        <v>554</v>
      </c>
      <c r="G706" s="142"/>
      <c r="H706" s="142"/>
      <c r="I706" s="142"/>
      <c r="J706" s="142" t="s">
        <v>553</v>
      </c>
      <c r="K706" s="50" t="s">
        <v>567</v>
      </c>
      <c r="L706" s="142"/>
      <c r="M706" s="142"/>
      <c r="N706" s="164"/>
      <c r="O706" s="236"/>
    </row>
    <row r="707" spans="1:15" s="33" customFormat="1" ht="15.75">
      <c r="A707" s="142" t="s">
        <v>555</v>
      </c>
      <c r="B707" s="142"/>
      <c r="C707" s="142"/>
      <c r="D707" s="142"/>
      <c r="E707" s="142"/>
      <c r="F707" s="142"/>
      <c r="G707" s="142"/>
      <c r="H707" s="142"/>
      <c r="I707" s="142"/>
      <c r="J707" s="142"/>
      <c r="K707" s="142" t="s">
        <v>568</v>
      </c>
      <c r="L707" s="142"/>
      <c r="M707" s="142"/>
      <c r="O707" s="236"/>
    </row>
    <row r="708" spans="1:15" s="52" customFormat="1" ht="18" customHeight="1" thickBot="1">
      <c r="A708" s="143"/>
      <c r="B708" s="143"/>
      <c r="C708" s="143"/>
      <c r="D708" s="143"/>
      <c r="E708" s="143"/>
      <c r="F708" s="143"/>
      <c r="G708" s="143"/>
      <c r="H708" s="143"/>
      <c r="I708" s="143"/>
      <c r="J708" s="143"/>
      <c r="K708" s="143"/>
      <c r="L708" s="143"/>
      <c r="M708" s="143"/>
      <c r="O708" s="236"/>
    </row>
    <row r="709" spans="1:15" ht="18" customHeight="1">
      <c r="A709" s="255"/>
      <c r="B709" s="256"/>
      <c r="C709" s="256"/>
      <c r="D709" s="256"/>
      <c r="E709" s="256"/>
      <c r="F709" s="257"/>
      <c r="G709" s="258"/>
      <c r="H709" s="259"/>
      <c r="I709" s="259" t="s">
        <v>6</v>
      </c>
      <c r="J709" s="520" t="s">
        <v>545</v>
      </c>
      <c r="K709" s="521"/>
      <c r="L709" s="522"/>
      <c r="M709" s="260" t="s">
        <v>7</v>
      </c>
    </row>
    <row r="710" spans="1:15" ht="18" customHeight="1">
      <c r="A710" s="523"/>
      <c r="B710" s="524"/>
      <c r="C710" s="524"/>
      <c r="D710" s="524"/>
      <c r="E710" s="524"/>
      <c r="F710" s="525"/>
      <c r="G710" s="448"/>
      <c r="H710" s="261"/>
      <c r="I710" s="261">
        <v>2022</v>
      </c>
      <c r="J710" s="261" t="s">
        <v>192</v>
      </c>
      <c r="K710" s="261" t="s">
        <v>193</v>
      </c>
      <c r="L710" s="261"/>
      <c r="M710" s="262">
        <v>2024</v>
      </c>
    </row>
    <row r="711" spans="1:15" ht="18" customHeight="1">
      <c r="A711" s="523" t="s">
        <v>13</v>
      </c>
      <c r="B711" s="524"/>
      <c r="C711" s="524"/>
      <c r="D711" s="524"/>
      <c r="E711" s="524"/>
      <c r="F711" s="525"/>
      <c r="G711" s="263"/>
      <c r="H711" s="264" t="s">
        <v>243</v>
      </c>
      <c r="I711" s="261" t="s">
        <v>191</v>
      </c>
      <c r="J711" s="261" t="s">
        <v>191</v>
      </c>
      <c r="K711" s="261" t="s">
        <v>194</v>
      </c>
      <c r="L711" s="261" t="s">
        <v>11</v>
      </c>
      <c r="M711" s="262" t="s">
        <v>196</v>
      </c>
    </row>
    <row r="712" spans="1:15" ht="18" customHeight="1">
      <c r="A712" s="265"/>
      <c r="B712" s="266"/>
      <c r="C712" s="266"/>
      <c r="D712" s="266"/>
      <c r="E712" s="266"/>
      <c r="F712" s="267"/>
      <c r="G712" s="263"/>
      <c r="H712" s="261"/>
      <c r="I712" s="261"/>
      <c r="J712" s="261">
        <v>2023</v>
      </c>
      <c r="K712" s="261">
        <v>2023</v>
      </c>
      <c r="L712" s="261"/>
      <c r="M712" s="262"/>
    </row>
    <row r="713" spans="1:15" ht="18" customHeight="1" thickBot="1">
      <c r="A713" s="526"/>
      <c r="B713" s="527"/>
      <c r="C713" s="527"/>
      <c r="D713" s="527"/>
      <c r="E713" s="527"/>
      <c r="F713" s="528"/>
      <c r="G713" s="449"/>
      <c r="H713" s="268"/>
      <c r="I713" s="369"/>
      <c r="J713" s="268"/>
      <c r="K713" s="268"/>
      <c r="L713" s="268"/>
      <c r="M713" s="269"/>
    </row>
    <row r="714" spans="1:15" ht="18" customHeight="1">
      <c r="A714" s="462"/>
      <c r="B714" s="193" t="s">
        <v>66</v>
      </c>
      <c r="C714" s="283"/>
      <c r="D714" s="193"/>
      <c r="E714" s="193"/>
      <c r="F714" s="463"/>
      <c r="G714" s="464"/>
      <c r="H714" s="489"/>
      <c r="I714" s="490"/>
      <c r="J714" s="491"/>
      <c r="K714" s="491"/>
      <c r="L714" s="491"/>
      <c r="M714" s="491"/>
    </row>
    <row r="715" spans="1:15" ht="18" customHeight="1">
      <c r="A715" s="270"/>
      <c r="B715" s="271"/>
      <c r="C715" s="271" t="s">
        <v>148</v>
      </c>
      <c r="D715" s="271"/>
      <c r="E715" s="271"/>
      <c r="F715" s="272"/>
      <c r="G715" s="273"/>
      <c r="H715" s="288"/>
      <c r="I715" s="289"/>
      <c r="J715" s="77"/>
      <c r="K715" s="77"/>
      <c r="L715" s="77"/>
      <c r="M715" s="77"/>
    </row>
    <row r="716" spans="1:15" ht="18" customHeight="1">
      <c r="A716" s="270"/>
      <c r="B716" s="271"/>
      <c r="C716" s="271"/>
      <c r="D716" s="271" t="s">
        <v>149</v>
      </c>
      <c r="E716" s="271"/>
      <c r="F716" s="272"/>
      <c r="G716" s="273" t="s">
        <v>213</v>
      </c>
      <c r="H716" s="275" t="s">
        <v>257</v>
      </c>
      <c r="I716" s="190">
        <v>2402139</v>
      </c>
      <c r="J716" s="62">
        <v>2726863.65</v>
      </c>
      <c r="K716" s="62">
        <f>3059352-J716</f>
        <v>332488.35000000009</v>
      </c>
      <c r="L716" s="62">
        <f>SUM(K716+J716)</f>
        <v>3059352</v>
      </c>
      <c r="M716" s="62">
        <v>3060828</v>
      </c>
    </row>
    <row r="717" spans="1:15" ht="18" customHeight="1">
      <c r="A717" s="270"/>
      <c r="B717" s="271"/>
      <c r="C717" s="271" t="s">
        <v>150</v>
      </c>
      <c r="D717" s="271"/>
      <c r="E717" s="271"/>
      <c r="F717" s="272"/>
      <c r="G717" s="273"/>
      <c r="H717" s="288"/>
      <c r="I717" s="190"/>
      <c r="J717" s="62"/>
      <c r="K717" s="62"/>
      <c r="L717" s="62"/>
      <c r="M717" s="62"/>
    </row>
    <row r="718" spans="1:15" ht="18" customHeight="1">
      <c r="A718" s="270"/>
      <c r="B718" s="271"/>
      <c r="C718" s="271"/>
      <c r="D718" s="271" t="s">
        <v>151</v>
      </c>
      <c r="E718" s="271"/>
      <c r="F718" s="272"/>
      <c r="G718" s="273" t="s">
        <v>214</v>
      </c>
      <c r="H718" s="275" t="s">
        <v>258</v>
      </c>
      <c r="I718" s="190">
        <v>142000</v>
      </c>
      <c r="J718" s="62">
        <v>152000</v>
      </c>
      <c r="K718" s="62">
        <f>192000-J718</f>
        <v>40000</v>
      </c>
      <c r="L718" s="62">
        <f t="shared" ref="L718:L737" si="41">SUM(K718+J718)</f>
        <v>192000</v>
      </c>
      <c r="M718" s="62">
        <v>192000</v>
      </c>
    </row>
    <row r="719" spans="1:15" ht="18" customHeight="1">
      <c r="A719" s="270"/>
      <c r="B719" s="271"/>
      <c r="C719" s="271"/>
      <c r="D719" s="271" t="s">
        <v>161</v>
      </c>
      <c r="E719" s="271"/>
      <c r="F719" s="272"/>
      <c r="G719" s="273" t="s">
        <v>215</v>
      </c>
      <c r="H719" s="275" t="s">
        <v>259</v>
      </c>
      <c r="I719" s="190">
        <v>76500</v>
      </c>
      <c r="J719" s="62">
        <v>76500</v>
      </c>
      <c r="K719" s="62">
        <f>76500-J719</f>
        <v>0</v>
      </c>
      <c r="L719" s="62">
        <f t="shared" si="41"/>
        <v>76500</v>
      </c>
      <c r="M719" s="62">
        <v>76500</v>
      </c>
    </row>
    <row r="720" spans="1:15" ht="18" customHeight="1">
      <c r="A720" s="270"/>
      <c r="B720" s="271"/>
      <c r="C720" s="271"/>
      <c r="D720" s="271" t="s">
        <v>160</v>
      </c>
      <c r="E720" s="271"/>
      <c r="F720" s="272"/>
      <c r="G720" s="273" t="s">
        <v>216</v>
      </c>
      <c r="H720" s="275" t="s">
        <v>260</v>
      </c>
      <c r="I720" s="190">
        <v>76500</v>
      </c>
      <c r="J720" s="62">
        <v>76500</v>
      </c>
      <c r="K720" s="62">
        <f>76500-J720</f>
        <v>0</v>
      </c>
      <c r="L720" s="62">
        <f t="shared" si="41"/>
        <v>76500</v>
      </c>
      <c r="M720" s="62">
        <v>76500</v>
      </c>
    </row>
    <row r="721" spans="1:13" ht="18" customHeight="1">
      <c r="A721" s="270"/>
      <c r="B721" s="271"/>
      <c r="C721" s="271"/>
      <c r="D721" s="271" t="s">
        <v>162</v>
      </c>
      <c r="E721" s="271"/>
      <c r="F721" s="272"/>
      <c r="G721" s="273" t="s">
        <v>217</v>
      </c>
      <c r="H721" s="275" t="s">
        <v>261</v>
      </c>
      <c r="I721" s="190">
        <v>42000</v>
      </c>
      <c r="J721" s="62">
        <v>36000</v>
      </c>
      <c r="K721" s="62">
        <f>48000-J721</f>
        <v>12000</v>
      </c>
      <c r="L721" s="62">
        <f t="shared" si="41"/>
        <v>48000</v>
      </c>
      <c r="M721" s="62">
        <v>48000</v>
      </c>
    </row>
    <row r="722" spans="1:13" ht="18" customHeight="1">
      <c r="A722" s="270"/>
      <c r="B722" s="271"/>
      <c r="C722" s="271"/>
      <c r="D722" s="271" t="s">
        <v>477</v>
      </c>
      <c r="E722" s="271"/>
      <c r="F722" s="272"/>
      <c r="G722" s="273" t="s">
        <v>218</v>
      </c>
      <c r="H722" s="275" t="s">
        <v>278</v>
      </c>
      <c r="I722" s="190">
        <v>108000</v>
      </c>
      <c r="J722" s="62">
        <v>51350</v>
      </c>
      <c r="K722" s="62">
        <f>108000-J722</f>
        <v>56650</v>
      </c>
      <c r="L722" s="62">
        <f t="shared" si="41"/>
        <v>108000</v>
      </c>
      <c r="M722" s="62">
        <v>108000</v>
      </c>
    </row>
    <row r="723" spans="1:13" ht="18" customHeight="1">
      <c r="A723" s="270"/>
      <c r="B723" s="271"/>
      <c r="C723" s="271"/>
      <c r="D723" s="271" t="s">
        <v>255</v>
      </c>
      <c r="E723" s="271"/>
      <c r="F723" s="272"/>
      <c r="G723" s="273" t="s">
        <v>219</v>
      </c>
      <c r="H723" s="275" t="s">
        <v>262</v>
      </c>
      <c r="I723" s="190">
        <v>35000</v>
      </c>
      <c r="J723" s="62">
        <v>35000</v>
      </c>
      <c r="K723" s="62">
        <f>40000-J723</f>
        <v>5000</v>
      </c>
      <c r="L723" s="62">
        <f t="shared" si="41"/>
        <v>40000</v>
      </c>
      <c r="M723" s="62">
        <v>40000</v>
      </c>
    </row>
    <row r="724" spans="1:13" ht="18" customHeight="1">
      <c r="A724" s="270"/>
      <c r="B724" s="271"/>
      <c r="C724" s="271"/>
      <c r="D724" s="271" t="s">
        <v>164</v>
      </c>
      <c r="E724" s="271"/>
      <c r="F724" s="272"/>
      <c r="G724" s="273" t="s">
        <v>108</v>
      </c>
      <c r="H724" s="275" t="s">
        <v>263</v>
      </c>
      <c r="I724" s="190">
        <v>0</v>
      </c>
      <c r="J724" s="62">
        <v>0</v>
      </c>
      <c r="K724" s="62">
        <f>0-J724</f>
        <v>0</v>
      </c>
      <c r="L724" s="62">
        <f t="shared" si="41"/>
        <v>0</v>
      </c>
      <c r="M724" s="62">
        <v>5000</v>
      </c>
    </row>
    <row r="725" spans="1:13" ht="18" hidden="1" customHeight="1">
      <c r="A725" s="270"/>
      <c r="B725" s="271"/>
      <c r="C725" s="271"/>
      <c r="D725" s="271" t="s">
        <v>487</v>
      </c>
      <c r="E725" s="271"/>
      <c r="F725" s="272"/>
      <c r="G725" s="273" t="s">
        <v>108</v>
      </c>
      <c r="H725" s="275" t="s">
        <v>263</v>
      </c>
      <c r="I725" s="190">
        <v>0</v>
      </c>
      <c r="J725" s="62">
        <v>0</v>
      </c>
      <c r="K725" s="62">
        <f>0-J725</f>
        <v>0</v>
      </c>
      <c r="L725" s="62">
        <f t="shared" si="41"/>
        <v>0</v>
      </c>
      <c r="M725" s="62">
        <v>0</v>
      </c>
    </row>
    <row r="726" spans="1:13" ht="18" customHeight="1">
      <c r="A726" s="270"/>
      <c r="B726" s="271"/>
      <c r="C726" s="271"/>
      <c r="D726" s="271" t="s">
        <v>475</v>
      </c>
      <c r="E726" s="271"/>
      <c r="F726" s="272"/>
      <c r="G726" s="273"/>
      <c r="H726" s="275" t="s">
        <v>263</v>
      </c>
      <c r="I726" s="190">
        <v>90549.55</v>
      </c>
      <c r="J726" s="62">
        <v>0</v>
      </c>
      <c r="K726" s="62">
        <f>0-J726</f>
        <v>0</v>
      </c>
      <c r="L726" s="62">
        <f t="shared" si="41"/>
        <v>0</v>
      </c>
      <c r="M726" s="62">
        <v>0</v>
      </c>
    </row>
    <row r="727" spans="1:13" ht="18" customHeight="1">
      <c r="A727" s="270"/>
      <c r="B727" s="271"/>
      <c r="C727" s="271"/>
      <c r="D727" s="271" t="s">
        <v>165</v>
      </c>
      <c r="E727" s="271"/>
      <c r="F727" s="272"/>
      <c r="G727" s="273" t="s">
        <v>220</v>
      </c>
      <c r="H727" s="275" t="s">
        <v>279</v>
      </c>
      <c r="I727" s="190">
        <v>167080.79999999999</v>
      </c>
      <c r="J727" s="62">
        <v>149316</v>
      </c>
      <c r="K727" s="62">
        <f>167080.8-J727</f>
        <v>17764.799999999988</v>
      </c>
      <c r="L727" s="62">
        <f t="shared" si="41"/>
        <v>167080.79999999999</v>
      </c>
      <c r="M727" s="62">
        <v>167080.79999999999</v>
      </c>
    </row>
    <row r="728" spans="1:13" ht="18" customHeight="1">
      <c r="A728" s="270"/>
      <c r="B728" s="271"/>
      <c r="C728" s="271"/>
      <c r="D728" s="271" t="s">
        <v>166</v>
      </c>
      <c r="E728" s="271"/>
      <c r="F728" s="272"/>
      <c r="G728" s="273" t="s">
        <v>222</v>
      </c>
      <c r="H728" s="275" t="s">
        <v>264</v>
      </c>
      <c r="I728" s="190">
        <v>35000</v>
      </c>
      <c r="J728" s="62">
        <v>35000</v>
      </c>
      <c r="K728" s="62">
        <f>40000-J728</f>
        <v>5000</v>
      </c>
      <c r="L728" s="62">
        <f t="shared" si="41"/>
        <v>40000</v>
      </c>
      <c r="M728" s="62">
        <v>40000</v>
      </c>
    </row>
    <row r="729" spans="1:13" ht="18" customHeight="1">
      <c r="A729" s="270"/>
      <c r="B729" s="271"/>
      <c r="C729" s="271"/>
      <c r="D729" s="271" t="s">
        <v>374</v>
      </c>
      <c r="E729" s="271"/>
      <c r="F729" s="271"/>
      <c r="G729" s="277" t="s">
        <v>108</v>
      </c>
      <c r="H729" s="275" t="s">
        <v>263</v>
      </c>
      <c r="I729" s="190">
        <v>186293</v>
      </c>
      <c r="J729" s="62">
        <v>215214</v>
      </c>
      <c r="K729" s="62">
        <f>254946-J729</f>
        <v>39732</v>
      </c>
      <c r="L729" s="62">
        <f t="shared" si="41"/>
        <v>254946</v>
      </c>
      <c r="M729" s="62">
        <v>254946</v>
      </c>
    </row>
    <row r="730" spans="1:13" ht="18" customHeight="1">
      <c r="A730" s="270"/>
      <c r="B730" s="271"/>
      <c r="C730" s="271"/>
      <c r="D730" s="271" t="s">
        <v>167</v>
      </c>
      <c r="E730" s="271"/>
      <c r="F730" s="272"/>
      <c r="G730" s="273" t="s">
        <v>223</v>
      </c>
      <c r="H730" s="275" t="s">
        <v>265</v>
      </c>
      <c r="I730" s="190">
        <v>224453</v>
      </c>
      <c r="J730" s="62">
        <v>238164</v>
      </c>
      <c r="K730" s="62">
        <f>254946-J730</f>
        <v>16782</v>
      </c>
      <c r="L730" s="62">
        <f t="shared" si="41"/>
        <v>254946</v>
      </c>
      <c r="M730" s="62">
        <v>255192</v>
      </c>
    </row>
    <row r="731" spans="1:13" ht="18" customHeight="1">
      <c r="A731" s="270"/>
      <c r="B731" s="271"/>
      <c r="C731" s="271"/>
      <c r="D731" s="271" t="s">
        <v>249</v>
      </c>
      <c r="E731" s="271"/>
      <c r="F731" s="272"/>
      <c r="G731" s="273" t="s">
        <v>224</v>
      </c>
      <c r="H731" s="275" t="s">
        <v>266</v>
      </c>
      <c r="I731" s="190">
        <v>292350</v>
      </c>
      <c r="J731" s="62">
        <v>326432.15999999997</v>
      </c>
      <c r="K731" s="62">
        <f>367500-J731</f>
        <v>41067.840000000026</v>
      </c>
      <c r="L731" s="62">
        <f t="shared" si="41"/>
        <v>367500</v>
      </c>
      <c r="M731" s="62">
        <v>367500</v>
      </c>
    </row>
    <row r="732" spans="1:13" ht="18" customHeight="1">
      <c r="A732" s="270"/>
      <c r="B732" s="271"/>
      <c r="C732" s="271"/>
      <c r="D732" s="271" t="s">
        <v>168</v>
      </c>
      <c r="E732" s="271"/>
      <c r="F732" s="272"/>
      <c r="G732" s="273" t="s">
        <v>225</v>
      </c>
      <c r="H732" s="275" t="s">
        <v>267</v>
      </c>
      <c r="I732" s="190">
        <v>10650</v>
      </c>
      <c r="J732" s="62">
        <v>7700</v>
      </c>
      <c r="K732" s="62">
        <f>14400-J732</f>
        <v>6700</v>
      </c>
      <c r="L732" s="62">
        <f t="shared" si="41"/>
        <v>14400</v>
      </c>
      <c r="M732" s="62">
        <v>14400</v>
      </c>
    </row>
    <row r="733" spans="1:13" ht="18" customHeight="1">
      <c r="A733" s="270"/>
      <c r="B733" s="271"/>
      <c r="C733" s="271"/>
      <c r="D733" s="271" t="s">
        <v>169</v>
      </c>
      <c r="E733" s="271"/>
      <c r="F733" s="272"/>
      <c r="G733" s="273" t="s">
        <v>226</v>
      </c>
      <c r="H733" s="275" t="s">
        <v>268</v>
      </c>
      <c r="I733" s="190">
        <v>50720</v>
      </c>
      <c r="J733" s="62">
        <v>52893</v>
      </c>
      <c r="K733" s="62">
        <f>69000-J733</f>
        <v>16107</v>
      </c>
      <c r="L733" s="62">
        <f t="shared" si="41"/>
        <v>69000</v>
      </c>
      <c r="M733" s="62">
        <v>77000</v>
      </c>
    </row>
    <row r="734" spans="1:13" ht="18" customHeight="1">
      <c r="A734" s="270"/>
      <c r="B734" s="271"/>
      <c r="C734" s="271"/>
      <c r="D734" s="271" t="s">
        <v>248</v>
      </c>
      <c r="E734" s="271"/>
      <c r="F734" s="272"/>
      <c r="G734" s="273" t="s">
        <v>227</v>
      </c>
      <c r="H734" s="275" t="s">
        <v>269</v>
      </c>
      <c r="I734" s="190">
        <v>7100</v>
      </c>
      <c r="J734" s="62">
        <v>7800</v>
      </c>
      <c r="K734" s="62">
        <f>9600-J734</f>
        <v>1800</v>
      </c>
      <c r="L734" s="62">
        <f t="shared" si="41"/>
        <v>9600</v>
      </c>
      <c r="M734" s="62">
        <v>9600</v>
      </c>
    </row>
    <row r="735" spans="1:13" ht="18" hidden="1" customHeight="1">
      <c r="A735" s="270"/>
      <c r="B735" s="271"/>
      <c r="C735" s="271"/>
      <c r="D735" s="271" t="s">
        <v>171</v>
      </c>
      <c r="E735" s="271"/>
      <c r="F735" s="272"/>
      <c r="G735" s="273" t="s">
        <v>82</v>
      </c>
      <c r="H735" s="275" t="s">
        <v>281</v>
      </c>
      <c r="I735" s="190">
        <v>0</v>
      </c>
      <c r="J735" s="62">
        <v>0</v>
      </c>
      <c r="K735" s="62">
        <f>0-J735</f>
        <v>0</v>
      </c>
      <c r="L735" s="62">
        <f t="shared" si="41"/>
        <v>0</v>
      </c>
      <c r="M735" s="62">
        <v>0</v>
      </c>
    </row>
    <row r="736" spans="1:13" ht="18" customHeight="1">
      <c r="A736" s="270"/>
      <c r="B736" s="271"/>
      <c r="C736" s="271"/>
      <c r="D736" s="271" t="s">
        <v>476</v>
      </c>
      <c r="E736" s="271"/>
      <c r="F736" s="272"/>
      <c r="G736" s="273"/>
      <c r="H736" s="275" t="s">
        <v>281</v>
      </c>
      <c r="I736" s="190">
        <v>140000</v>
      </c>
      <c r="J736" s="62">
        <v>140000</v>
      </c>
      <c r="K736" s="62">
        <f>140000-J736</f>
        <v>0</v>
      </c>
      <c r="L736" s="62">
        <f t="shared" si="41"/>
        <v>140000</v>
      </c>
      <c r="M736" s="62">
        <v>0</v>
      </c>
    </row>
    <row r="737" spans="1:13" ht="18" customHeight="1">
      <c r="A737" s="270"/>
      <c r="B737" s="271"/>
      <c r="C737" s="271"/>
      <c r="D737" s="271" t="s">
        <v>502</v>
      </c>
      <c r="E737" s="271"/>
      <c r="F737" s="272"/>
      <c r="G737" s="273"/>
      <c r="H737" s="275" t="s">
        <v>281</v>
      </c>
      <c r="I737" s="190"/>
      <c r="J737" s="62">
        <v>210000</v>
      </c>
      <c r="K737" s="62">
        <f>210000-J737</f>
        <v>0</v>
      </c>
      <c r="L737" s="62">
        <f t="shared" si="41"/>
        <v>210000</v>
      </c>
      <c r="M737" s="62"/>
    </row>
    <row r="738" spans="1:13" ht="18" customHeight="1">
      <c r="A738" s="278"/>
      <c r="B738" s="279"/>
      <c r="C738" s="279"/>
      <c r="D738" s="279" t="s">
        <v>68</v>
      </c>
      <c r="E738" s="279"/>
      <c r="F738" s="280"/>
      <c r="G738" s="281"/>
      <c r="H738" s="290"/>
      <c r="I738" s="171">
        <f>SUM(I716:I737)</f>
        <v>4086335.3499999996</v>
      </c>
      <c r="J738" s="171">
        <f t="shared" ref="J738:M738" si="42">SUM(J716:J737)</f>
        <v>4536732.8100000005</v>
      </c>
      <c r="K738" s="171">
        <f t="shared" si="42"/>
        <v>591091.99000000022</v>
      </c>
      <c r="L738" s="171">
        <f t="shared" si="42"/>
        <v>5127824.8</v>
      </c>
      <c r="M738" s="171">
        <f t="shared" si="42"/>
        <v>4792546.8</v>
      </c>
    </row>
    <row r="739" spans="1:13" ht="18" customHeight="1">
      <c r="A739" s="270"/>
      <c r="B739" s="271" t="s">
        <v>172</v>
      </c>
      <c r="C739" s="271"/>
      <c r="D739" s="271"/>
      <c r="E739" s="271"/>
      <c r="F739" s="272"/>
      <c r="G739" s="273"/>
      <c r="H739" s="288"/>
      <c r="I739" s="190"/>
      <c r="J739" s="62"/>
      <c r="K739" s="62"/>
      <c r="L739" s="62"/>
      <c r="M739" s="62"/>
    </row>
    <row r="740" spans="1:13" ht="18" customHeight="1">
      <c r="A740" s="270"/>
      <c r="B740" s="271"/>
      <c r="C740" s="271"/>
      <c r="D740" s="271" t="s">
        <v>173</v>
      </c>
      <c r="E740" s="271"/>
      <c r="F740" s="272"/>
      <c r="G740" s="273" t="s">
        <v>75</v>
      </c>
      <c r="H740" s="275" t="s">
        <v>271</v>
      </c>
      <c r="I740" s="190">
        <v>61580</v>
      </c>
      <c r="J740" s="62">
        <v>107538</v>
      </c>
      <c r="K740" s="62">
        <f>108000-J740</f>
        <v>462</v>
      </c>
      <c r="L740" s="62">
        <f t="shared" ref="L740:L749" si="43">SUM(K740+J740)</f>
        <v>108000</v>
      </c>
      <c r="M740" s="62">
        <v>150000</v>
      </c>
    </row>
    <row r="741" spans="1:13" ht="18" customHeight="1">
      <c r="A741" s="270"/>
      <c r="B741" s="271"/>
      <c r="C741" s="271"/>
      <c r="D741" s="271" t="s">
        <v>107</v>
      </c>
      <c r="E741" s="271"/>
      <c r="F741" s="272"/>
      <c r="G741" s="273" t="s">
        <v>76</v>
      </c>
      <c r="H741" s="275" t="s">
        <v>272</v>
      </c>
      <c r="I741" s="190">
        <v>117021</v>
      </c>
      <c r="J741" s="62">
        <v>106834</v>
      </c>
      <c r="K741" s="62">
        <f>120000-J741</f>
        <v>13166</v>
      </c>
      <c r="L741" s="62">
        <f t="shared" si="43"/>
        <v>120000</v>
      </c>
      <c r="M741" s="62">
        <v>200000</v>
      </c>
    </row>
    <row r="742" spans="1:13" ht="18" customHeight="1">
      <c r="A742" s="270"/>
      <c r="B742" s="271"/>
      <c r="C742" s="271"/>
      <c r="D742" s="271" t="s">
        <v>73</v>
      </c>
      <c r="E742" s="271"/>
      <c r="F742" s="272"/>
      <c r="G742" s="273" t="s">
        <v>78</v>
      </c>
      <c r="H742" s="275" t="s">
        <v>273</v>
      </c>
      <c r="I742" s="190">
        <v>129825</v>
      </c>
      <c r="J742" s="62">
        <v>100190</v>
      </c>
      <c r="K742" s="62">
        <f>200000-J742</f>
        <v>99810</v>
      </c>
      <c r="L742" s="62">
        <f t="shared" si="43"/>
        <v>200000</v>
      </c>
      <c r="M742" s="62">
        <v>300000</v>
      </c>
    </row>
    <row r="743" spans="1:13" ht="18" customHeight="1">
      <c r="A743" s="270"/>
      <c r="B743" s="271"/>
      <c r="C743" s="271"/>
      <c r="D743" s="271" t="s">
        <v>177</v>
      </c>
      <c r="E743" s="271"/>
      <c r="F743" s="272"/>
      <c r="G743" s="273" t="s">
        <v>232</v>
      </c>
      <c r="H743" s="275" t="s">
        <v>274</v>
      </c>
      <c r="I743" s="190">
        <v>215</v>
      </c>
      <c r="J743" s="62">
        <v>0</v>
      </c>
      <c r="K743" s="62">
        <f>1200-J743</f>
        <v>1200</v>
      </c>
      <c r="L743" s="62">
        <f t="shared" si="43"/>
        <v>1200</v>
      </c>
      <c r="M743" s="62">
        <v>1200</v>
      </c>
    </row>
    <row r="744" spans="1:13" ht="18" customHeight="1">
      <c r="A744" s="270"/>
      <c r="B744" s="271"/>
      <c r="C744" s="271"/>
      <c r="D744" s="271" t="s">
        <v>179</v>
      </c>
      <c r="E744" s="271"/>
      <c r="F744" s="272"/>
      <c r="G744" s="273" t="s">
        <v>79</v>
      </c>
      <c r="H744" s="275" t="s">
        <v>275</v>
      </c>
      <c r="I744" s="190">
        <v>36000</v>
      </c>
      <c r="J744" s="62">
        <v>33000</v>
      </c>
      <c r="K744" s="62">
        <f>36000-J744</f>
        <v>3000</v>
      </c>
      <c r="L744" s="62">
        <f t="shared" si="43"/>
        <v>36000</v>
      </c>
      <c r="M744" s="62">
        <v>36000</v>
      </c>
    </row>
    <row r="745" spans="1:13" ht="18" customHeight="1">
      <c r="A745" s="270"/>
      <c r="B745" s="271"/>
      <c r="C745" s="271"/>
      <c r="D745" s="271" t="s">
        <v>432</v>
      </c>
      <c r="E745" s="271"/>
      <c r="F745" s="272"/>
      <c r="G745" s="273" t="s">
        <v>80</v>
      </c>
      <c r="H745" s="275" t="s">
        <v>276</v>
      </c>
      <c r="I745" s="190">
        <v>0</v>
      </c>
      <c r="J745" s="62">
        <v>14000</v>
      </c>
      <c r="K745" s="62">
        <f>50000-J745</f>
        <v>36000</v>
      </c>
      <c r="L745" s="62">
        <f t="shared" si="43"/>
        <v>50000</v>
      </c>
      <c r="M745" s="62">
        <v>50000</v>
      </c>
    </row>
    <row r="746" spans="1:13" ht="18" customHeight="1">
      <c r="A746" s="270"/>
      <c r="B746" s="271"/>
      <c r="C746" s="271"/>
      <c r="D746" s="271" t="s">
        <v>183</v>
      </c>
      <c r="E746" s="271"/>
      <c r="F746" s="272"/>
      <c r="G746" s="273" t="s">
        <v>237</v>
      </c>
      <c r="H746" s="275" t="s">
        <v>289</v>
      </c>
      <c r="I746" s="190">
        <v>1767323.5</v>
      </c>
      <c r="J746" s="62">
        <v>1814953</v>
      </c>
      <c r="K746" s="62">
        <f>1837840-J746</f>
        <v>22887</v>
      </c>
      <c r="L746" s="62">
        <f t="shared" si="43"/>
        <v>1837840</v>
      </c>
      <c r="M746" s="62">
        <v>2000000</v>
      </c>
    </row>
    <row r="747" spans="1:13" ht="18" customHeight="1">
      <c r="A747" s="270"/>
      <c r="B747" s="271"/>
      <c r="C747" s="271"/>
      <c r="D747" s="271" t="s">
        <v>500</v>
      </c>
      <c r="E747" s="271"/>
      <c r="F747" s="272"/>
      <c r="G747" s="273"/>
      <c r="H747" s="275"/>
      <c r="I747" s="190">
        <v>4082985.4</v>
      </c>
      <c r="J747" s="62">
        <v>2861530.05</v>
      </c>
      <c r="K747" s="62">
        <f>3434995.5-J747</f>
        <v>573465.45000000019</v>
      </c>
      <c r="L747" s="62">
        <f t="shared" si="43"/>
        <v>3434995.5</v>
      </c>
      <c r="M747" s="62">
        <v>4000000</v>
      </c>
    </row>
    <row r="748" spans="1:13" ht="18" customHeight="1">
      <c r="A748" s="270"/>
      <c r="B748" s="271"/>
      <c r="C748" s="271"/>
      <c r="D748" s="271" t="s">
        <v>185</v>
      </c>
      <c r="E748" s="271"/>
      <c r="F748" s="272"/>
      <c r="G748" s="273" t="s">
        <v>81</v>
      </c>
      <c r="H748" s="275" t="s">
        <v>277</v>
      </c>
      <c r="I748" s="190">
        <v>11328</v>
      </c>
      <c r="J748" s="62">
        <v>24782</v>
      </c>
      <c r="K748" s="62">
        <f>150000-J748</f>
        <v>125218</v>
      </c>
      <c r="L748" s="62">
        <f t="shared" si="43"/>
        <v>150000</v>
      </c>
      <c r="M748" s="62">
        <v>150000</v>
      </c>
    </row>
    <row r="749" spans="1:13" ht="18" customHeight="1">
      <c r="A749" s="270"/>
      <c r="B749" s="271"/>
      <c r="C749" s="271"/>
      <c r="D749" s="271" t="s">
        <v>502</v>
      </c>
      <c r="E749" s="271"/>
      <c r="F749" s="272"/>
      <c r="G749" s="273"/>
      <c r="H749" s="275" t="s">
        <v>277</v>
      </c>
      <c r="I749" s="190">
        <v>162500</v>
      </c>
      <c r="J749" s="62">
        <v>0</v>
      </c>
      <c r="K749" s="62">
        <f>0-J749</f>
        <v>0</v>
      </c>
      <c r="L749" s="62">
        <f t="shared" si="43"/>
        <v>0</v>
      </c>
      <c r="M749" s="62">
        <v>0</v>
      </c>
    </row>
    <row r="750" spans="1:13" ht="18" customHeight="1">
      <c r="A750" s="278"/>
      <c r="B750" s="279"/>
      <c r="C750" s="279"/>
      <c r="D750" s="279" t="s">
        <v>322</v>
      </c>
      <c r="E750" s="279"/>
      <c r="F750" s="280"/>
      <c r="G750" s="281"/>
      <c r="H750" s="290"/>
      <c r="I750" s="171">
        <f>SUM(I740:I749)</f>
        <v>6368777.9000000004</v>
      </c>
      <c r="J750" s="171">
        <f>SUM(J740:J749)</f>
        <v>5062827.05</v>
      </c>
      <c r="K750" s="171">
        <f>SUM(K740:K749)</f>
        <v>875208.45000000019</v>
      </c>
      <c r="L750" s="171">
        <f>SUM(L740:L749)</f>
        <v>5938035.5</v>
      </c>
      <c r="M750" s="171">
        <f>SUM(M740:M749)</f>
        <v>6887200</v>
      </c>
    </row>
    <row r="751" spans="1:13" ht="18" customHeight="1">
      <c r="A751" s="270"/>
      <c r="B751" s="271" t="s">
        <v>186</v>
      </c>
      <c r="C751" s="271"/>
      <c r="D751" s="271"/>
      <c r="E751" s="271"/>
      <c r="F751" s="272"/>
      <c r="G751" s="273"/>
      <c r="H751" s="288"/>
      <c r="I751" s="190"/>
      <c r="J751" s="62"/>
      <c r="K751" s="62"/>
      <c r="L751" s="62"/>
      <c r="M751" s="62"/>
    </row>
    <row r="752" spans="1:13" ht="18" customHeight="1">
      <c r="A752" s="270"/>
      <c r="B752" s="271"/>
      <c r="C752" s="271"/>
      <c r="D752" s="271" t="s">
        <v>627</v>
      </c>
      <c r="E752" s="271"/>
      <c r="F752" s="272"/>
      <c r="G752" s="273" t="s">
        <v>409</v>
      </c>
      <c r="H752" s="275" t="s">
        <v>410</v>
      </c>
      <c r="I752" s="190">
        <v>581330</v>
      </c>
      <c r="J752" s="62">
        <v>65004.5</v>
      </c>
      <c r="K752" s="62">
        <f>65004.5-J752</f>
        <v>0</v>
      </c>
      <c r="L752" s="62">
        <f>J752+K752</f>
        <v>65004.5</v>
      </c>
      <c r="M752" s="62">
        <v>160000</v>
      </c>
    </row>
    <row r="753" spans="1:15" ht="18" hidden="1" customHeight="1">
      <c r="A753" s="270"/>
      <c r="B753" s="271"/>
      <c r="C753" s="271"/>
      <c r="D753" s="271" t="s">
        <v>408</v>
      </c>
      <c r="E753" s="271"/>
      <c r="F753" s="272"/>
      <c r="G753" s="273" t="s">
        <v>411</v>
      </c>
      <c r="H753" s="275" t="s">
        <v>481</v>
      </c>
      <c r="I753" s="190">
        <v>0</v>
      </c>
      <c r="J753" s="62">
        <v>0</v>
      </c>
      <c r="K753" s="62">
        <f t="shared" ref="K753:K756" si="44">0-J753</f>
        <v>0</v>
      </c>
      <c r="L753" s="62">
        <f>J753+K753</f>
        <v>0</v>
      </c>
      <c r="M753" s="62">
        <v>0</v>
      </c>
    </row>
    <row r="754" spans="1:15" ht="18" customHeight="1">
      <c r="A754" s="270"/>
      <c r="B754" s="271"/>
      <c r="C754" s="271"/>
      <c r="D754" s="271" t="s">
        <v>464</v>
      </c>
      <c r="E754" s="271"/>
      <c r="F754" s="272"/>
      <c r="G754" s="273"/>
      <c r="H754" s="275" t="s">
        <v>443</v>
      </c>
      <c r="I754" s="190">
        <v>1499571.85</v>
      </c>
      <c r="J754" s="62">
        <v>0</v>
      </c>
      <c r="K754" s="62">
        <f t="shared" si="44"/>
        <v>0</v>
      </c>
      <c r="L754" s="62">
        <f>J754+K754</f>
        <v>0</v>
      </c>
      <c r="M754" s="62">
        <v>0</v>
      </c>
    </row>
    <row r="755" spans="1:15" ht="18" hidden="1" customHeight="1">
      <c r="A755" s="270"/>
      <c r="B755" s="271"/>
      <c r="C755" s="271"/>
      <c r="D755" s="271" t="s">
        <v>416</v>
      </c>
      <c r="E755" s="271"/>
      <c r="F755" s="272"/>
      <c r="G755" s="273"/>
      <c r="H755" s="275" t="s">
        <v>417</v>
      </c>
      <c r="I755" s="190">
        <v>0</v>
      </c>
      <c r="J755" s="62">
        <v>0</v>
      </c>
      <c r="K755" s="62">
        <f t="shared" si="44"/>
        <v>0</v>
      </c>
      <c r="L755" s="62">
        <f>J755+K755</f>
        <v>0</v>
      </c>
      <c r="M755" s="62">
        <v>0</v>
      </c>
    </row>
    <row r="756" spans="1:15" ht="18" customHeight="1">
      <c r="A756" s="270"/>
      <c r="B756" s="271"/>
      <c r="C756" s="271"/>
      <c r="D756" s="271" t="s">
        <v>492</v>
      </c>
      <c r="E756" s="271"/>
      <c r="F756" s="272"/>
      <c r="G756" s="273" t="s">
        <v>413</v>
      </c>
      <c r="H756" s="275" t="s">
        <v>414</v>
      </c>
      <c r="I756" s="190">
        <v>225129</v>
      </c>
      <c r="J756" s="62">
        <v>0</v>
      </c>
      <c r="K756" s="62">
        <f t="shared" si="44"/>
        <v>0</v>
      </c>
      <c r="L756" s="62">
        <f>J756+K756</f>
        <v>0</v>
      </c>
      <c r="M756" s="62">
        <v>0</v>
      </c>
    </row>
    <row r="757" spans="1:15" ht="18" customHeight="1">
      <c r="A757" s="278"/>
      <c r="B757" s="279"/>
      <c r="C757" s="279"/>
      <c r="D757" s="279" t="s">
        <v>366</v>
      </c>
      <c r="E757" s="279"/>
      <c r="F757" s="280"/>
      <c r="G757" s="281"/>
      <c r="H757" s="290"/>
      <c r="I757" s="171">
        <f>SUM(I752:I756)</f>
        <v>2306030.85</v>
      </c>
      <c r="J757" s="171">
        <f>SUM(J752:J756)</f>
        <v>65004.5</v>
      </c>
      <c r="K757" s="171">
        <f>SUM(K752:K756)</f>
        <v>0</v>
      </c>
      <c r="L757" s="171">
        <f>SUM(L752:L756)</f>
        <v>65004.5</v>
      </c>
      <c r="M757" s="171">
        <f>SUM(M752:M756)</f>
        <v>160000</v>
      </c>
    </row>
    <row r="758" spans="1:15" ht="5.0999999999999996" customHeight="1">
      <c r="A758" s="278"/>
      <c r="B758" s="279"/>
      <c r="C758" s="279"/>
      <c r="D758" s="279"/>
      <c r="E758" s="279"/>
      <c r="F758" s="280"/>
      <c r="G758" s="281"/>
      <c r="H758" s="290"/>
      <c r="I758" s="171"/>
      <c r="J758" s="191"/>
      <c r="K758" s="191"/>
      <c r="L758" s="191"/>
      <c r="M758" s="191"/>
    </row>
    <row r="759" spans="1:15" ht="18" customHeight="1">
      <c r="A759" s="282" t="s">
        <v>244</v>
      </c>
      <c r="B759" s="283"/>
      <c r="C759" s="283"/>
      <c r="D759" s="283"/>
      <c r="E759" s="283"/>
      <c r="F759" s="284"/>
      <c r="G759" s="285"/>
      <c r="H759" s="291"/>
      <c r="I759" s="188">
        <f>SUM(I757+I750+I738)</f>
        <v>12761144.1</v>
      </c>
      <c r="J759" s="188">
        <f>SUM(J757+J750+J738)</f>
        <v>9664564.3599999994</v>
      </c>
      <c r="K759" s="188">
        <f>SUM(K757+K750+K738)</f>
        <v>1466300.4400000004</v>
      </c>
      <c r="L759" s="188">
        <f>SUM(L757+L750+L738)</f>
        <v>11130864.800000001</v>
      </c>
      <c r="M759" s="188">
        <f>SUM(M757+M750+M738)</f>
        <v>11839746.800000001</v>
      </c>
    </row>
    <row r="760" spans="1:15" ht="18" customHeight="1">
      <c r="A760" s="54"/>
      <c r="B760" s="71"/>
      <c r="C760" s="54"/>
      <c r="D760" s="54"/>
      <c r="E760" s="54"/>
      <c r="F760" s="54"/>
      <c r="G760" s="54"/>
      <c r="H760" s="135"/>
      <c r="I760" s="135"/>
      <c r="J760" s="72"/>
      <c r="K760" s="72"/>
      <c r="L760" s="72"/>
      <c r="M760" s="72"/>
    </row>
    <row r="761" spans="1:15" s="366" customFormat="1" ht="18" customHeight="1">
      <c r="A761" s="534"/>
      <c r="B761" s="534"/>
      <c r="C761" s="534"/>
      <c r="D761" s="534"/>
      <c r="E761" s="534"/>
      <c r="F761" s="534"/>
      <c r="G761" s="534"/>
      <c r="H761" s="534"/>
      <c r="I761" s="534"/>
      <c r="J761" s="534"/>
      <c r="K761" s="534"/>
      <c r="L761" s="534"/>
      <c r="M761" s="534"/>
      <c r="O761" s="166"/>
    </row>
    <row r="762" spans="1:15" s="361" customFormat="1" ht="18" customHeight="1">
      <c r="A762" s="368" t="s">
        <v>556</v>
      </c>
      <c r="B762" s="368"/>
      <c r="C762" s="368"/>
      <c r="D762" s="368"/>
      <c r="E762" s="368"/>
      <c r="F762" s="368"/>
      <c r="G762" s="368"/>
      <c r="H762" s="368"/>
      <c r="I762" s="368"/>
      <c r="J762" s="368"/>
      <c r="K762" s="368"/>
      <c r="L762" s="368"/>
      <c r="M762" s="368"/>
      <c r="O762" s="236"/>
    </row>
    <row r="763" spans="1:15" s="367" customFormat="1" ht="20.100000000000001" customHeight="1">
      <c r="A763" s="362"/>
      <c r="B763" s="363"/>
      <c r="C763" s="362"/>
      <c r="D763" s="362"/>
      <c r="E763" s="362"/>
      <c r="F763" s="364"/>
      <c r="G763" s="362"/>
      <c r="H763" s="365"/>
      <c r="I763" s="365"/>
      <c r="J763" s="361"/>
      <c r="K763" s="136"/>
      <c r="L763" s="136"/>
      <c r="M763" s="72"/>
      <c r="O763" s="238"/>
    </row>
    <row r="764" spans="1:15" s="52" customFormat="1" ht="18" customHeight="1">
      <c r="A764" s="139" t="s">
        <v>245</v>
      </c>
      <c r="B764" s="139"/>
      <c r="C764" s="361"/>
      <c r="D764" s="139"/>
      <c r="E764" s="139"/>
      <c r="F764" s="361"/>
      <c r="G764" s="139"/>
      <c r="H764" s="139"/>
      <c r="I764" s="139" t="s">
        <v>246</v>
      </c>
      <c r="J764" s="139"/>
      <c r="K764" s="139"/>
      <c r="L764" s="139" t="s">
        <v>43</v>
      </c>
      <c r="M764" s="139"/>
      <c r="O764" s="236"/>
    </row>
    <row r="765" spans="1:15" s="33" customFormat="1" ht="15" customHeight="1">
      <c r="A765" s="51"/>
      <c r="B765" s="50"/>
      <c r="C765" s="52"/>
      <c r="D765" s="51"/>
      <c r="E765" s="51"/>
      <c r="F765" s="52"/>
      <c r="G765" s="51"/>
      <c r="H765" s="52"/>
      <c r="I765" s="51"/>
      <c r="J765" s="135"/>
      <c r="K765" s="76"/>
      <c r="L765" s="75"/>
      <c r="M765" s="136"/>
      <c r="O765" s="236"/>
    </row>
    <row r="766" spans="1:15" s="33" customFormat="1" ht="15" customHeight="1">
      <c r="A766" s="529" t="s">
        <v>15</v>
      </c>
      <c r="B766" s="529"/>
      <c r="C766" s="529"/>
      <c r="D766" s="529"/>
      <c r="E766" s="529"/>
      <c r="F766" s="529"/>
      <c r="G766" s="50"/>
      <c r="H766" s="73"/>
      <c r="I766" s="529" t="s">
        <v>12</v>
      </c>
      <c r="J766" s="529"/>
      <c r="K766" s="74"/>
      <c r="L766" s="529" t="s">
        <v>460</v>
      </c>
      <c r="M766" s="529"/>
      <c r="O766" s="236"/>
    </row>
    <row r="767" spans="1:15" s="33" customFormat="1" ht="15" customHeight="1">
      <c r="A767" s="518" t="s">
        <v>557</v>
      </c>
      <c r="B767" s="518"/>
      <c r="C767" s="518"/>
      <c r="D767" s="518"/>
      <c r="E767" s="518"/>
      <c r="F767" s="518"/>
      <c r="I767" s="518" t="s">
        <v>558</v>
      </c>
      <c r="J767" s="518"/>
      <c r="L767" s="518" t="s">
        <v>559</v>
      </c>
      <c r="M767" s="518"/>
      <c r="O767" s="236"/>
    </row>
    <row r="768" spans="1:15" s="33" customFormat="1" ht="15" customHeight="1">
      <c r="O768" s="236"/>
    </row>
    <row r="769" spans="1:15" s="33" customFormat="1" ht="15" customHeight="1">
      <c r="A769" s="519" t="s">
        <v>549</v>
      </c>
      <c r="B769" s="519"/>
      <c r="C769" s="519"/>
      <c r="D769" s="519"/>
      <c r="E769" s="519"/>
      <c r="F769" s="519"/>
      <c r="G769" s="519"/>
      <c r="H769" s="519"/>
      <c r="I769" s="519"/>
      <c r="J769" s="519"/>
      <c r="K769" s="519"/>
      <c r="L769" s="519"/>
      <c r="M769" s="519"/>
      <c r="O769" s="236"/>
    </row>
    <row r="770" spans="1:15" s="33" customFormat="1">
      <c r="A770" s="164"/>
      <c r="B770" s="164"/>
      <c r="C770" s="164"/>
      <c r="D770" s="164"/>
      <c r="E770" s="164"/>
      <c r="F770" s="164"/>
      <c r="G770" s="164"/>
      <c r="H770" s="164"/>
      <c r="I770" s="164"/>
      <c r="J770" s="164"/>
      <c r="K770" s="164"/>
      <c r="L770" s="164"/>
      <c r="M770" s="164"/>
      <c r="N770" s="164"/>
      <c r="O770" s="236"/>
    </row>
    <row r="771" spans="1:15" s="33" customFormat="1" ht="15.75">
      <c r="A771" s="142" t="s">
        <v>550</v>
      </c>
      <c r="B771" s="142"/>
      <c r="C771" s="142"/>
      <c r="D771" s="141"/>
      <c r="E771" s="141"/>
      <c r="F771" s="142" t="s">
        <v>37</v>
      </c>
      <c r="G771" s="142"/>
      <c r="H771" s="142"/>
      <c r="I771" s="142"/>
      <c r="J771" s="142" t="s">
        <v>551</v>
      </c>
      <c r="K771" s="142" t="str">
        <f>$K$9</f>
        <v>2024</v>
      </c>
      <c r="L771" s="142"/>
      <c r="M771" s="142"/>
      <c r="O771" s="236"/>
    </row>
    <row r="772" spans="1:15" s="33" customFormat="1" ht="15.75">
      <c r="A772" s="142" t="s">
        <v>552</v>
      </c>
      <c r="B772" s="142"/>
      <c r="C772" s="142"/>
      <c r="D772" s="141"/>
      <c r="E772" s="142"/>
      <c r="F772" s="142" t="s">
        <v>554</v>
      </c>
      <c r="G772" s="142"/>
      <c r="H772" s="142"/>
      <c r="I772" s="142"/>
      <c r="J772" s="142" t="s">
        <v>553</v>
      </c>
      <c r="K772" s="50" t="s">
        <v>569</v>
      </c>
      <c r="L772" s="142"/>
      <c r="M772" s="142"/>
      <c r="O772" s="236"/>
    </row>
    <row r="773" spans="1:15" s="33" customFormat="1" ht="18" customHeight="1">
      <c r="A773" s="142" t="s">
        <v>555</v>
      </c>
      <c r="B773" s="142"/>
      <c r="C773" s="142"/>
      <c r="D773" s="142"/>
      <c r="E773" s="142"/>
      <c r="F773" s="142"/>
      <c r="G773" s="142"/>
      <c r="H773" s="142"/>
      <c r="I773" s="142"/>
      <c r="J773" s="142"/>
      <c r="K773" s="142"/>
      <c r="L773" s="142"/>
      <c r="M773" s="142"/>
      <c r="O773" s="236"/>
    </row>
    <row r="774" spans="1:15" s="52" customFormat="1" ht="18" customHeight="1" thickBot="1">
      <c r="A774" s="143"/>
      <c r="B774" s="143"/>
      <c r="C774" s="143"/>
      <c r="D774" s="143"/>
      <c r="E774" s="143"/>
      <c r="F774" s="143"/>
      <c r="G774" s="143"/>
      <c r="H774" s="143"/>
      <c r="I774" s="143"/>
      <c r="J774" s="143"/>
      <c r="K774" s="143"/>
      <c r="L774" s="143"/>
      <c r="M774" s="143"/>
      <c r="O774" s="236"/>
    </row>
    <row r="775" spans="1:15" ht="18" customHeight="1">
      <c r="A775" s="255"/>
      <c r="B775" s="256"/>
      <c r="C775" s="256"/>
      <c r="D775" s="256"/>
      <c r="E775" s="256"/>
      <c r="F775" s="257"/>
      <c r="G775" s="258"/>
      <c r="H775" s="259"/>
      <c r="I775" s="259" t="s">
        <v>6</v>
      </c>
      <c r="J775" s="520" t="s">
        <v>545</v>
      </c>
      <c r="K775" s="521"/>
      <c r="L775" s="522"/>
      <c r="M775" s="260" t="s">
        <v>7</v>
      </c>
    </row>
    <row r="776" spans="1:15" ht="18" customHeight="1">
      <c r="A776" s="523"/>
      <c r="B776" s="524"/>
      <c r="C776" s="524"/>
      <c r="D776" s="524"/>
      <c r="E776" s="524"/>
      <c r="F776" s="525"/>
      <c r="G776" s="448"/>
      <c r="H776" s="261"/>
      <c r="I776" s="261">
        <v>2022</v>
      </c>
      <c r="J776" s="261" t="s">
        <v>192</v>
      </c>
      <c r="K776" s="261" t="s">
        <v>193</v>
      </c>
      <c r="L776" s="261"/>
      <c r="M776" s="262">
        <v>2024</v>
      </c>
    </row>
    <row r="777" spans="1:15" ht="18" customHeight="1">
      <c r="A777" s="523" t="s">
        <v>13</v>
      </c>
      <c r="B777" s="524"/>
      <c r="C777" s="524"/>
      <c r="D777" s="524"/>
      <c r="E777" s="524"/>
      <c r="F777" s="525"/>
      <c r="G777" s="263"/>
      <c r="H777" s="264" t="s">
        <v>243</v>
      </c>
      <c r="I777" s="261" t="s">
        <v>191</v>
      </c>
      <c r="J777" s="261" t="s">
        <v>191</v>
      </c>
      <c r="K777" s="261" t="s">
        <v>194</v>
      </c>
      <c r="L777" s="261" t="s">
        <v>11</v>
      </c>
      <c r="M777" s="262" t="s">
        <v>196</v>
      </c>
    </row>
    <row r="778" spans="1:15" ht="18" customHeight="1">
      <c r="A778" s="265"/>
      <c r="B778" s="266"/>
      <c r="C778" s="266"/>
      <c r="D778" s="266"/>
      <c r="E778" s="266"/>
      <c r="F778" s="267"/>
      <c r="G778" s="263"/>
      <c r="H778" s="261"/>
      <c r="I778" s="261"/>
      <c r="J778" s="261">
        <v>2023</v>
      </c>
      <c r="K778" s="261">
        <v>2023</v>
      </c>
      <c r="L778" s="261"/>
      <c r="M778" s="262"/>
    </row>
    <row r="779" spans="1:15" ht="18" customHeight="1" thickBot="1">
      <c r="A779" s="526"/>
      <c r="B779" s="527"/>
      <c r="C779" s="527"/>
      <c r="D779" s="527"/>
      <c r="E779" s="527"/>
      <c r="F779" s="528"/>
      <c r="G779" s="449"/>
      <c r="H779" s="268"/>
      <c r="I779" s="369"/>
      <c r="J779" s="268"/>
      <c r="K779" s="268"/>
      <c r="L779" s="268"/>
      <c r="M779" s="269"/>
    </row>
    <row r="780" spans="1:15" ht="18" customHeight="1">
      <c r="A780" s="462"/>
      <c r="B780" s="193" t="s">
        <v>66</v>
      </c>
      <c r="C780" s="283"/>
      <c r="D780" s="193"/>
      <c r="E780" s="193"/>
      <c r="F780" s="463"/>
      <c r="G780" s="464"/>
      <c r="H780" s="489"/>
      <c r="I780" s="490"/>
      <c r="J780" s="491"/>
      <c r="K780" s="491"/>
      <c r="L780" s="491"/>
      <c r="M780" s="491"/>
    </row>
    <row r="781" spans="1:15" ht="18" customHeight="1">
      <c r="A781" s="270"/>
      <c r="B781" s="271"/>
      <c r="C781" s="271" t="s">
        <v>148</v>
      </c>
      <c r="D781" s="271"/>
      <c r="E781" s="271"/>
      <c r="F781" s="272"/>
      <c r="G781" s="273"/>
      <c r="H781" s="288"/>
      <c r="I781" s="289"/>
      <c r="J781" s="77"/>
      <c r="K781" s="77"/>
      <c r="L781" s="77"/>
      <c r="M781" s="77"/>
    </row>
    <row r="782" spans="1:15" ht="18" customHeight="1">
      <c r="A782" s="270"/>
      <c r="B782" s="271"/>
      <c r="C782" s="271"/>
      <c r="D782" s="271" t="s">
        <v>149</v>
      </c>
      <c r="E782" s="271"/>
      <c r="F782" s="272"/>
      <c r="G782" s="273" t="s">
        <v>213</v>
      </c>
      <c r="H782" s="275" t="s">
        <v>257</v>
      </c>
      <c r="I782" s="190">
        <v>2372612</v>
      </c>
      <c r="J782" s="62">
        <v>2378934.5499999998</v>
      </c>
      <c r="K782" s="62">
        <f>2730943.68-J782</f>
        <v>352009.13000000035</v>
      </c>
      <c r="L782" s="62">
        <f>SUM(K782+J782)</f>
        <v>2730943.68</v>
      </c>
      <c r="M782" s="62">
        <v>2964960</v>
      </c>
    </row>
    <row r="783" spans="1:15" ht="18" customHeight="1">
      <c r="A783" s="270"/>
      <c r="B783" s="271"/>
      <c r="C783" s="271" t="s">
        <v>150</v>
      </c>
      <c r="D783" s="271"/>
      <c r="E783" s="271"/>
      <c r="F783" s="272"/>
      <c r="G783" s="273"/>
      <c r="H783" s="288"/>
      <c r="I783" s="190"/>
      <c r="J783" s="62"/>
      <c r="K783" s="62"/>
      <c r="L783" s="62"/>
      <c r="M783" s="62"/>
    </row>
    <row r="784" spans="1:15" ht="18" customHeight="1">
      <c r="A784" s="270"/>
      <c r="B784" s="271"/>
      <c r="C784" s="271"/>
      <c r="D784" s="271" t="s">
        <v>151</v>
      </c>
      <c r="E784" s="271"/>
      <c r="F784" s="272"/>
      <c r="G784" s="273" t="s">
        <v>214</v>
      </c>
      <c r="H784" s="275" t="s">
        <v>258</v>
      </c>
      <c r="I784" s="190">
        <v>188000</v>
      </c>
      <c r="J784" s="62">
        <v>182000</v>
      </c>
      <c r="K784" s="62">
        <f>216000-J784</f>
        <v>34000</v>
      </c>
      <c r="L784" s="62">
        <f t="shared" ref="L784:L802" si="45">SUM(K784+J784)</f>
        <v>216000</v>
      </c>
      <c r="M784" s="62">
        <v>216000</v>
      </c>
    </row>
    <row r="785" spans="1:13" ht="18" customHeight="1">
      <c r="A785" s="270"/>
      <c r="B785" s="271"/>
      <c r="C785" s="271"/>
      <c r="D785" s="271" t="s">
        <v>161</v>
      </c>
      <c r="E785" s="271"/>
      <c r="F785" s="272"/>
      <c r="G785" s="273" t="s">
        <v>215</v>
      </c>
      <c r="H785" s="275" t="s">
        <v>259</v>
      </c>
      <c r="I785" s="190">
        <v>76500</v>
      </c>
      <c r="J785" s="62">
        <v>76500</v>
      </c>
      <c r="K785" s="62">
        <f>76500-J785</f>
        <v>0</v>
      </c>
      <c r="L785" s="62">
        <f t="shared" si="45"/>
        <v>76500</v>
      </c>
      <c r="M785" s="62">
        <v>76500</v>
      </c>
    </row>
    <row r="786" spans="1:13" ht="18" customHeight="1">
      <c r="A786" s="270"/>
      <c r="B786" s="271"/>
      <c r="C786" s="271"/>
      <c r="D786" s="271" t="s">
        <v>160</v>
      </c>
      <c r="E786" s="271"/>
      <c r="F786" s="272"/>
      <c r="G786" s="273" t="s">
        <v>216</v>
      </c>
      <c r="H786" s="275" t="s">
        <v>260</v>
      </c>
      <c r="I786" s="190">
        <v>76500</v>
      </c>
      <c r="J786" s="62">
        <v>76500</v>
      </c>
      <c r="K786" s="62">
        <f>76500-J786</f>
        <v>0</v>
      </c>
      <c r="L786" s="62">
        <f t="shared" si="45"/>
        <v>76500</v>
      </c>
      <c r="M786" s="62">
        <v>76500</v>
      </c>
    </row>
    <row r="787" spans="1:13" ht="18" customHeight="1">
      <c r="A787" s="270"/>
      <c r="B787" s="271"/>
      <c r="C787" s="271"/>
      <c r="D787" s="271" t="s">
        <v>162</v>
      </c>
      <c r="E787" s="271"/>
      <c r="F787" s="272"/>
      <c r="G787" s="273" t="s">
        <v>217</v>
      </c>
      <c r="H787" s="275" t="s">
        <v>261</v>
      </c>
      <c r="I787" s="190">
        <v>54000</v>
      </c>
      <c r="J787" s="62">
        <v>42000</v>
      </c>
      <c r="K787" s="62">
        <f>54000-J787</f>
        <v>12000</v>
      </c>
      <c r="L787" s="62">
        <f t="shared" si="45"/>
        <v>54000</v>
      </c>
      <c r="M787" s="62">
        <v>54000</v>
      </c>
    </row>
    <row r="788" spans="1:13" ht="18" customHeight="1">
      <c r="A788" s="270"/>
      <c r="B788" s="271"/>
      <c r="C788" s="271"/>
      <c r="D788" s="271" t="s">
        <v>255</v>
      </c>
      <c r="E788" s="271"/>
      <c r="F788" s="272"/>
      <c r="G788" s="273" t="s">
        <v>219</v>
      </c>
      <c r="H788" s="275" t="s">
        <v>262</v>
      </c>
      <c r="I788" s="190">
        <v>40000</v>
      </c>
      <c r="J788" s="62">
        <v>35000</v>
      </c>
      <c r="K788" s="62">
        <f>45000-J788</f>
        <v>10000</v>
      </c>
      <c r="L788" s="62">
        <f t="shared" si="45"/>
        <v>45000</v>
      </c>
      <c r="M788" s="62">
        <v>45000</v>
      </c>
    </row>
    <row r="789" spans="1:13" ht="18" customHeight="1">
      <c r="A789" s="270"/>
      <c r="B789" s="271"/>
      <c r="C789" s="271"/>
      <c r="D789" s="271" t="s">
        <v>164</v>
      </c>
      <c r="E789" s="271"/>
      <c r="F789" s="272"/>
      <c r="G789" s="273" t="s">
        <v>108</v>
      </c>
      <c r="H789" s="275" t="s">
        <v>263</v>
      </c>
      <c r="I789" s="190">
        <v>0</v>
      </c>
      <c r="J789" s="62">
        <v>0</v>
      </c>
      <c r="K789" s="62">
        <f>0-J789</f>
        <v>0</v>
      </c>
      <c r="L789" s="62">
        <f t="shared" si="45"/>
        <v>0</v>
      </c>
      <c r="M789" s="62">
        <v>10000</v>
      </c>
    </row>
    <row r="790" spans="1:13" ht="18" hidden="1" customHeight="1">
      <c r="A790" s="270"/>
      <c r="B790" s="271"/>
      <c r="C790" s="271"/>
      <c r="D790" s="271" t="s">
        <v>487</v>
      </c>
      <c r="E790" s="271"/>
      <c r="F790" s="272"/>
      <c r="G790" s="273" t="s">
        <v>108</v>
      </c>
      <c r="H790" s="275" t="s">
        <v>263</v>
      </c>
      <c r="I790" s="190">
        <v>0</v>
      </c>
      <c r="J790" s="62">
        <v>0</v>
      </c>
      <c r="K790" s="62">
        <f>0-J790</f>
        <v>0</v>
      </c>
      <c r="L790" s="62">
        <f t="shared" si="45"/>
        <v>0</v>
      </c>
      <c r="M790" s="62">
        <v>0</v>
      </c>
    </row>
    <row r="791" spans="1:13" ht="18" customHeight="1">
      <c r="A791" s="270"/>
      <c r="B791" s="271"/>
      <c r="C791" s="271"/>
      <c r="D791" s="271" t="s">
        <v>475</v>
      </c>
      <c r="E791" s="271"/>
      <c r="F791" s="272"/>
      <c r="G791" s="273"/>
      <c r="H791" s="275" t="s">
        <v>263</v>
      </c>
      <c r="I791" s="190">
        <v>152554.35</v>
      </c>
      <c r="J791" s="62">
        <v>0</v>
      </c>
      <c r="K791" s="62">
        <f>0-J791</f>
        <v>0</v>
      </c>
      <c r="L791" s="62">
        <f t="shared" si="45"/>
        <v>0</v>
      </c>
      <c r="M791" s="62">
        <v>0</v>
      </c>
    </row>
    <row r="792" spans="1:13" ht="18" customHeight="1">
      <c r="A792" s="270"/>
      <c r="B792" s="271"/>
      <c r="C792" s="271"/>
      <c r="D792" s="271" t="s">
        <v>166</v>
      </c>
      <c r="E792" s="271"/>
      <c r="F792" s="272"/>
      <c r="G792" s="273" t="s">
        <v>222</v>
      </c>
      <c r="H792" s="275" t="s">
        <v>264</v>
      </c>
      <c r="I792" s="190">
        <v>40000</v>
      </c>
      <c r="J792" s="62">
        <v>38500</v>
      </c>
      <c r="K792" s="62">
        <f>45000-J792</f>
        <v>6500</v>
      </c>
      <c r="L792" s="62">
        <f t="shared" si="45"/>
        <v>45000</v>
      </c>
      <c r="M792" s="62">
        <v>45000</v>
      </c>
    </row>
    <row r="793" spans="1:13" ht="18" customHeight="1">
      <c r="A793" s="270"/>
      <c r="B793" s="271"/>
      <c r="C793" s="271"/>
      <c r="D793" s="271" t="s">
        <v>374</v>
      </c>
      <c r="E793" s="271"/>
      <c r="F793" s="271"/>
      <c r="G793" s="277" t="s">
        <v>108</v>
      </c>
      <c r="H793" s="275" t="s">
        <v>263</v>
      </c>
      <c r="I793" s="190">
        <v>213958</v>
      </c>
      <c r="J793" s="62">
        <v>207347</v>
      </c>
      <c r="K793" s="62">
        <f>248754-J793</f>
        <v>41407</v>
      </c>
      <c r="L793" s="62">
        <f t="shared" si="45"/>
        <v>248754</v>
      </c>
      <c r="M793" s="62">
        <v>247080</v>
      </c>
    </row>
    <row r="794" spans="1:13" ht="18" customHeight="1">
      <c r="A794" s="270"/>
      <c r="B794" s="271"/>
      <c r="C794" s="271"/>
      <c r="D794" s="271" t="s">
        <v>167</v>
      </c>
      <c r="E794" s="271"/>
      <c r="F794" s="272"/>
      <c r="G794" s="273" t="s">
        <v>223</v>
      </c>
      <c r="H794" s="275" t="s">
        <v>265</v>
      </c>
      <c r="I794" s="190">
        <v>224126</v>
      </c>
      <c r="J794" s="62">
        <v>218042.2</v>
      </c>
      <c r="K794" s="62">
        <f>249098-J794</f>
        <v>31055.799999999988</v>
      </c>
      <c r="L794" s="62">
        <f t="shared" si="45"/>
        <v>249098</v>
      </c>
      <c r="M794" s="62">
        <v>247080</v>
      </c>
    </row>
    <row r="795" spans="1:13" ht="18" customHeight="1">
      <c r="A795" s="270"/>
      <c r="B795" s="271"/>
      <c r="C795" s="271"/>
      <c r="D795" s="271" t="s">
        <v>249</v>
      </c>
      <c r="E795" s="271"/>
      <c r="F795" s="272"/>
      <c r="G795" s="273" t="s">
        <v>224</v>
      </c>
      <c r="H795" s="275" t="s">
        <v>266</v>
      </c>
      <c r="I795" s="190">
        <v>288000</v>
      </c>
      <c r="J795" s="62">
        <v>268742.03999999998</v>
      </c>
      <c r="K795" s="62">
        <f>359000-J795</f>
        <v>90257.960000000021</v>
      </c>
      <c r="L795" s="62">
        <f t="shared" si="45"/>
        <v>359000</v>
      </c>
      <c r="M795" s="62">
        <v>356000</v>
      </c>
    </row>
    <row r="796" spans="1:13" ht="18" customHeight="1">
      <c r="A796" s="270"/>
      <c r="B796" s="271"/>
      <c r="C796" s="271"/>
      <c r="D796" s="271" t="s">
        <v>168</v>
      </c>
      <c r="E796" s="271"/>
      <c r="F796" s="272"/>
      <c r="G796" s="273" t="s">
        <v>225</v>
      </c>
      <c r="H796" s="275" t="s">
        <v>267</v>
      </c>
      <c r="I796" s="190">
        <v>14100</v>
      </c>
      <c r="J796" s="62">
        <v>8700</v>
      </c>
      <c r="K796" s="62">
        <f>16200-J796</f>
        <v>7500</v>
      </c>
      <c r="L796" s="62">
        <f t="shared" si="45"/>
        <v>16200</v>
      </c>
      <c r="M796" s="62">
        <v>16200</v>
      </c>
    </row>
    <row r="797" spans="1:13" ht="18" customHeight="1">
      <c r="A797" s="270"/>
      <c r="B797" s="271"/>
      <c r="C797" s="271"/>
      <c r="D797" s="271" t="s">
        <v>169</v>
      </c>
      <c r="E797" s="271"/>
      <c r="F797" s="272"/>
      <c r="G797" s="273" t="s">
        <v>226</v>
      </c>
      <c r="H797" s="275" t="s">
        <v>268</v>
      </c>
      <c r="I797" s="190">
        <v>50000</v>
      </c>
      <c r="J797" s="62">
        <v>47040</v>
      </c>
      <c r="K797" s="62">
        <f>67500-J797</f>
        <v>20460</v>
      </c>
      <c r="L797" s="62">
        <f t="shared" si="45"/>
        <v>67500</v>
      </c>
      <c r="M797" s="62">
        <v>74500</v>
      </c>
    </row>
    <row r="798" spans="1:13" ht="18" customHeight="1">
      <c r="A798" s="270"/>
      <c r="B798" s="271"/>
      <c r="C798" s="271"/>
      <c r="D798" s="271" t="s">
        <v>248</v>
      </c>
      <c r="E798" s="271"/>
      <c r="F798" s="272"/>
      <c r="G798" s="273" t="s">
        <v>227</v>
      </c>
      <c r="H798" s="275" t="s">
        <v>269</v>
      </c>
      <c r="I798" s="190">
        <v>9400</v>
      </c>
      <c r="J798" s="62">
        <v>8900</v>
      </c>
      <c r="K798" s="62">
        <f>10800-J798</f>
        <v>1900</v>
      </c>
      <c r="L798" s="62">
        <f t="shared" si="45"/>
        <v>10800</v>
      </c>
      <c r="M798" s="62">
        <v>10800</v>
      </c>
    </row>
    <row r="799" spans="1:13" ht="18" customHeight="1">
      <c r="A799" s="270"/>
      <c r="B799" s="271"/>
      <c r="C799" s="271"/>
      <c r="D799" s="271" t="s">
        <v>69</v>
      </c>
      <c r="E799" s="271"/>
      <c r="F799" s="272"/>
      <c r="G799" s="273" t="s">
        <v>228</v>
      </c>
      <c r="H799" s="275" t="s">
        <v>270</v>
      </c>
      <c r="I799" s="190">
        <v>1300000</v>
      </c>
      <c r="J799" s="62">
        <v>255147.32</v>
      </c>
      <c r="K799" s="62">
        <f>255147.32-J799</f>
        <v>0</v>
      </c>
      <c r="L799" s="62">
        <f t="shared" si="45"/>
        <v>255147.32</v>
      </c>
      <c r="M799" s="62">
        <v>0</v>
      </c>
    </row>
    <row r="800" spans="1:13" ht="18" hidden="1" customHeight="1">
      <c r="A800" s="270"/>
      <c r="B800" s="271"/>
      <c r="C800" s="271"/>
      <c r="D800" s="271" t="s">
        <v>171</v>
      </c>
      <c r="E800" s="271"/>
      <c r="F800" s="272"/>
      <c r="G800" s="273" t="s">
        <v>82</v>
      </c>
      <c r="H800" s="275" t="s">
        <v>281</v>
      </c>
      <c r="I800" s="190">
        <v>0</v>
      </c>
      <c r="J800" s="62">
        <v>0</v>
      </c>
      <c r="K800" s="62">
        <f t="shared" ref="K800" si="46">0-J800</f>
        <v>0</v>
      </c>
      <c r="L800" s="62">
        <f t="shared" si="45"/>
        <v>0</v>
      </c>
      <c r="M800" s="62">
        <v>0</v>
      </c>
    </row>
    <row r="801" spans="1:13" ht="18" customHeight="1">
      <c r="A801" s="270"/>
      <c r="B801" s="271"/>
      <c r="C801" s="271"/>
      <c r="D801" s="271" t="s">
        <v>476</v>
      </c>
      <c r="E801" s="271"/>
      <c r="F801" s="272"/>
      <c r="G801" s="273"/>
      <c r="H801" s="275" t="s">
        <v>281</v>
      </c>
      <c r="I801" s="190">
        <v>140000</v>
      </c>
      <c r="J801" s="62">
        <v>140000</v>
      </c>
      <c r="K801" s="62">
        <f>140000-J801</f>
        <v>0</v>
      </c>
      <c r="L801" s="62">
        <f t="shared" si="45"/>
        <v>140000</v>
      </c>
      <c r="M801" s="62">
        <v>0</v>
      </c>
    </row>
    <row r="802" spans="1:13" ht="18" customHeight="1">
      <c r="A802" s="270"/>
      <c r="B802" s="271"/>
      <c r="C802" s="271"/>
      <c r="D802" s="271" t="s">
        <v>502</v>
      </c>
      <c r="E802" s="271"/>
      <c r="F802" s="272"/>
      <c r="G802" s="273"/>
      <c r="H802" s="275" t="s">
        <v>281</v>
      </c>
      <c r="I802" s="190"/>
      <c r="J802" s="62">
        <v>240000</v>
      </c>
      <c r="K802" s="62">
        <f>240000-J802</f>
        <v>0</v>
      </c>
      <c r="L802" s="62">
        <f t="shared" si="45"/>
        <v>240000</v>
      </c>
      <c r="M802" s="62"/>
    </row>
    <row r="803" spans="1:13" ht="18" customHeight="1">
      <c r="A803" s="278"/>
      <c r="B803" s="279"/>
      <c r="C803" s="279"/>
      <c r="D803" s="279" t="s">
        <v>68</v>
      </c>
      <c r="E803" s="279"/>
      <c r="F803" s="280"/>
      <c r="G803" s="281"/>
      <c r="H803" s="290"/>
      <c r="I803" s="171">
        <f>SUM(I782:I802)</f>
        <v>5239750.3499999996</v>
      </c>
      <c r="J803" s="171">
        <f t="shared" ref="J803:M803" si="47">SUM(J782:J802)</f>
        <v>4223353.1099999994</v>
      </c>
      <c r="K803" s="171">
        <f t="shared" si="47"/>
        <v>607089.89000000036</v>
      </c>
      <c r="L803" s="171">
        <f t="shared" si="47"/>
        <v>4830443</v>
      </c>
      <c r="M803" s="171">
        <f t="shared" si="47"/>
        <v>4439620</v>
      </c>
    </row>
    <row r="804" spans="1:13" ht="18" customHeight="1">
      <c r="A804" s="270"/>
      <c r="B804" s="271" t="s">
        <v>172</v>
      </c>
      <c r="C804" s="271"/>
      <c r="D804" s="271"/>
      <c r="E804" s="271"/>
      <c r="F804" s="272"/>
      <c r="G804" s="273"/>
      <c r="H804" s="288"/>
      <c r="I804" s="190"/>
      <c r="J804" s="62"/>
      <c r="K804" s="62"/>
      <c r="L804" s="62"/>
      <c r="M804" s="62"/>
    </row>
    <row r="805" spans="1:13" ht="18" customHeight="1">
      <c r="A805" s="270"/>
      <c r="B805" s="271"/>
      <c r="C805" s="271"/>
      <c r="D805" s="271" t="s">
        <v>173</v>
      </c>
      <c r="E805" s="271"/>
      <c r="F805" s="272"/>
      <c r="G805" s="273" t="s">
        <v>75</v>
      </c>
      <c r="H805" s="275" t="s">
        <v>271</v>
      </c>
      <c r="I805" s="190">
        <v>127751</v>
      </c>
      <c r="J805" s="62">
        <v>178490.54</v>
      </c>
      <c r="K805" s="62">
        <f>182000-J805</f>
        <v>3509.4599999999919</v>
      </c>
      <c r="L805" s="62">
        <f t="shared" ref="L805:L814" si="48">SUM(K805+J805)</f>
        <v>182000</v>
      </c>
      <c r="M805" s="62">
        <v>132000</v>
      </c>
    </row>
    <row r="806" spans="1:13" ht="18" customHeight="1">
      <c r="A806" s="270"/>
      <c r="B806" s="271"/>
      <c r="C806" s="271"/>
      <c r="D806" s="271" t="s">
        <v>107</v>
      </c>
      <c r="E806" s="271"/>
      <c r="F806" s="272"/>
      <c r="G806" s="273" t="s">
        <v>76</v>
      </c>
      <c r="H806" s="275" t="s">
        <v>272</v>
      </c>
      <c r="I806" s="190">
        <v>67555</v>
      </c>
      <c r="J806" s="62">
        <v>188364</v>
      </c>
      <c r="K806" s="62">
        <f>200000-J806</f>
        <v>11636</v>
      </c>
      <c r="L806" s="62">
        <f t="shared" si="48"/>
        <v>200000</v>
      </c>
      <c r="M806" s="62">
        <v>230000</v>
      </c>
    </row>
    <row r="807" spans="1:13" ht="18" customHeight="1">
      <c r="A807" s="270"/>
      <c r="B807" s="271"/>
      <c r="C807" s="271"/>
      <c r="D807" s="271" t="s">
        <v>73</v>
      </c>
      <c r="E807" s="271"/>
      <c r="F807" s="272"/>
      <c r="G807" s="273" t="s">
        <v>78</v>
      </c>
      <c r="H807" s="275" t="s">
        <v>273</v>
      </c>
      <c r="I807" s="190">
        <v>47020</v>
      </c>
      <c r="J807" s="62">
        <v>30040</v>
      </c>
      <c r="K807" s="62">
        <f>31000-J807</f>
        <v>960</v>
      </c>
      <c r="L807" s="62">
        <f t="shared" si="48"/>
        <v>31000</v>
      </c>
      <c r="M807" s="62">
        <v>100000</v>
      </c>
    </row>
    <row r="808" spans="1:13" ht="18" customHeight="1">
      <c r="A808" s="270"/>
      <c r="B808" s="271"/>
      <c r="C808" s="271"/>
      <c r="D808" s="271" t="s">
        <v>177</v>
      </c>
      <c r="E808" s="271"/>
      <c r="F808" s="272"/>
      <c r="G808" s="273" t="s">
        <v>232</v>
      </c>
      <c r="H808" s="275" t="s">
        <v>274</v>
      </c>
      <c r="I808" s="190">
        <v>0</v>
      </c>
      <c r="J808" s="62">
        <v>0</v>
      </c>
      <c r="K808" s="62">
        <f>1000-J808</f>
        <v>1000</v>
      </c>
      <c r="L808" s="62">
        <f t="shared" si="48"/>
        <v>1000</v>
      </c>
      <c r="M808" s="62">
        <v>1000</v>
      </c>
    </row>
    <row r="809" spans="1:13" ht="18" customHeight="1">
      <c r="A809" s="270"/>
      <c r="B809" s="271"/>
      <c r="C809" s="271"/>
      <c r="D809" s="271" t="s">
        <v>179</v>
      </c>
      <c r="E809" s="271"/>
      <c r="F809" s="272"/>
      <c r="G809" s="273" t="s">
        <v>79</v>
      </c>
      <c r="H809" s="275" t="s">
        <v>275</v>
      </c>
      <c r="I809" s="190">
        <v>35999.949999999997</v>
      </c>
      <c r="J809" s="62">
        <v>36000</v>
      </c>
      <c r="K809" s="62">
        <f>36000-J809</f>
        <v>0</v>
      </c>
      <c r="L809" s="62">
        <f t="shared" si="48"/>
        <v>36000</v>
      </c>
      <c r="M809" s="62">
        <v>36000</v>
      </c>
    </row>
    <row r="810" spans="1:13" ht="18" customHeight="1">
      <c r="A810" s="270"/>
      <c r="B810" s="271"/>
      <c r="C810" s="271"/>
      <c r="D810" s="271" t="s">
        <v>432</v>
      </c>
      <c r="E810" s="271"/>
      <c r="F810" s="272"/>
      <c r="G810" s="273" t="s">
        <v>80</v>
      </c>
      <c r="H810" s="275" t="s">
        <v>276</v>
      </c>
      <c r="I810" s="190">
        <v>0</v>
      </c>
      <c r="J810" s="62">
        <v>0</v>
      </c>
      <c r="K810" s="62">
        <f>0-J810</f>
        <v>0</v>
      </c>
      <c r="L810" s="62">
        <f t="shared" si="48"/>
        <v>0</v>
      </c>
      <c r="M810" s="62">
        <v>20000</v>
      </c>
    </row>
    <row r="811" spans="1:13" ht="18" customHeight="1">
      <c r="A811" s="270"/>
      <c r="B811" s="271"/>
      <c r="C811" s="271"/>
      <c r="D811" s="271" t="s">
        <v>183</v>
      </c>
      <c r="E811" s="271"/>
      <c r="F811" s="272"/>
      <c r="G811" s="273" t="s">
        <v>238</v>
      </c>
      <c r="H811" s="275" t="s">
        <v>289</v>
      </c>
      <c r="I811" s="190">
        <v>549698</v>
      </c>
      <c r="J811" s="62">
        <v>726619</v>
      </c>
      <c r="K811" s="62">
        <f>847932.2-J811</f>
        <v>121313.19999999995</v>
      </c>
      <c r="L811" s="62">
        <f t="shared" si="48"/>
        <v>847932.2</v>
      </c>
      <c r="M811" s="62">
        <v>812882</v>
      </c>
    </row>
    <row r="812" spans="1:13" ht="18" customHeight="1">
      <c r="A812" s="270"/>
      <c r="B812" s="271"/>
      <c r="C812" s="271"/>
      <c r="D812" s="271" t="s">
        <v>500</v>
      </c>
      <c r="E812" s="271"/>
      <c r="F812" s="272"/>
      <c r="G812" s="273"/>
      <c r="H812" s="275"/>
      <c r="I812" s="190">
        <v>316382</v>
      </c>
      <c r="J812" s="62">
        <v>0</v>
      </c>
      <c r="K812" s="62">
        <f>0-J812</f>
        <v>0</v>
      </c>
      <c r="L812" s="62">
        <f t="shared" si="48"/>
        <v>0</v>
      </c>
      <c r="M812" s="62">
        <f>2000000-1700000</f>
        <v>300000</v>
      </c>
    </row>
    <row r="813" spans="1:13" ht="18" customHeight="1">
      <c r="A813" s="270"/>
      <c r="B813" s="271"/>
      <c r="C813" s="271"/>
      <c r="D813" s="271" t="s">
        <v>185</v>
      </c>
      <c r="E813" s="271"/>
      <c r="F813" s="272"/>
      <c r="G813" s="273" t="s">
        <v>81</v>
      </c>
      <c r="H813" s="275" t="s">
        <v>277</v>
      </c>
      <c r="I813" s="190">
        <v>0</v>
      </c>
      <c r="J813" s="62">
        <v>2000</v>
      </c>
      <c r="K813" s="62">
        <f>10000-J813</f>
        <v>8000</v>
      </c>
      <c r="L813" s="62">
        <f t="shared" ref="L813" si="49">SUM(K813+J813)</f>
        <v>10000</v>
      </c>
      <c r="M813" s="62">
        <v>10000</v>
      </c>
    </row>
    <row r="814" spans="1:13" ht="18" customHeight="1">
      <c r="A814" s="270"/>
      <c r="B814" s="271"/>
      <c r="C814" s="271"/>
      <c r="D814" s="271" t="s">
        <v>502</v>
      </c>
      <c r="E814" s="271"/>
      <c r="F814" s="272"/>
      <c r="G814" s="273"/>
      <c r="H814" s="275" t="s">
        <v>277</v>
      </c>
      <c r="I814" s="190">
        <v>175000</v>
      </c>
      <c r="J814" s="62">
        <v>0</v>
      </c>
      <c r="K814" s="62">
        <f>0-J814</f>
        <v>0</v>
      </c>
      <c r="L814" s="62">
        <f t="shared" si="48"/>
        <v>0</v>
      </c>
      <c r="M814" s="62">
        <v>0</v>
      </c>
    </row>
    <row r="815" spans="1:13" ht="18" customHeight="1">
      <c r="A815" s="278"/>
      <c r="B815" s="279"/>
      <c r="C815" s="279"/>
      <c r="D815" s="279" t="s">
        <v>322</v>
      </c>
      <c r="E815" s="279"/>
      <c r="F815" s="280"/>
      <c r="G815" s="281"/>
      <c r="H815" s="290"/>
      <c r="I815" s="171">
        <f>SUM(I805:I814)</f>
        <v>1319405.95</v>
      </c>
      <c r="J815" s="171">
        <f>SUM(J805:J814)</f>
        <v>1161513.54</v>
      </c>
      <c r="K815" s="171">
        <f>SUM(K805:K814)</f>
        <v>146418.65999999995</v>
      </c>
      <c r="L815" s="171">
        <f>SUM(L805:L814)</f>
        <v>1307932.2</v>
      </c>
      <c r="M815" s="171">
        <f>SUM(M805:M814)</f>
        <v>1641882</v>
      </c>
    </row>
    <row r="816" spans="1:13" ht="18" customHeight="1">
      <c r="A816" s="270"/>
      <c r="B816" s="271" t="s">
        <v>186</v>
      </c>
      <c r="C816" s="271"/>
      <c r="D816" s="271"/>
      <c r="E816" s="271"/>
      <c r="F816" s="272"/>
      <c r="G816" s="273"/>
      <c r="H816" s="288"/>
      <c r="I816" s="190"/>
      <c r="J816" s="62"/>
      <c r="K816" s="62"/>
      <c r="L816" s="62"/>
      <c r="M816" s="62"/>
    </row>
    <row r="817" spans="1:15" ht="18" customHeight="1">
      <c r="A817" s="270"/>
      <c r="B817" s="271"/>
      <c r="C817" s="271"/>
      <c r="D817" s="271" t="s">
        <v>491</v>
      </c>
      <c r="E817" s="271"/>
      <c r="F817" s="272"/>
      <c r="G817" s="273"/>
      <c r="H817" s="275" t="s">
        <v>410</v>
      </c>
      <c r="I817" s="190">
        <v>49600</v>
      </c>
      <c r="J817" s="62">
        <v>0</v>
      </c>
      <c r="K817" s="62">
        <f>0-J817</f>
        <v>0</v>
      </c>
      <c r="L817" s="62">
        <f t="shared" ref="L817:L823" si="50">SUM(K817+J817)</f>
        <v>0</v>
      </c>
      <c r="M817" s="62">
        <v>0</v>
      </c>
    </row>
    <row r="818" spans="1:15" ht="18" customHeight="1">
      <c r="A818" s="270"/>
      <c r="B818" s="271"/>
      <c r="C818" s="271"/>
      <c r="D818" s="271" t="s">
        <v>408</v>
      </c>
      <c r="E818" s="271"/>
      <c r="F818" s="272"/>
      <c r="G818" s="273" t="s">
        <v>411</v>
      </c>
      <c r="H818" s="275" t="s">
        <v>481</v>
      </c>
      <c r="I818" s="190">
        <v>0</v>
      </c>
      <c r="J818" s="62">
        <v>0</v>
      </c>
      <c r="K818" s="62">
        <f t="shared" ref="K818:K820" si="51">0-J818</f>
        <v>0</v>
      </c>
      <c r="L818" s="62">
        <f t="shared" si="50"/>
        <v>0</v>
      </c>
      <c r="M818" s="62">
        <v>60000</v>
      </c>
    </row>
    <row r="819" spans="1:15" ht="18" customHeight="1">
      <c r="A819" s="270"/>
      <c r="B819" s="271"/>
      <c r="C819" s="271"/>
      <c r="D819" s="271" t="s">
        <v>609</v>
      </c>
      <c r="E819" s="271"/>
      <c r="F819" s="272"/>
      <c r="G819" s="273" t="s">
        <v>413</v>
      </c>
      <c r="H819" s="275" t="s">
        <v>414</v>
      </c>
      <c r="I819" s="190">
        <v>41940</v>
      </c>
      <c r="J819" s="62">
        <v>0</v>
      </c>
      <c r="K819" s="62">
        <f>0-J819</f>
        <v>0</v>
      </c>
      <c r="L819" s="62">
        <f t="shared" si="50"/>
        <v>0</v>
      </c>
      <c r="M819" s="62">
        <v>60000</v>
      </c>
    </row>
    <row r="820" spans="1:15" ht="18" customHeight="1">
      <c r="A820" s="270"/>
      <c r="B820" s="271"/>
      <c r="C820" s="271"/>
      <c r="D820" s="271" t="s">
        <v>610</v>
      </c>
      <c r="E820" s="271"/>
      <c r="F820" s="272"/>
      <c r="G820" s="273"/>
      <c r="H820" s="275" t="s">
        <v>443</v>
      </c>
      <c r="I820" s="190">
        <v>0</v>
      </c>
      <c r="J820" s="62">
        <v>0</v>
      </c>
      <c r="K820" s="62">
        <f t="shared" si="51"/>
        <v>0</v>
      </c>
      <c r="L820" s="62">
        <f t="shared" si="50"/>
        <v>0</v>
      </c>
      <c r="M820" s="62">
        <v>1700000</v>
      </c>
    </row>
    <row r="821" spans="1:15" ht="18" customHeight="1">
      <c r="A821" s="270"/>
      <c r="B821" s="271"/>
      <c r="C821" s="271"/>
      <c r="D821" s="271" t="s">
        <v>628</v>
      </c>
      <c r="E821" s="271"/>
      <c r="F821" s="272"/>
      <c r="G821" s="273"/>
      <c r="H821" s="275"/>
      <c r="I821" s="190"/>
      <c r="J821" s="62">
        <v>999817.56</v>
      </c>
      <c r="K821" s="62">
        <f>1000000-J821</f>
        <v>182.43999999994412</v>
      </c>
      <c r="L821" s="62">
        <f t="shared" si="50"/>
        <v>1000000</v>
      </c>
      <c r="M821" s="62"/>
    </row>
    <row r="822" spans="1:15" ht="18" customHeight="1">
      <c r="A822" s="270"/>
      <c r="B822" s="271"/>
      <c r="C822" s="271"/>
      <c r="D822" s="271" t="s">
        <v>629</v>
      </c>
      <c r="E822" s="271"/>
      <c r="F822" s="272"/>
      <c r="G822" s="273"/>
      <c r="H822" s="275"/>
      <c r="I822" s="190"/>
      <c r="J822" s="62">
        <v>1990000</v>
      </c>
      <c r="K822" s="62">
        <f>2000000-J822</f>
        <v>10000</v>
      </c>
      <c r="L822" s="62">
        <f t="shared" si="50"/>
        <v>2000000</v>
      </c>
      <c r="M822" s="62"/>
    </row>
    <row r="823" spans="1:15" ht="18" customHeight="1">
      <c r="A823" s="270"/>
      <c r="B823" s="271"/>
      <c r="C823" s="271"/>
      <c r="D823" s="271" t="s">
        <v>630</v>
      </c>
      <c r="E823" s="271"/>
      <c r="F823" s="272"/>
      <c r="G823" s="273"/>
      <c r="H823" s="275" t="s">
        <v>631</v>
      </c>
      <c r="I823" s="190"/>
      <c r="J823" s="62">
        <v>1498000</v>
      </c>
      <c r="K823" s="62">
        <f>1500000-J823</f>
        <v>2000</v>
      </c>
      <c r="L823" s="62">
        <f t="shared" si="50"/>
        <v>1500000</v>
      </c>
      <c r="M823" s="62"/>
    </row>
    <row r="824" spans="1:15" ht="18" customHeight="1">
      <c r="A824" s="278"/>
      <c r="B824" s="279"/>
      <c r="C824" s="279"/>
      <c r="D824" s="279" t="s">
        <v>366</v>
      </c>
      <c r="E824" s="279"/>
      <c r="F824" s="280"/>
      <c r="G824" s="281"/>
      <c r="H824" s="290"/>
      <c r="I824" s="171">
        <f>SUM(I817:I820)</f>
        <v>91540</v>
      </c>
      <c r="J824" s="171">
        <f>SUM(J817:J823)</f>
        <v>4487817.5600000005</v>
      </c>
      <c r="K824" s="171">
        <f>SUM(K817:K823)</f>
        <v>12182.439999999944</v>
      </c>
      <c r="L824" s="171">
        <f>SUM(L817:L823)</f>
        <v>4500000</v>
      </c>
      <c r="M824" s="171">
        <f>SUM(M817:M820)</f>
        <v>1820000</v>
      </c>
    </row>
    <row r="825" spans="1:15" ht="5.0999999999999996" customHeight="1">
      <c r="A825" s="278"/>
      <c r="B825" s="279"/>
      <c r="C825" s="279"/>
      <c r="D825" s="279"/>
      <c r="E825" s="279"/>
      <c r="F825" s="280"/>
      <c r="G825" s="281"/>
      <c r="H825" s="290"/>
      <c r="I825" s="171"/>
      <c r="J825" s="191"/>
      <c r="K825" s="191"/>
      <c r="L825" s="191"/>
      <c r="M825" s="191"/>
    </row>
    <row r="826" spans="1:15" ht="18" customHeight="1">
      <c r="A826" s="282" t="s">
        <v>244</v>
      </c>
      <c r="B826" s="283"/>
      <c r="C826" s="283"/>
      <c r="D826" s="283"/>
      <c r="E826" s="283"/>
      <c r="F826" s="284"/>
      <c r="G826" s="285"/>
      <c r="H826" s="291"/>
      <c r="I826" s="188">
        <f>SUM(I824+I815+I803)</f>
        <v>6650696.2999999998</v>
      </c>
      <c r="J826" s="188">
        <f>SUM(J824+J815+J803)</f>
        <v>9872684.2100000009</v>
      </c>
      <c r="K826" s="188">
        <f>SUM(K824+K815+K803)</f>
        <v>765690.99000000022</v>
      </c>
      <c r="L826" s="188">
        <f>SUM(L824+L815+L803)</f>
        <v>10638375.199999999</v>
      </c>
      <c r="M826" s="188">
        <f>SUM(M824+M815+M803)</f>
        <v>7901502</v>
      </c>
    </row>
    <row r="827" spans="1:15" ht="18" customHeight="1">
      <c r="A827" s="54"/>
      <c r="B827" s="71"/>
      <c r="C827" s="54"/>
      <c r="D827" s="54"/>
      <c r="E827" s="54"/>
      <c r="F827" s="54"/>
      <c r="G827" s="54"/>
      <c r="H827" s="135"/>
      <c r="I827" s="135"/>
      <c r="J827" s="72"/>
      <c r="K827" s="72"/>
      <c r="L827" s="72"/>
      <c r="M827" s="72"/>
    </row>
    <row r="828" spans="1:15" s="361" customFormat="1" ht="18" customHeight="1">
      <c r="A828" s="534"/>
      <c r="B828" s="534"/>
      <c r="C828" s="534"/>
      <c r="D828" s="534"/>
      <c r="E828" s="534"/>
      <c r="F828" s="534"/>
      <c r="G828" s="534"/>
      <c r="H828" s="534"/>
      <c r="I828" s="534"/>
      <c r="J828" s="534"/>
      <c r="K828" s="534"/>
      <c r="L828" s="534"/>
      <c r="M828" s="534"/>
      <c r="O828" s="236"/>
    </row>
    <row r="829" spans="1:15" s="361" customFormat="1" ht="18" customHeight="1">
      <c r="A829" s="368" t="s">
        <v>556</v>
      </c>
      <c r="B829" s="368"/>
      <c r="C829" s="368"/>
      <c r="D829" s="368"/>
      <c r="E829" s="368"/>
      <c r="F829" s="368"/>
      <c r="G829" s="368"/>
      <c r="H829" s="368"/>
      <c r="I829" s="368"/>
      <c r="J829" s="368"/>
      <c r="K829" s="368"/>
      <c r="L829" s="368"/>
      <c r="M829" s="368"/>
      <c r="O829" s="236"/>
    </row>
    <row r="830" spans="1:15" s="367" customFormat="1" ht="20.100000000000001" customHeight="1">
      <c r="A830" s="362"/>
      <c r="B830" s="363"/>
      <c r="C830" s="362"/>
      <c r="D830" s="362"/>
      <c r="E830" s="362"/>
      <c r="F830" s="364"/>
      <c r="G830" s="362"/>
      <c r="H830" s="365"/>
      <c r="I830" s="365"/>
      <c r="J830" s="361"/>
      <c r="K830" s="136"/>
      <c r="L830" s="136"/>
      <c r="M830" s="72"/>
      <c r="O830" s="238"/>
    </row>
    <row r="831" spans="1:15" s="52" customFormat="1" ht="18" customHeight="1">
      <c r="A831" s="139" t="s">
        <v>245</v>
      </c>
      <c r="B831" s="139"/>
      <c r="C831" s="361"/>
      <c r="D831" s="139"/>
      <c r="E831" s="139"/>
      <c r="F831" s="361"/>
      <c r="G831" s="139"/>
      <c r="H831" s="139"/>
      <c r="I831" s="139" t="s">
        <v>246</v>
      </c>
      <c r="J831" s="139"/>
      <c r="K831" s="139"/>
      <c r="L831" s="139" t="s">
        <v>43</v>
      </c>
      <c r="M831" s="139"/>
      <c r="O831" s="236"/>
    </row>
    <row r="832" spans="1:15" s="361" customFormat="1" ht="15" customHeight="1">
      <c r="A832" s="51"/>
      <c r="B832" s="50"/>
      <c r="C832" s="52"/>
      <c r="D832" s="51"/>
      <c r="E832" s="51"/>
      <c r="F832" s="52"/>
      <c r="G832" s="51"/>
      <c r="H832" s="52"/>
      <c r="I832" s="51"/>
      <c r="J832" s="135"/>
      <c r="K832" s="76"/>
      <c r="L832" s="75"/>
      <c r="M832" s="136"/>
      <c r="O832" s="236"/>
    </row>
    <row r="833" spans="1:15" s="33" customFormat="1" ht="15" customHeight="1">
      <c r="A833" s="529" t="s">
        <v>34</v>
      </c>
      <c r="B833" s="529"/>
      <c r="C833" s="529"/>
      <c r="D833" s="529"/>
      <c r="E833" s="529"/>
      <c r="F833" s="529"/>
      <c r="G833" s="50"/>
      <c r="H833" s="73"/>
      <c r="I833" s="529" t="s">
        <v>12</v>
      </c>
      <c r="J833" s="529"/>
      <c r="K833" s="74"/>
      <c r="L833" s="529" t="s">
        <v>460</v>
      </c>
      <c r="M833" s="529"/>
      <c r="O833" s="236"/>
    </row>
    <row r="834" spans="1:15" s="33" customFormat="1" ht="15" customHeight="1">
      <c r="A834" s="517" t="s">
        <v>557</v>
      </c>
      <c r="B834" s="517"/>
      <c r="C834" s="517"/>
      <c r="D834" s="517"/>
      <c r="E834" s="517"/>
      <c r="F834" s="517"/>
      <c r="I834" s="518" t="s">
        <v>558</v>
      </c>
      <c r="J834" s="518"/>
      <c r="L834" s="517" t="s">
        <v>559</v>
      </c>
      <c r="M834" s="517"/>
      <c r="O834" s="236"/>
    </row>
    <row r="835" spans="1:15" s="33" customFormat="1" ht="15" customHeight="1">
      <c r="A835" s="517"/>
      <c r="B835" s="517"/>
      <c r="C835" s="517"/>
      <c r="D835" s="517"/>
      <c r="E835" s="517"/>
      <c r="F835" s="517"/>
      <c r="G835" s="517"/>
      <c r="H835" s="517"/>
      <c r="I835" s="517"/>
      <c r="J835" s="517"/>
      <c r="K835" s="517"/>
      <c r="L835" s="517"/>
      <c r="M835" s="517"/>
      <c r="O835" s="236"/>
    </row>
    <row r="836" spans="1:15" s="33" customFormat="1" ht="15" customHeight="1">
      <c r="A836" s="519" t="s">
        <v>549</v>
      </c>
      <c r="B836" s="519"/>
      <c r="C836" s="519"/>
      <c r="D836" s="519"/>
      <c r="E836" s="519"/>
      <c r="F836" s="519"/>
      <c r="G836" s="519"/>
      <c r="H836" s="519"/>
      <c r="I836" s="519"/>
      <c r="J836" s="519"/>
      <c r="K836" s="519"/>
      <c r="L836" s="519"/>
      <c r="M836" s="519"/>
      <c r="O836" s="236"/>
    </row>
    <row r="837" spans="1:15" s="33" customFormat="1" ht="15" customHeight="1">
      <c r="A837" s="167"/>
      <c r="B837" s="167"/>
      <c r="C837" s="167"/>
      <c r="D837" s="167"/>
      <c r="E837" s="167"/>
      <c r="F837" s="167"/>
      <c r="G837" s="167"/>
      <c r="H837" s="167"/>
      <c r="I837" s="167"/>
      <c r="J837" s="167"/>
      <c r="K837" s="167"/>
      <c r="L837" s="167"/>
      <c r="M837" s="167"/>
      <c r="O837" s="236"/>
    </row>
    <row r="838" spans="1:15" s="33" customFormat="1" ht="15.75">
      <c r="A838" s="142" t="s">
        <v>550</v>
      </c>
      <c r="B838" s="142"/>
      <c r="C838" s="142"/>
      <c r="D838" s="141"/>
      <c r="E838" s="141"/>
      <c r="F838" s="142" t="s">
        <v>37</v>
      </c>
      <c r="G838" s="142"/>
      <c r="H838" s="142"/>
      <c r="I838" s="142"/>
      <c r="J838" s="142" t="s">
        <v>551</v>
      </c>
      <c r="K838" s="142" t="str">
        <f>$K$9</f>
        <v>2024</v>
      </c>
      <c r="L838" s="142"/>
      <c r="M838" s="142"/>
      <c r="N838" s="164"/>
      <c r="O838" s="236"/>
    </row>
    <row r="839" spans="1:15" s="33" customFormat="1" ht="15.75">
      <c r="A839" s="142" t="s">
        <v>552</v>
      </c>
      <c r="B839" s="142"/>
      <c r="C839" s="142"/>
      <c r="D839" s="141"/>
      <c r="E839" s="142"/>
      <c r="F839" s="142" t="s">
        <v>554</v>
      </c>
      <c r="G839" s="142"/>
      <c r="H839" s="142"/>
      <c r="I839" s="142"/>
      <c r="J839" s="142" t="s">
        <v>553</v>
      </c>
      <c r="K839" s="50" t="s">
        <v>570</v>
      </c>
      <c r="L839" s="142"/>
      <c r="M839" s="142"/>
      <c r="O839" s="236"/>
    </row>
    <row r="840" spans="1:15" s="33" customFormat="1" ht="15.75">
      <c r="A840" s="142" t="s">
        <v>555</v>
      </c>
      <c r="B840" s="142"/>
      <c r="C840" s="142"/>
      <c r="D840" s="142"/>
      <c r="E840" s="142"/>
      <c r="F840" s="142"/>
      <c r="G840" s="142"/>
      <c r="H840" s="142"/>
      <c r="I840" s="142"/>
      <c r="J840" s="142"/>
      <c r="K840" s="142" t="s">
        <v>571</v>
      </c>
      <c r="L840" s="142"/>
      <c r="M840" s="142"/>
      <c r="O840" s="236"/>
    </row>
    <row r="841" spans="1:15" s="52" customFormat="1" ht="18" customHeight="1" thickBot="1">
      <c r="A841" s="143"/>
      <c r="B841" s="143"/>
      <c r="C841" s="143"/>
      <c r="D841" s="143"/>
      <c r="E841" s="143"/>
      <c r="F841" s="143"/>
      <c r="G841" s="143"/>
      <c r="H841" s="143"/>
      <c r="I841" s="143"/>
      <c r="J841" s="143"/>
      <c r="K841" s="143"/>
      <c r="L841" s="143"/>
      <c r="M841" s="143"/>
      <c r="O841" s="236"/>
    </row>
    <row r="842" spans="1:15" ht="18" customHeight="1">
      <c r="A842" s="255"/>
      <c r="B842" s="256"/>
      <c r="C842" s="256"/>
      <c r="D842" s="256"/>
      <c r="E842" s="256"/>
      <c r="F842" s="257"/>
      <c r="G842" s="258"/>
      <c r="H842" s="259"/>
      <c r="I842" s="259" t="s">
        <v>6</v>
      </c>
      <c r="J842" s="520" t="s">
        <v>545</v>
      </c>
      <c r="K842" s="521"/>
      <c r="L842" s="522"/>
      <c r="M842" s="260" t="s">
        <v>7</v>
      </c>
    </row>
    <row r="843" spans="1:15" ht="18" customHeight="1">
      <c r="A843" s="523"/>
      <c r="B843" s="524"/>
      <c r="C843" s="524"/>
      <c r="D843" s="524"/>
      <c r="E843" s="524"/>
      <c r="F843" s="525"/>
      <c r="G843" s="448"/>
      <c r="H843" s="261"/>
      <c r="I843" s="261">
        <v>2022</v>
      </c>
      <c r="J843" s="261" t="s">
        <v>192</v>
      </c>
      <c r="K843" s="261" t="s">
        <v>193</v>
      </c>
      <c r="L843" s="261"/>
      <c r="M843" s="262">
        <v>2024</v>
      </c>
    </row>
    <row r="844" spans="1:15" ht="18" customHeight="1">
      <c r="A844" s="523" t="s">
        <v>13</v>
      </c>
      <c r="B844" s="524"/>
      <c r="C844" s="524"/>
      <c r="D844" s="524"/>
      <c r="E844" s="524"/>
      <c r="F844" s="525"/>
      <c r="G844" s="263"/>
      <c r="H844" s="264" t="s">
        <v>243</v>
      </c>
      <c r="I844" s="261" t="s">
        <v>191</v>
      </c>
      <c r="J844" s="261" t="s">
        <v>191</v>
      </c>
      <c r="K844" s="261" t="s">
        <v>194</v>
      </c>
      <c r="L844" s="261" t="s">
        <v>11</v>
      </c>
      <c r="M844" s="262" t="s">
        <v>196</v>
      </c>
    </row>
    <row r="845" spans="1:15" ht="18" customHeight="1">
      <c r="A845" s="265"/>
      <c r="B845" s="266"/>
      <c r="C845" s="266"/>
      <c r="D845" s="266"/>
      <c r="E845" s="266"/>
      <c r="F845" s="267"/>
      <c r="G845" s="263"/>
      <c r="H845" s="261"/>
      <c r="I845" s="261"/>
      <c r="J845" s="261">
        <v>2023</v>
      </c>
      <c r="K845" s="261">
        <v>2023</v>
      </c>
      <c r="L845" s="261"/>
      <c r="M845" s="262"/>
    </row>
    <row r="846" spans="1:15" ht="18" customHeight="1" thickBot="1">
      <c r="A846" s="526"/>
      <c r="B846" s="527"/>
      <c r="C846" s="527"/>
      <c r="D846" s="527"/>
      <c r="E846" s="527"/>
      <c r="F846" s="528"/>
      <c r="G846" s="449"/>
      <c r="H846" s="268"/>
      <c r="I846" s="369"/>
      <c r="J846" s="268"/>
      <c r="K846" s="268"/>
      <c r="L846" s="268"/>
      <c r="M846" s="269"/>
    </row>
    <row r="847" spans="1:15" ht="18" customHeight="1">
      <c r="A847" s="462"/>
      <c r="B847" s="193" t="s">
        <v>66</v>
      </c>
      <c r="C847" s="283"/>
      <c r="D847" s="193"/>
      <c r="E847" s="193"/>
      <c r="F847" s="463"/>
      <c r="G847" s="464"/>
      <c r="H847" s="489"/>
      <c r="I847" s="490"/>
      <c r="J847" s="491"/>
      <c r="K847" s="491"/>
      <c r="L847" s="491"/>
      <c r="M847" s="491"/>
    </row>
    <row r="848" spans="1:15" ht="18" customHeight="1">
      <c r="A848" s="270"/>
      <c r="B848" s="271"/>
      <c r="C848" s="271" t="s">
        <v>148</v>
      </c>
      <c r="D848" s="271"/>
      <c r="E848" s="271"/>
      <c r="F848" s="272"/>
      <c r="G848" s="273"/>
      <c r="H848" s="288"/>
      <c r="I848" s="289"/>
      <c r="J848" s="77"/>
      <c r="K848" s="77"/>
      <c r="L848" s="77"/>
      <c r="M848" s="77"/>
    </row>
    <row r="849" spans="1:13" ht="18" customHeight="1">
      <c r="A849" s="270"/>
      <c r="B849" s="271"/>
      <c r="C849" s="271"/>
      <c r="D849" s="271" t="s">
        <v>149</v>
      </c>
      <c r="E849" s="271"/>
      <c r="F849" s="272"/>
      <c r="G849" s="273" t="s">
        <v>213</v>
      </c>
      <c r="H849" s="275" t="s">
        <v>257</v>
      </c>
      <c r="I849" s="190">
        <v>5470483</v>
      </c>
      <c r="J849" s="62">
        <v>5999756.4800000004</v>
      </c>
      <c r="K849" s="62">
        <f>5999756.484-J849</f>
        <v>3.9999997243285179E-3</v>
      </c>
      <c r="L849" s="62">
        <f>SUM(K849+J849)</f>
        <v>5999756.4840000002</v>
      </c>
      <c r="M849" s="62">
        <v>7292650</v>
      </c>
    </row>
    <row r="850" spans="1:13" ht="18" customHeight="1">
      <c r="A850" s="270"/>
      <c r="B850" s="271"/>
      <c r="C850" s="271" t="s">
        <v>150</v>
      </c>
      <c r="D850" s="271"/>
      <c r="E850" s="271"/>
      <c r="F850" s="272"/>
      <c r="G850" s="273"/>
      <c r="H850" s="288"/>
      <c r="I850" s="190"/>
      <c r="J850" s="62"/>
      <c r="K850" s="62"/>
      <c r="L850" s="62"/>
      <c r="M850" s="62"/>
    </row>
    <row r="851" spans="1:13" ht="18" customHeight="1">
      <c r="A851" s="270"/>
      <c r="B851" s="271"/>
      <c r="C851" s="271"/>
      <c r="D851" s="271" t="s">
        <v>151</v>
      </c>
      <c r="E851" s="271"/>
      <c r="F851" s="272"/>
      <c r="G851" s="273" t="s">
        <v>214</v>
      </c>
      <c r="H851" s="275" t="s">
        <v>258</v>
      </c>
      <c r="I851" s="190">
        <v>336000</v>
      </c>
      <c r="J851" s="62">
        <v>360000</v>
      </c>
      <c r="K851" s="62">
        <f>360000-J851</f>
        <v>0</v>
      </c>
      <c r="L851" s="62">
        <f t="shared" ref="L851:L871" si="52">SUM(K851+J851)</f>
        <v>360000</v>
      </c>
      <c r="M851" s="62">
        <v>408000</v>
      </c>
    </row>
    <row r="852" spans="1:13" ht="18" customHeight="1">
      <c r="A852" s="270"/>
      <c r="B852" s="271"/>
      <c r="C852" s="271"/>
      <c r="D852" s="271" t="s">
        <v>161</v>
      </c>
      <c r="E852" s="271"/>
      <c r="F852" s="272"/>
      <c r="G852" s="273" t="s">
        <v>215</v>
      </c>
      <c r="H852" s="275" t="s">
        <v>259</v>
      </c>
      <c r="I852" s="190">
        <v>76500</v>
      </c>
      <c r="J852" s="62">
        <v>76500</v>
      </c>
      <c r="K852" s="62">
        <f>76500-J852</f>
        <v>0</v>
      </c>
      <c r="L852" s="62">
        <f t="shared" si="52"/>
        <v>76500</v>
      </c>
      <c r="M852" s="62">
        <v>76500</v>
      </c>
    </row>
    <row r="853" spans="1:13" ht="18" customHeight="1">
      <c r="A853" s="270"/>
      <c r="B853" s="271"/>
      <c r="C853" s="271"/>
      <c r="D853" s="271" t="s">
        <v>160</v>
      </c>
      <c r="E853" s="271"/>
      <c r="F853" s="272"/>
      <c r="G853" s="273" t="s">
        <v>216</v>
      </c>
      <c r="H853" s="275" t="s">
        <v>260</v>
      </c>
      <c r="I853" s="190">
        <v>76500</v>
      </c>
      <c r="J853" s="62">
        <v>76500</v>
      </c>
      <c r="K853" s="62">
        <f>76500-J853</f>
        <v>0</v>
      </c>
      <c r="L853" s="62">
        <f t="shared" si="52"/>
        <v>76500</v>
      </c>
      <c r="M853" s="62">
        <v>76500</v>
      </c>
    </row>
    <row r="854" spans="1:13" ht="18" customHeight="1">
      <c r="A854" s="270"/>
      <c r="B854" s="271"/>
      <c r="C854" s="271"/>
      <c r="D854" s="271" t="s">
        <v>162</v>
      </c>
      <c r="E854" s="271"/>
      <c r="F854" s="272"/>
      <c r="G854" s="273" t="s">
        <v>217</v>
      </c>
      <c r="H854" s="275" t="s">
        <v>261</v>
      </c>
      <c r="I854" s="190">
        <v>90000</v>
      </c>
      <c r="J854" s="62">
        <v>90000</v>
      </c>
      <c r="K854" s="62">
        <f>90000-J854</f>
        <v>0</v>
      </c>
      <c r="L854" s="62">
        <f t="shared" si="52"/>
        <v>90000</v>
      </c>
      <c r="M854" s="62">
        <v>102000</v>
      </c>
    </row>
    <row r="855" spans="1:13" ht="18" customHeight="1">
      <c r="A855" s="270"/>
      <c r="B855" s="271"/>
      <c r="C855" s="271"/>
      <c r="D855" s="271" t="s">
        <v>163</v>
      </c>
      <c r="E855" s="271"/>
      <c r="F855" s="272"/>
      <c r="G855" s="273" t="s">
        <v>218</v>
      </c>
      <c r="H855" s="275" t="s">
        <v>278</v>
      </c>
      <c r="I855" s="190">
        <v>316800</v>
      </c>
      <c r="J855" s="62">
        <v>207325</v>
      </c>
      <c r="K855" s="62">
        <f>311800-J855</f>
        <v>104475</v>
      </c>
      <c r="L855" s="62">
        <f t="shared" si="52"/>
        <v>311800</v>
      </c>
      <c r="M855" s="62">
        <v>316800</v>
      </c>
    </row>
    <row r="856" spans="1:13" ht="18" customHeight="1">
      <c r="A856" s="270"/>
      <c r="B856" s="271"/>
      <c r="C856" s="271"/>
      <c r="D856" s="271" t="s">
        <v>255</v>
      </c>
      <c r="E856" s="271"/>
      <c r="F856" s="272"/>
      <c r="G856" s="273" t="s">
        <v>219</v>
      </c>
      <c r="H856" s="275" t="s">
        <v>262</v>
      </c>
      <c r="I856" s="190">
        <v>75000</v>
      </c>
      <c r="J856" s="62">
        <v>75000</v>
      </c>
      <c r="K856" s="62">
        <f>75000-J856</f>
        <v>0</v>
      </c>
      <c r="L856" s="62">
        <f t="shared" si="52"/>
        <v>75000</v>
      </c>
      <c r="M856" s="62">
        <v>85000</v>
      </c>
    </row>
    <row r="857" spans="1:13" ht="18" customHeight="1">
      <c r="A857" s="270"/>
      <c r="B857" s="271"/>
      <c r="C857" s="271"/>
      <c r="D857" s="271" t="s">
        <v>164</v>
      </c>
      <c r="E857" s="271"/>
      <c r="F857" s="272"/>
      <c r="G857" s="273" t="s">
        <v>108</v>
      </c>
      <c r="H857" s="275" t="s">
        <v>263</v>
      </c>
      <c r="I857" s="190">
        <v>0</v>
      </c>
      <c r="J857" s="62">
        <v>15000</v>
      </c>
      <c r="K857" s="62">
        <f>15000-J857</f>
        <v>0</v>
      </c>
      <c r="L857" s="62">
        <f t="shared" si="52"/>
        <v>15000</v>
      </c>
      <c r="M857" s="62">
        <v>10000</v>
      </c>
    </row>
    <row r="858" spans="1:13" ht="18" hidden="1" customHeight="1">
      <c r="A858" s="270"/>
      <c r="B858" s="271"/>
      <c r="C858" s="271"/>
      <c r="D858" s="271" t="s">
        <v>487</v>
      </c>
      <c r="E858" s="271"/>
      <c r="F858" s="272"/>
      <c r="G858" s="273" t="s">
        <v>108</v>
      </c>
      <c r="H858" s="275" t="s">
        <v>263</v>
      </c>
      <c r="I858" s="190">
        <v>0</v>
      </c>
      <c r="J858" s="62">
        <v>0</v>
      </c>
      <c r="K858" s="62">
        <f>0-J858</f>
        <v>0</v>
      </c>
      <c r="L858" s="62">
        <f t="shared" si="52"/>
        <v>0</v>
      </c>
      <c r="M858" s="62">
        <v>0</v>
      </c>
    </row>
    <row r="859" spans="1:13" ht="18" customHeight="1">
      <c r="A859" s="270"/>
      <c r="B859" s="271"/>
      <c r="C859" s="271"/>
      <c r="D859" s="271" t="s">
        <v>475</v>
      </c>
      <c r="E859" s="271"/>
      <c r="F859" s="272"/>
      <c r="G859" s="273"/>
      <c r="H859" s="275" t="s">
        <v>263</v>
      </c>
      <c r="I859" s="190">
        <v>264547.40000000002</v>
      </c>
      <c r="J859" s="62">
        <v>0</v>
      </c>
      <c r="K859" s="62">
        <f>0-J859</f>
        <v>0</v>
      </c>
      <c r="L859" s="62">
        <f t="shared" si="52"/>
        <v>0</v>
      </c>
      <c r="M859" s="62">
        <v>0</v>
      </c>
    </row>
    <row r="860" spans="1:13" ht="18" customHeight="1">
      <c r="A860" s="270"/>
      <c r="B860" s="271"/>
      <c r="C860" s="271"/>
      <c r="D860" s="271" t="s">
        <v>165</v>
      </c>
      <c r="E860" s="271"/>
      <c r="F860" s="272"/>
      <c r="G860" s="273" t="s">
        <v>220</v>
      </c>
      <c r="H860" s="275" t="s">
        <v>279</v>
      </c>
      <c r="I860" s="190">
        <v>546687</v>
      </c>
      <c r="J860" s="62">
        <v>535303.25</v>
      </c>
      <c r="K860" s="62">
        <f>546687-J860</f>
        <v>11383.75</v>
      </c>
      <c r="L860" s="62">
        <f t="shared" si="52"/>
        <v>546687</v>
      </c>
      <c r="M860" s="62">
        <v>546687</v>
      </c>
    </row>
    <row r="861" spans="1:13" ht="18" customHeight="1">
      <c r="A861" s="270"/>
      <c r="B861" s="271"/>
      <c r="C861" s="271"/>
      <c r="D861" s="271" t="s">
        <v>166</v>
      </c>
      <c r="E861" s="271"/>
      <c r="F861" s="272"/>
      <c r="G861" s="273" t="s">
        <v>222</v>
      </c>
      <c r="H861" s="275" t="s">
        <v>264</v>
      </c>
      <c r="I861" s="190">
        <v>75000</v>
      </c>
      <c r="J861" s="62">
        <v>75000</v>
      </c>
      <c r="K861" s="62">
        <f>75000-J861</f>
        <v>0</v>
      </c>
      <c r="L861" s="62">
        <f t="shared" si="52"/>
        <v>75000</v>
      </c>
      <c r="M861" s="62">
        <v>85000</v>
      </c>
    </row>
    <row r="862" spans="1:13" ht="18" customHeight="1">
      <c r="A862" s="270"/>
      <c r="B862" s="271"/>
      <c r="C862" s="271"/>
      <c r="D862" s="271" t="s">
        <v>374</v>
      </c>
      <c r="E862" s="271"/>
      <c r="F862" s="271"/>
      <c r="G862" s="277" t="s">
        <v>108</v>
      </c>
      <c r="H862" s="275" t="s">
        <v>263</v>
      </c>
      <c r="I862" s="190">
        <v>435509</v>
      </c>
      <c r="J862" s="62">
        <v>497687</v>
      </c>
      <c r="K862" s="62">
        <f>499209-J862</f>
        <v>1522</v>
      </c>
      <c r="L862" s="62">
        <f t="shared" si="52"/>
        <v>499209</v>
      </c>
      <c r="M862" s="62">
        <v>607730</v>
      </c>
    </row>
    <row r="863" spans="1:13" ht="18" customHeight="1">
      <c r="A863" s="270"/>
      <c r="B863" s="271"/>
      <c r="C863" s="271"/>
      <c r="D863" s="271" t="s">
        <v>167</v>
      </c>
      <c r="E863" s="271"/>
      <c r="F863" s="272"/>
      <c r="G863" s="273" t="s">
        <v>223</v>
      </c>
      <c r="H863" s="275" t="s">
        <v>265</v>
      </c>
      <c r="I863" s="190">
        <v>480188</v>
      </c>
      <c r="J863" s="62">
        <v>500210</v>
      </c>
      <c r="K863" s="62">
        <f>500210-J863</f>
        <v>0</v>
      </c>
      <c r="L863" s="62">
        <f t="shared" si="52"/>
        <v>500210</v>
      </c>
      <c r="M863" s="62">
        <v>608022</v>
      </c>
    </row>
    <row r="864" spans="1:13" ht="18" customHeight="1">
      <c r="A864" s="270"/>
      <c r="B864" s="271"/>
      <c r="C864" s="271"/>
      <c r="D864" s="271" t="s">
        <v>249</v>
      </c>
      <c r="E864" s="271"/>
      <c r="F864" s="272"/>
      <c r="G864" s="273" t="s">
        <v>224</v>
      </c>
      <c r="H864" s="275" t="s">
        <v>266</v>
      </c>
      <c r="I864" s="190">
        <v>659300</v>
      </c>
      <c r="J864" s="62">
        <v>717512.4</v>
      </c>
      <c r="K864" s="62">
        <f>720000-J864</f>
        <v>2487.5999999999767</v>
      </c>
      <c r="L864" s="62">
        <f t="shared" si="52"/>
        <v>720000</v>
      </c>
      <c r="M864" s="62">
        <v>876000</v>
      </c>
    </row>
    <row r="865" spans="1:13" ht="18" customHeight="1">
      <c r="A865" s="270"/>
      <c r="B865" s="271"/>
      <c r="C865" s="271"/>
      <c r="D865" s="271" t="s">
        <v>168</v>
      </c>
      <c r="E865" s="271"/>
      <c r="F865" s="272"/>
      <c r="G865" s="273" t="s">
        <v>225</v>
      </c>
      <c r="H865" s="275" t="s">
        <v>267</v>
      </c>
      <c r="I865" s="190">
        <v>25200</v>
      </c>
      <c r="J865" s="62">
        <v>18000</v>
      </c>
      <c r="K865" s="62">
        <f>27600-J865</f>
        <v>9600</v>
      </c>
      <c r="L865" s="62">
        <f t="shared" si="52"/>
        <v>27600</v>
      </c>
      <c r="M865" s="62">
        <v>30600</v>
      </c>
    </row>
    <row r="866" spans="1:13" ht="18" customHeight="1">
      <c r="A866" s="270"/>
      <c r="B866" s="271"/>
      <c r="C866" s="271"/>
      <c r="D866" s="271" t="s">
        <v>169</v>
      </c>
      <c r="E866" s="271"/>
      <c r="F866" s="272"/>
      <c r="G866" s="273" t="s">
        <v>226</v>
      </c>
      <c r="H866" s="275" t="s">
        <v>268</v>
      </c>
      <c r="I866" s="190">
        <v>112350</v>
      </c>
      <c r="J866" s="62">
        <v>113110.9</v>
      </c>
      <c r="K866" s="62">
        <f>137500-J866</f>
        <v>24389.100000000006</v>
      </c>
      <c r="L866" s="62">
        <f t="shared" si="52"/>
        <v>137500</v>
      </c>
      <c r="M866" s="62">
        <v>183000</v>
      </c>
    </row>
    <row r="867" spans="1:13" ht="18" customHeight="1">
      <c r="A867" s="270"/>
      <c r="B867" s="271"/>
      <c r="C867" s="271"/>
      <c r="D867" s="271" t="s">
        <v>248</v>
      </c>
      <c r="E867" s="271"/>
      <c r="F867" s="272"/>
      <c r="G867" s="273" t="s">
        <v>227</v>
      </c>
      <c r="H867" s="275" t="s">
        <v>269</v>
      </c>
      <c r="I867" s="190">
        <v>16800</v>
      </c>
      <c r="J867" s="62">
        <v>18000</v>
      </c>
      <c r="K867" s="62">
        <f>18000-J867</f>
        <v>0</v>
      </c>
      <c r="L867" s="62">
        <f t="shared" si="52"/>
        <v>18000</v>
      </c>
      <c r="M867" s="62">
        <v>20400</v>
      </c>
    </row>
    <row r="868" spans="1:13" ht="18" hidden="1" customHeight="1">
      <c r="A868" s="270"/>
      <c r="B868" s="271"/>
      <c r="C868" s="271"/>
      <c r="D868" s="271" t="s">
        <v>171</v>
      </c>
      <c r="E868" s="271"/>
      <c r="F868" s="272"/>
      <c r="G868" s="273" t="s">
        <v>82</v>
      </c>
      <c r="H868" s="275" t="s">
        <v>281</v>
      </c>
      <c r="I868" s="190">
        <v>0</v>
      </c>
      <c r="J868" s="62">
        <v>0</v>
      </c>
      <c r="K868" s="62">
        <f>0-J868</f>
        <v>0</v>
      </c>
      <c r="L868" s="62">
        <f t="shared" si="52"/>
        <v>0</v>
      </c>
      <c r="M868" s="62">
        <v>0</v>
      </c>
    </row>
    <row r="869" spans="1:13" ht="18" customHeight="1">
      <c r="A869" s="270"/>
      <c r="B869" s="271"/>
      <c r="C869" s="271"/>
      <c r="D869" s="271" t="s">
        <v>476</v>
      </c>
      <c r="E869" s="271"/>
      <c r="F869" s="272"/>
      <c r="G869" s="273"/>
      <c r="H869" s="275" t="s">
        <v>281</v>
      </c>
      <c r="I869" s="190">
        <v>300000</v>
      </c>
      <c r="J869" s="62">
        <v>300000</v>
      </c>
      <c r="K869" s="62">
        <f>300000-J869</f>
        <v>0</v>
      </c>
      <c r="L869" s="62">
        <f t="shared" si="52"/>
        <v>300000</v>
      </c>
      <c r="M869" s="62">
        <v>0</v>
      </c>
    </row>
    <row r="870" spans="1:13" ht="18" customHeight="1">
      <c r="A870" s="270"/>
      <c r="B870" s="271"/>
      <c r="C870" s="271"/>
      <c r="D870" s="271" t="s">
        <v>170</v>
      </c>
      <c r="E870" s="271"/>
      <c r="F870" s="272"/>
      <c r="G870" s="273" t="s">
        <v>229</v>
      </c>
      <c r="H870" s="275" t="s">
        <v>270</v>
      </c>
      <c r="I870" s="190">
        <v>25000</v>
      </c>
      <c r="J870" s="62">
        <v>22750</v>
      </c>
      <c r="K870" s="62">
        <f>25000-J870</f>
        <v>2250</v>
      </c>
      <c r="L870" s="62">
        <f t="shared" si="52"/>
        <v>25000</v>
      </c>
      <c r="M870" s="62">
        <v>25000</v>
      </c>
    </row>
    <row r="871" spans="1:13" ht="18" customHeight="1">
      <c r="A871" s="270"/>
      <c r="B871" s="271"/>
      <c r="C871" s="271"/>
      <c r="D871" s="271" t="s">
        <v>502</v>
      </c>
      <c r="E871" s="271"/>
      <c r="F871" s="272"/>
      <c r="G871" s="273"/>
      <c r="H871" s="275" t="s">
        <v>281</v>
      </c>
      <c r="I871" s="190"/>
      <c r="J871" s="62">
        <v>450000</v>
      </c>
      <c r="K871" s="62">
        <f>450000-J871</f>
        <v>0</v>
      </c>
      <c r="L871" s="62">
        <f t="shared" si="52"/>
        <v>450000</v>
      </c>
      <c r="M871" s="62"/>
    </row>
    <row r="872" spans="1:13" ht="18" customHeight="1">
      <c r="A872" s="278"/>
      <c r="B872" s="279"/>
      <c r="C872" s="279"/>
      <c r="D872" s="279" t="s">
        <v>68</v>
      </c>
      <c r="E872" s="279"/>
      <c r="F872" s="280"/>
      <c r="G872" s="281"/>
      <c r="H872" s="290"/>
      <c r="I872" s="171">
        <f>SUM(I849:I871)</f>
        <v>9381864.4000000004</v>
      </c>
      <c r="J872" s="171">
        <f>SUM(J849:J871)</f>
        <v>10147655.030000001</v>
      </c>
      <c r="K872" s="171">
        <f t="shared" ref="K872:M872" si="53">SUM(K849:K871)</f>
        <v>156107.45399999971</v>
      </c>
      <c r="L872" s="171">
        <f t="shared" si="53"/>
        <v>10303762.484000001</v>
      </c>
      <c r="M872" s="171">
        <f t="shared" si="53"/>
        <v>11349889</v>
      </c>
    </row>
    <row r="873" spans="1:13" ht="18" customHeight="1">
      <c r="A873" s="270"/>
      <c r="B873" s="271" t="s">
        <v>172</v>
      </c>
      <c r="C873" s="271"/>
      <c r="D873" s="271"/>
      <c r="E873" s="271"/>
      <c r="F873" s="272"/>
      <c r="G873" s="273"/>
      <c r="H873" s="288"/>
      <c r="I873" s="190"/>
      <c r="J873" s="62"/>
      <c r="K873" s="62"/>
      <c r="L873" s="62"/>
      <c r="M873" s="62"/>
    </row>
    <row r="874" spans="1:13" ht="18" customHeight="1">
      <c r="A874" s="270"/>
      <c r="B874" s="271"/>
      <c r="C874" s="271"/>
      <c r="D874" s="271" t="s">
        <v>173</v>
      </c>
      <c r="E874" s="271"/>
      <c r="F874" s="272"/>
      <c r="G874" s="273" t="s">
        <v>75</v>
      </c>
      <c r="H874" s="275" t="s">
        <v>271</v>
      </c>
      <c r="I874" s="190">
        <v>130190</v>
      </c>
      <c r="J874" s="62">
        <v>165078</v>
      </c>
      <c r="K874" s="62">
        <f>191774-J874</f>
        <v>26696</v>
      </c>
      <c r="L874" s="62">
        <f t="shared" ref="L874:L883" si="54">SUM(K874+J874)</f>
        <v>191774</v>
      </c>
      <c r="M874" s="62">
        <v>210000</v>
      </c>
    </row>
    <row r="875" spans="1:13" ht="18" customHeight="1">
      <c r="A875" s="270"/>
      <c r="B875" s="271"/>
      <c r="C875" s="271"/>
      <c r="D875" s="271" t="s">
        <v>107</v>
      </c>
      <c r="E875" s="271"/>
      <c r="F875" s="272"/>
      <c r="G875" s="273" t="s">
        <v>76</v>
      </c>
      <c r="H875" s="275" t="s">
        <v>272</v>
      </c>
      <c r="I875" s="190">
        <v>77920</v>
      </c>
      <c r="J875" s="62">
        <v>93695.66</v>
      </c>
      <c r="K875" s="62">
        <f>102478-J875</f>
        <v>8782.3399999999965</v>
      </c>
      <c r="L875" s="62">
        <f t="shared" si="54"/>
        <v>102478</v>
      </c>
      <c r="M875" s="62">
        <v>112000</v>
      </c>
    </row>
    <row r="876" spans="1:13" ht="18" customHeight="1">
      <c r="A876" s="270"/>
      <c r="B876" s="271"/>
      <c r="C876" s="271"/>
      <c r="D876" s="271" t="s">
        <v>73</v>
      </c>
      <c r="E876" s="271"/>
      <c r="F876" s="272"/>
      <c r="G876" s="273" t="s">
        <v>78</v>
      </c>
      <c r="H876" s="275" t="s">
        <v>273</v>
      </c>
      <c r="I876" s="190">
        <v>81332.5</v>
      </c>
      <c r="J876" s="62">
        <v>112705</v>
      </c>
      <c r="K876" s="62">
        <f>124410-J876</f>
        <v>11705</v>
      </c>
      <c r="L876" s="62">
        <f t="shared" si="54"/>
        <v>124410</v>
      </c>
      <c r="M876" s="62">
        <v>136000</v>
      </c>
    </row>
    <row r="877" spans="1:13" ht="18" customHeight="1">
      <c r="A877" s="270"/>
      <c r="B877" s="271"/>
      <c r="C877" s="271"/>
      <c r="D877" s="271" t="s">
        <v>175</v>
      </c>
      <c r="E877" s="271"/>
      <c r="F877" s="272"/>
      <c r="G877" s="273" t="s">
        <v>77</v>
      </c>
      <c r="H877" s="275" t="s">
        <v>283</v>
      </c>
      <c r="I877" s="190">
        <v>1394646</v>
      </c>
      <c r="J877" s="62">
        <v>1399631.5</v>
      </c>
      <c r="K877" s="62">
        <f>1403645-J877</f>
        <v>4013.5</v>
      </c>
      <c r="L877" s="62">
        <f t="shared" si="54"/>
        <v>1403645</v>
      </c>
      <c r="M877" s="62">
        <v>1500000</v>
      </c>
    </row>
    <row r="878" spans="1:13" ht="18" customHeight="1">
      <c r="A878" s="270"/>
      <c r="B878" s="271"/>
      <c r="C878" s="271"/>
      <c r="D878" s="271" t="s">
        <v>176</v>
      </c>
      <c r="E878" s="271"/>
      <c r="F878" s="272"/>
      <c r="G878" s="273" t="s">
        <v>83</v>
      </c>
      <c r="H878" s="275" t="s">
        <v>284</v>
      </c>
      <c r="I878" s="190">
        <v>38935</v>
      </c>
      <c r="J878" s="62">
        <v>61206</v>
      </c>
      <c r="K878" s="62">
        <f>197150-J878</f>
        <v>135944</v>
      </c>
      <c r="L878" s="62">
        <f t="shared" si="54"/>
        <v>197150</v>
      </c>
      <c r="M878" s="62">
        <v>216000</v>
      </c>
    </row>
    <row r="879" spans="1:13" ht="18" customHeight="1">
      <c r="A879" s="270"/>
      <c r="B879" s="271"/>
      <c r="C879" s="271"/>
      <c r="D879" s="271" t="s">
        <v>500</v>
      </c>
      <c r="E879" s="271"/>
      <c r="F879" s="272"/>
      <c r="G879" s="273"/>
      <c r="H879" s="275"/>
      <c r="I879" s="190">
        <v>6203163.9000000004</v>
      </c>
      <c r="J879" s="62">
        <v>3614194</v>
      </c>
      <c r="K879" s="62">
        <f>4000000-J879</f>
        <v>385806</v>
      </c>
      <c r="L879" s="62">
        <f t="shared" si="54"/>
        <v>4000000</v>
      </c>
      <c r="M879" s="62">
        <v>4000000</v>
      </c>
    </row>
    <row r="880" spans="1:13" ht="18" customHeight="1">
      <c r="A880" s="270"/>
      <c r="B880" s="271"/>
      <c r="C880" s="271"/>
      <c r="D880" s="271" t="s">
        <v>179</v>
      </c>
      <c r="E880" s="271"/>
      <c r="F880" s="272"/>
      <c r="G880" s="273" t="s">
        <v>79</v>
      </c>
      <c r="H880" s="275" t="s">
        <v>275</v>
      </c>
      <c r="I880" s="190">
        <v>36000</v>
      </c>
      <c r="J880" s="62">
        <v>36000</v>
      </c>
      <c r="K880" s="62">
        <f>36000-J880</f>
        <v>0</v>
      </c>
      <c r="L880" s="62">
        <f t="shared" si="54"/>
        <v>36000</v>
      </c>
      <c r="M880" s="62">
        <v>36000</v>
      </c>
    </row>
    <row r="881" spans="1:15" ht="18" customHeight="1">
      <c r="A881" s="270"/>
      <c r="B881" s="271"/>
      <c r="C881" s="271"/>
      <c r="D881" s="271" t="s">
        <v>432</v>
      </c>
      <c r="E881" s="271"/>
      <c r="F881" s="272"/>
      <c r="G881" s="273" t="s">
        <v>80</v>
      </c>
      <c r="H881" s="275" t="s">
        <v>276</v>
      </c>
      <c r="I881" s="190">
        <v>14600</v>
      </c>
      <c r="J881" s="62">
        <v>14600</v>
      </c>
      <c r="K881" s="62">
        <f>14600-J881</f>
        <v>0</v>
      </c>
      <c r="L881" s="62">
        <f t="shared" si="54"/>
        <v>14600</v>
      </c>
      <c r="M881" s="62">
        <v>16000</v>
      </c>
    </row>
    <row r="882" spans="1:15" ht="18" customHeight="1">
      <c r="A882" s="270"/>
      <c r="B882" s="271"/>
      <c r="C882" s="271"/>
      <c r="D882" s="271" t="s">
        <v>185</v>
      </c>
      <c r="E882" s="271"/>
      <c r="F882" s="272"/>
      <c r="G882" s="273" t="s">
        <v>81</v>
      </c>
      <c r="H882" s="275" t="s">
        <v>277</v>
      </c>
      <c r="I882" s="190">
        <v>101217</v>
      </c>
      <c r="J882" s="62">
        <v>86790</v>
      </c>
      <c r="K882" s="62">
        <f>111500-J882</f>
        <v>24710</v>
      </c>
      <c r="L882" s="62">
        <f t="shared" si="54"/>
        <v>111500</v>
      </c>
      <c r="M882" s="62">
        <v>120000</v>
      </c>
    </row>
    <row r="883" spans="1:15" ht="18" customHeight="1">
      <c r="A883" s="270"/>
      <c r="B883" s="271"/>
      <c r="C883" s="271"/>
      <c r="D883" s="271" t="s">
        <v>502</v>
      </c>
      <c r="E883" s="271"/>
      <c r="F883" s="272"/>
      <c r="G883" s="273"/>
      <c r="H883" s="275" t="s">
        <v>277</v>
      </c>
      <c r="I883" s="190">
        <v>364583.33</v>
      </c>
      <c r="J883" s="62">
        <v>0</v>
      </c>
      <c r="K883" s="62">
        <f>0-J883</f>
        <v>0</v>
      </c>
      <c r="L883" s="62">
        <f t="shared" si="54"/>
        <v>0</v>
      </c>
      <c r="M883" s="62">
        <v>0</v>
      </c>
    </row>
    <row r="884" spans="1:15" ht="18" customHeight="1">
      <c r="A884" s="278"/>
      <c r="B884" s="279"/>
      <c r="C884" s="279"/>
      <c r="D884" s="279" t="s">
        <v>322</v>
      </c>
      <c r="E884" s="279"/>
      <c r="F884" s="280"/>
      <c r="G884" s="281"/>
      <c r="H884" s="290"/>
      <c r="I884" s="171">
        <f>SUM(I874:I883)</f>
        <v>8442587.7300000004</v>
      </c>
      <c r="J884" s="171">
        <f>SUM(J874:J883)</f>
        <v>5583900.1600000001</v>
      </c>
      <c r="K884" s="171">
        <f>SUM(K874:K883)</f>
        <v>597656.84</v>
      </c>
      <c r="L884" s="171">
        <f>SUM(L874:L883)</f>
        <v>6181557</v>
      </c>
      <c r="M884" s="171">
        <f>SUM(M874:M883)</f>
        <v>6346000</v>
      </c>
    </row>
    <row r="885" spans="1:15" ht="18" customHeight="1">
      <c r="A885" s="270"/>
      <c r="B885" s="271" t="s">
        <v>186</v>
      </c>
      <c r="C885" s="271"/>
      <c r="D885" s="271"/>
      <c r="E885" s="271"/>
      <c r="F885" s="272"/>
      <c r="G885" s="273"/>
      <c r="H885" s="288"/>
      <c r="I885" s="190"/>
      <c r="J885" s="62"/>
      <c r="K885" s="62"/>
      <c r="L885" s="62"/>
      <c r="M885" s="62"/>
    </row>
    <row r="886" spans="1:15" ht="18" customHeight="1">
      <c r="A886" s="270"/>
      <c r="B886" s="271"/>
      <c r="C886" s="271"/>
      <c r="D886" s="271" t="s">
        <v>256</v>
      </c>
      <c r="E886" s="271"/>
      <c r="F886" s="272"/>
      <c r="G886" s="273"/>
      <c r="H886" s="275" t="s">
        <v>489</v>
      </c>
      <c r="I886" s="190">
        <v>496512</v>
      </c>
      <c r="J886" s="62">
        <v>0</v>
      </c>
      <c r="K886" s="62">
        <f>0-J886</f>
        <v>0</v>
      </c>
      <c r="L886" s="62">
        <f>SUM(K886+J886)</f>
        <v>0</v>
      </c>
      <c r="M886" s="62">
        <v>50000</v>
      </c>
    </row>
    <row r="887" spans="1:15" ht="18" customHeight="1">
      <c r="A887" s="270"/>
      <c r="B887" s="271"/>
      <c r="C887" s="271"/>
      <c r="D887" s="271" t="s">
        <v>408</v>
      </c>
      <c r="E887" s="271"/>
      <c r="F887" s="272"/>
      <c r="G887" s="273" t="s">
        <v>411</v>
      </c>
      <c r="H887" s="275" t="s">
        <v>481</v>
      </c>
      <c r="I887" s="190">
        <v>99200</v>
      </c>
      <c r="J887" s="62">
        <v>0</v>
      </c>
      <c r="K887" s="62">
        <f t="shared" ref="K887:K889" si="55">0-J887</f>
        <v>0</v>
      </c>
      <c r="L887" s="62">
        <f>SUM(K887+J887)</f>
        <v>0</v>
      </c>
      <c r="M887" s="62">
        <v>70000</v>
      </c>
    </row>
    <row r="888" spans="1:15" ht="18" hidden="1" customHeight="1">
      <c r="A888" s="270"/>
      <c r="B888" s="271"/>
      <c r="C888" s="271"/>
      <c r="D888" s="271" t="s">
        <v>416</v>
      </c>
      <c r="E888" s="271"/>
      <c r="F888" s="272"/>
      <c r="G888" s="273"/>
      <c r="H888" s="275" t="s">
        <v>417</v>
      </c>
      <c r="I888" s="190">
        <v>0</v>
      </c>
      <c r="J888" s="62">
        <v>0</v>
      </c>
      <c r="K888" s="62">
        <f t="shared" si="55"/>
        <v>0</v>
      </c>
      <c r="L888" s="62">
        <f>SUM(K888+J888)</f>
        <v>0</v>
      </c>
      <c r="M888" s="62">
        <v>0</v>
      </c>
    </row>
    <row r="889" spans="1:15" ht="18" hidden="1" customHeight="1">
      <c r="A889" s="270"/>
      <c r="B889" s="271"/>
      <c r="C889" s="271"/>
      <c r="D889" s="271" t="s">
        <v>412</v>
      </c>
      <c r="E889" s="271"/>
      <c r="F889" s="272"/>
      <c r="G889" s="273" t="s">
        <v>413</v>
      </c>
      <c r="H889" s="275" t="s">
        <v>414</v>
      </c>
      <c r="I889" s="190">
        <v>0</v>
      </c>
      <c r="J889" s="62">
        <v>0</v>
      </c>
      <c r="K889" s="62">
        <f t="shared" si="55"/>
        <v>0</v>
      </c>
      <c r="L889" s="62">
        <f>SUM(K889+J889)</f>
        <v>0</v>
      </c>
      <c r="M889" s="62">
        <v>0</v>
      </c>
    </row>
    <row r="890" spans="1:15" ht="18" customHeight="1">
      <c r="A890" s="278"/>
      <c r="B890" s="279"/>
      <c r="C890" s="279"/>
      <c r="D890" s="279" t="s">
        <v>366</v>
      </c>
      <c r="E890" s="279"/>
      <c r="F890" s="280"/>
      <c r="G890" s="281"/>
      <c r="H890" s="290"/>
      <c r="I890" s="171">
        <f>SUM(I886:I889)</f>
        <v>595712</v>
      </c>
      <c r="J890" s="171">
        <f>SUM(J886:J889)</f>
        <v>0</v>
      </c>
      <c r="K890" s="171">
        <f>SUM(K886:K889)</f>
        <v>0</v>
      </c>
      <c r="L890" s="171">
        <f>SUM(L886:L889)</f>
        <v>0</v>
      </c>
      <c r="M890" s="171">
        <f>SUM(M886:M889)</f>
        <v>120000</v>
      </c>
    </row>
    <row r="891" spans="1:15" ht="5.0999999999999996" customHeight="1">
      <c r="A891" s="278"/>
      <c r="B891" s="279"/>
      <c r="C891" s="279"/>
      <c r="D891" s="279"/>
      <c r="E891" s="279"/>
      <c r="F891" s="280"/>
      <c r="G891" s="281"/>
      <c r="H891" s="290"/>
      <c r="I891" s="171"/>
      <c r="J891" s="191"/>
      <c r="K891" s="191"/>
      <c r="L891" s="191"/>
      <c r="M891" s="191"/>
    </row>
    <row r="892" spans="1:15" ht="18" customHeight="1">
      <c r="A892" s="282" t="s">
        <v>244</v>
      </c>
      <c r="B892" s="283"/>
      <c r="C892" s="283"/>
      <c r="D892" s="283"/>
      <c r="E892" s="283"/>
      <c r="F892" s="284"/>
      <c r="G892" s="285"/>
      <c r="H892" s="291"/>
      <c r="I892" s="188">
        <f>SUM(I890+I884+I872)</f>
        <v>18420164.130000003</v>
      </c>
      <c r="J892" s="188">
        <f>SUM(J890+J884+J872)</f>
        <v>15731555.190000001</v>
      </c>
      <c r="K892" s="188">
        <f>SUM(K890+K884+K872)</f>
        <v>753764.29399999965</v>
      </c>
      <c r="L892" s="188">
        <f>SUM(L890+L884+L872)</f>
        <v>16485319.484000001</v>
      </c>
      <c r="M892" s="188">
        <f>SUM(M890+M884+M872)</f>
        <v>17815889</v>
      </c>
    </row>
    <row r="893" spans="1:15" ht="18" customHeight="1">
      <c r="A893" s="54"/>
      <c r="B893" s="71"/>
      <c r="C893" s="54"/>
      <c r="D893" s="54"/>
      <c r="E893" s="54"/>
      <c r="F893" s="54"/>
      <c r="G893" s="54"/>
      <c r="H893" s="135"/>
      <c r="I893" s="135"/>
      <c r="J893" s="72"/>
      <c r="K893" s="72"/>
      <c r="L893" s="72"/>
      <c r="M893" s="72"/>
    </row>
    <row r="894" spans="1:15" s="366" customFormat="1" ht="18" customHeight="1">
      <c r="A894" s="534"/>
      <c r="B894" s="534"/>
      <c r="C894" s="534"/>
      <c r="D894" s="534"/>
      <c r="E894" s="534"/>
      <c r="F894" s="534"/>
      <c r="G894" s="534"/>
      <c r="H894" s="534"/>
      <c r="I894" s="534"/>
      <c r="J894" s="534"/>
      <c r="K894" s="534"/>
      <c r="L894" s="534"/>
      <c r="M894" s="534"/>
      <c r="O894" s="166"/>
    </row>
    <row r="895" spans="1:15" s="361" customFormat="1" ht="18" customHeight="1">
      <c r="A895" s="368" t="s">
        <v>556</v>
      </c>
      <c r="B895" s="368"/>
      <c r="C895" s="368"/>
      <c r="D895" s="368"/>
      <c r="E895" s="368"/>
      <c r="F895" s="368"/>
      <c r="G895" s="368"/>
      <c r="H895" s="368"/>
      <c r="I895" s="368"/>
      <c r="J895" s="368"/>
      <c r="K895" s="368"/>
      <c r="L895" s="368"/>
      <c r="M895" s="368"/>
      <c r="O895" s="236"/>
    </row>
    <row r="896" spans="1:15" s="367" customFormat="1" ht="20.100000000000001" customHeight="1">
      <c r="A896" s="362"/>
      <c r="B896" s="363"/>
      <c r="C896" s="362"/>
      <c r="D896" s="362"/>
      <c r="E896" s="362"/>
      <c r="F896" s="364"/>
      <c r="G896" s="362"/>
      <c r="H896" s="365"/>
      <c r="I896" s="365"/>
      <c r="J896" s="361"/>
      <c r="K896" s="136"/>
      <c r="L896" s="136"/>
      <c r="M896" s="72"/>
      <c r="O896" s="238"/>
    </row>
    <row r="897" spans="1:15" s="367" customFormat="1" ht="20.100000000000001" customHeight="1">
      <c r="A897" s="139" t="s">
        <v>245</v>
      </c>
      <c r="B897" s="139"/>
      <c r="C897" s="361"/>
      <c r="D897" s="139"/>
      <c r="E897" s="139"/>
      <c r="F897" s="361"/>
      <c r="G897" s="139"/>
      <c r="H897" s="139"/>
      <c r="I897" s="139" t="s">
        <v>246</v>
      </c>
      <c r="J897" s="139"/>
      <c r="K897" s="139"/>
      <c r="L897" s="139" t="s">
        <v>43</v>
      </c>
      <c r="M897" s="139"/>
      <c r="O897" s="238"/>
    </row>
    <row r="898" spans="1:15" s="33" customFormat="1" ht="15" customHeight="1">
      <c r="A898" s="51"/>
      <c r="B898" s="50"/>
      <c r="C898" s="52"/>
      <c r="D898" s="51"/>
      <c r="E898" s="51"/>
      <c r="F898" s="52"/>
      <c r="G898" s="51"/>
      <c r="H898" s="52"/>
      <c r="I898" s="51"/>
      <c r="J898" s="135"/>
      <c r="K898" s="76"/>
      <c r="L898" s="75"/>
      <c r="M898" s="136"/>
      <c r="O898" s="236"/>
    </row>
    <row r="899" spans="1:15" s="33" customFormat="1" ht="15" customHeight="1">
      <c r="A899" s="529" t="s">
        <v>573</v>
      </c>
      <c r="B899" s="529"/>
      <c r="C899" s="529"/>
      <c r="D899" s="529"/>
      <c r="E899" s="529"/>
      <c r="F899" s="529"/>
      <c r="G899" s="50"/>
      <c r="H899" s="73"/>
      <c r="I899" s="529" t="s">
        <v>12</v>
      </c>
      <c r="J899" s="529"/>
      <c r="K899" s="74"/>
      <c r="L899" s="529" t="s">
        <v>460</v>
      </c>
      <c r="M899" s="529"/>
      <c r="O899" s="236"/>
    </row>
    <row r="900" spans="1:15" s="33" customFormat="1" ht="15" customHeight="1">
      <c r="A900" s="517" t="s">
        <v>557</v>
      </c>
      <c r="B900" s="517"/>
      <c r="C900" s="517"/>
      <c r="D900" s="517"/>
      <c r="E900" s="517"/>
      <c r="F900" s="517"/>
      <c r="I900" s="518" t="s">
        <v>558</v>
      </c>
      <c r="J900" s="518"/>
      <c r="L900" s="517" t="s">
        <v>559</v>
      </c>
      <c r="M900" s="517"/>
      <c r="O900" s="236"/>
    </row>
    <row r="901" spans="1:15" s="33" customFormat="1" ht="15" customHeight="1">
      <c r="O901" s="236"/>
    </row>
    <row r="902" spans="1:15" s="33" customFormat="1" ht="18" customHeight="1">
      <c r="A902" s="519" t="s">
        <v>549</v>
      </c>
      <c r="B902" s="519"/>
      <c r="C902" s="519"/>
      <c r="D902" s="519"/>
      <c r="E902" s="519"/>
      <c r="F902" s="519"/>
      <c r="G902" s="519"/>
      <c r="H902" s="519"/>
      <c r="I902" s="519"/>
      <c r="J902" s="519"/>
      <c r="K902" s="519"/>
      <c r="L902" s="519"/>
      <c r="M902" s="519"/>
      <c r="N902" s="163"/>
      <c r="O902" s="236"/>
    </row>
    <row r="903" spans="1:15" s="33" customFormat="1" ht="18" customHeight="1">
      <c r="A903" s="165"/>
      <c r="B903" s="165"/>
      <c r="C903" s="165"/>
      <c r="D903" s="165"/>
      <c r="E903" s="165"/>
      <c r="F903" s="165"/>
      <c r="G903" s="165"/>
      <c r="H903" s="165"/>
      <c r="I903" s="165"/>
      <c r="J903" s="165"/>
      <c r="K903" s="165"/>
      <c r="L903" s="165"/>
      <c r="M903" s="165"/>
      <c r="N903" s="163"/>
      <c r="O903" s="236"/>
    </row>
    <row r="904" spans="1:15" s="33" customFormat="1" ht="15.75">
      <c r="A904" s="142" t="s">
        <v>550</v>
      </c>
      <c r="B904" s="142"/>
      <c r="C904" s="142"/>
      <c r="D904" s="141"/>
      <c r="E904" s="141"/>
      <c r="F904" s="142" t="s">
        <v>37</v>
      </c>
      <c r="G904" s="142"/>
      <c r="H904" s="142"/>
      <c r="I904" s="142"/>
      <c r="J904" s="142" t="s">
        <v>551</v>
      </c>
      <c r="K904" s="142" t="str">
        <f>$K$9</f>
        <v>2024</v>
      </c>
      <c r="L904" s="142"/>
      <c r="M904" s="142"/>
      <c r="N904" s="164"/>
      <c r="O904" s="236"/>
    </row>
    <row r="905" spans="1:15" s="33" customFormat="1" ht="15.75">
      <c r="A905" s="142" t="s">
        <v>552</v>
      </c>
      <c r="B905" s="142"/>
      <c r="C905" s="142"/>
      <c r="D905" s="141"/>
      <c r="E905" s="142"/>
      <c r="F905" s="142" t="s">
        <v>554</v>
      </c>
      <c r="G905" s="142"/>
      <c r="H905" s="142"/>
      <c r="I905" s="142"/>
      <c r="J905" s="142" t="s">
        <v>553</v>
      </c>
      <c r="K905" s="50" t="s">
        <v>570</v>
      </c>
      <c r="L905" s="142"/>
      <c r="M905" s="142"/>
      <c r="O905" s="236"/>
    </row>
    <row r="906" spans="1:15" s="33" customFormat="1" ht="15.75">
      <c r="A906" s="142" t="s">
        <v>555</v>
      </c>
      <c r="B906" s="142"/>
      <c r="C906" s="142"/>
      <c r="D906" s="142"/>
      <c r="E906" s="142"/>
      <c r="F906" s="142"/>
      <c r="G906" s="142"/>
      <c r="H906" s="142"/>
      <c r="I906" s="142"/>
      <c r="J906" s="142"/>
      <c r="K906" s="142" t="s">
        <v>572</v>
      </c>
      <c r="L906" s="142"/>
      <c r="M906" s="142"/>
      <c r="O906" s="236"/>
    </row>
    <row r="907" spans="1:15" s="52" customFormat="1" ht="18" customHeight="1" thickBot="1">
      <c r="A907" s="519"/>
      <c r="B907" s="519"/>
      <c r="C907" s="519"/>
      <c r="D907" s="519"/>
      <c r="E907" s="519"/>
      <c r="F907" s="519"/>
      <c r="G907" s="519"/>
      <c r="H907" s="519"/>
      <c r="I907" s="519"/>
      <c r="J907" s="519"/>
      <c r="K907" s="519"/>
      <c r="L907" s="519"/>
      <c r="M907" s="519"/>
      <c r="O907" s="236"/>
    </row>
    <row r="908" spans="1:15" ht="18" customHeight="1">
      <c r="A908" s="255"/>
      <c r="B908" s="256"/>
      <c r="C908" s="256"/>
      <c r="D908" s="256"/>
      <c r="E908" s="256"/>
      <c r="F908" s="257"/>
      <c r="G908" s="258"/>
      <c r="H908" s="259"/>
      <c r="I908" s="259" t="s">
        <v>6</v>
      </c>
      <c r="J908" s="520" t="s">
        <v>545</v>
      </c>
      <c r="K908" s="521"/>
      <c r="L908" s="522"/>
      <c r="M908" s="260" t="s">
        <v>7</v>
      </c>
    </row>
    <row r="909" spans="1:15" ht="18" customHeight="1">
      <c r="A909" s="523"/>
      <c r="B909" s="524"/>
      <c r="C909" s="524"/>
      <c r="D909" s="524"/>
      <c r="E909" s="524"/>
      <c r="F909" s="525"/>
      <c r="G909" s="448"/>
      <c r="H909" s="261"/>
      <c r="I909" s="261">
        <v>2022</v>
      </c>
      <c r="J909" s="261" t="s">
        <v>192</v>
      </c>
      <c r="K909" s="261" t="s">
        <v>193</v>
      </c>
      <c r="L909" s="261"/>
      <c r="M909" s="262">
        <v>2024</v>
      </c>
    </row>
    <row r="910" spans="1:15" ht="18" customHeight="1">
      <c r="A910" s="523" t="s">
        <v>13</v>
      </c>
      <c r="B910" s="524"/>
      <c r="C910" s="524"/>
      <c r="D910" s="524"/>
      <c r="E910" s="524"/>
      <c r="F910" s="525"/>
      <c r="G910" s="263"/>
      <c r="H910" s="264" t="s">
        <v>243</v>
      </c>
      <c r="I910" s="261" t="s">
        <v>191</v>
      </c>
      <c r="J910" s="261" t="s">
        <v>191</v>
      </c>
      <c r="K910" s="261" t="s">
        <v>194</v>
      </c>
      <c r="L910" s="261" t="s">
        <v>11</v>
      </c>
      <c r="M910" s="262" t="s">
        <v>196</v>
      </c>
    </row>
    <row r="911" spans="1:15" ht="18" customHeight="1">
      <c r="A911" s="265"/>
      <c r="B911" s="266"/>
      <c r="C911" s="266"/>
      <c r="D911" s="266"/>
      <c r="E911" s="266"/>
      <c r="F911" s="267"/>
      <c r="G911" s="263"/>
      <c r="H911" s="261"/>
      <c r="I911" s="261"/>
      <c r="J911" s="261">
        <v>2023</v>
      </c>
      <c r="K911" s="261">
        <v>2023</v>
      </c>
      <c r="L911" s="261"/>
      <c r="M911" s="262"/>
    </row>
    <row r="912" spans="1:15" ht="18" customHeight="1" thickBot="1">
      <c r="A912" s="526"/>
      <c r="B912" s="527"/>
      <c r="C912" s="527"/>
      <c r="D912" s="527"/>
      <c r="E912" s="527"/>
      <c r="F912" s="528"/>
      <c r="G912" s="449"/>
      <c r="H912" s="268"/>
      <c r="I912" s="369"/>
      <c r="J912" s="268"/>
      <c r="K912" s="268"/>
      <c r="L912" s="268"/>
      <c r="M912" s="269"/>
    </row>
    <row r="913" spans="1:13" ht="18" customHeight="1">
      <c r="A913" s="462"/>
      <c r="B913" s="193" t="s">
        <v>66</v>
      </c>
      <c r="C913" s="283"/>
      <c r="D913" s="193"/>
      <c r="E913" s="193"/>
      <c r="F913" s="463"/>
      <c r="G913" s="464"/>
      <c r="H913" s="489"/>
      <c r="I913" s="490"/>
      <c r="J913" s="491"/>
      <c r="K913" s="491"/>
      <c r="L913" s="491"/>
      <c r="M913" s="491"/>
    </row>
    <row r="914" spans="1:13" ht="18" customHeight="1">
      <c r="A914" s="270"/>
      <c r="B914" s="271"/>
      <c r="C914" s="271" t="s">
        <v>148</v>
      </c>
      <c r="D914" s="271"/>
      <c r="E914" s="271"/>
      <c r="F914" s="272"/>
      <c r="G914" s="273"/>
      <c r="H914" s="288"/>
      <c r="I914" s="289"/>
      <c r="J914" s="77"/>
      <c r="K914" s="77"/>
      <c r="L914" s="77"/>
      <c r="M914" s="77"/>
    </row>
    <row r="915" spans="1:13" ht="18" customHeight="1">
      <c r="A915" s="270"/>
      <c r="B915" s="271"/>
      <c r="C915" s="271"/>
      <c r="D915" s="271" t="s">
        <v>149</v>
      </c>
      <c r="E915" s="271"/>
      <c r="F915" s="272"/>
      <c r="G915" s="273" t="s">
        <v>213</v>
      </c>
      <c r="H915" s="275" t="s">
        <v>257</v>
      </c>
      <c r="I915" s="190">
        <v>1954008</v>
      </c>
      <c r="J915" s="62">
        <v>1944793.36</v>
      </c>
      <c r="K915" s="62">
        <f>2063312-J915</f>
        <v>118518.6399999999</v>
      </c>
      <c r="L915" s="62">
        <f>SUM(K915+J915)</f>
        <v>2063312</v>
      </c>
      <c r="M915" s="62">
        <v>2066556</v>
      </c>
    </row>
    <row r="916" spans="1:13" ht="18" customHeight="1">
      <c r="A916" s="270"/>
      <c r="B916" s="271"/>
      <c r="C916" s="271" t="s">
        <v>150</v>
      </c>
      <c r="D916" s="271"/>
      <c r="E916" s="271"/>
      <c r="F916" s="272"/>
      <c r="G916" s="273"/>
      <c r="H916" s="288"/>
      <c r="I916" s="190"/>
      <c r="J916" s="62"/>
      <c r="K916" s="62"/>
      <c r="L916" s="62"/>
      <c r="M916" s="62"/>
    </row>
    <row r="917" spans="1:13" ht="18" customHeight="1">
      <c r="A917" s="270"/>
      <c r="B917" s="271"/>
      <c r="C917" s="271"/>
      <c r="D917" s="271" t="s">
        <v>151</v>
      </c>
      <c r="E917" s="271"/>
      <c r="F917" s="272"/>
      <c r="G917" s="273" t="s">
        <v>214</v>
      </c>
      <c r="H917" s="275" t="s">
        <v>258</v>
      </c>
      <c r="I917" s="190">
        <v>144000</v>
      </c>
      <c r="J917" s="62">
        <v>136000</v>
      </c>
      <c r="K917" s="62">
        <f>144000-J917</f>
        <v>8000</v>
      </c>
      <c r="L917" s="62">
        <f t="shared" ref="L917:L935" si="56">SUM(K917+J917)</f>
        <v>144000</v>
      </c>
      <c r="M917" s="62">
        <v>144000</v>
      </c>
    </row>
    <row r="918" spans="1:13" ht="18" customHeight="1">
      <c r="A918" s="270"/>
      <c r="B918" s="271"/>
      <c r="C918" s="271"/>
      <c r="D918" s="271" t="s">
        <v>162</v>
      </c>
      <c r="E918" s="271"/>
      <c r="F918" s="272"/>
      <c r="G918" s="273" t="s">
        <v>217</v>
      </c>
      <c r="H918" s="275" t="s">
        <v>261</v>
      </c>
      <c r="I918" s="190">
        <v>36000</v>
      </c>
      <c r="J918" s="62">
        <v>36000</v>
      </c>
      <c r="K918" s="62">
        <f>36000-J918</f>
        <v>0</v>
      </c>
      <c r="L918" s="62">
        <f t="shared" si="56"/>
        <v>36000</v>
      </c>
      <c r="M918" s="62">
        <v>36000</v>
      </c>
    </row>
    <row r="919" spans="1:13" ht="18" customHeight="1">
      <c r="A919" s="270"/>
      <c r="B919" s="271"/>
      <c r="C919" s="271"/>
      <c r="D919" s="271" t="s">
        <v>163</v>
      </c>
      <c r="E919" s="271"/>
      <c r="F919" s="272"/>
      <c r="G919" s="273" t="s">
        <v>218</v>
      </c>
      <c r="H919" s="275" t="s">
        <v>278</v>
      </c>
      <c r="I919" s="190">
        <v>118800</v>
      </c>
      <c r="J919" s="62">
        <v>70150</v>
      </c>
      <c r="K919" s="62">
        <f>118800-J919</f>
        <v>48650</v>
      </c>
      <c r="L919" s="62">
        <f t="shared" si="56"/>
        <v>118800</v>
      </c>
      <c r="M919" s="62">
        <v>118800</v>
      </c>
    </row>
    <row r="920" spans="1:13" ht="18" customHeight="1">
      <c r="A920" s="270"/>
      <c r="B920" s="271"/>
      <c r="C920" s="271"/>
      <c r="D920" s="271" t="s">
        <v>255</v>
      </c>
      <c r="E920" s="271"/>
      <c r="F920" s="272"/>
      <c r="G920" s="273" t="s">
        <v>219</v>
      </c>
      <c r="H920" s="275" t="s">
        <v>262</v>
      </c>
      <c r="I920" s="190">
        <v>30000</v>
      </c>
      <c r="J920" s="62">
        <v>20000</v>
      </c>
      <c r="K920" s="62">
        <f>30000-J920</f>
        <v>10000</v>
      </c>
      <c r="L920" s="62">
        <f t="shared" si="56"/>
        <v>30000</v>
      </c>
      <c r="M920" s="62">
        <v>30000</v>
      </c>
    </row>
    <row r="921" spans="1:13" ht="18" customHeight="1">
      <c r="A921" s="270"/>
      <c r="B921" s="271"/>
      <c r="C921" s="271"/>
      <c r="D921" s="271" t="s">
        <v>164</v>
      </c>
      <c r="E921" s="271"/>
      <c r="F921" s="272"/>
      <c r="G921" s="273" t="s">
        <v>108</v>
      </c>
      <c r="H921" s="275" t="s">
        <v>263</v>
      </c>
      <c r="I921" s="190">
        <v>0</v>
      </c>
      <c r="J921" s="62">
        <v>10000</v>
      </c>
      <c r="K921" s="62">
        <f>15000-J921</f>
        <v>5000</v>
      </c>
      <c r="L921" s="62">
        <f t="shared" si="56"/>
        <v>15000</v>
      </c>
      <c r="M921" s="62">
        <v>15000</v>
      </c>
    </row>
    <row r="922" spans="1:13" ht="18" hidden="1" customHeight="1">
      <c r="A922" s="270"/>
      <c r="B922" s="271"/>
      <c r="C922" s="271"/>
      <c r="D922" s="271" t="s">
        <v>487</v>
      </c>
      <c r="E922" s="271"/>
      <c r="F922" s="272"/>
      <c r="G922" s="273" t="s">
        <v>108</v>
      </c>
      <c r="H922" s="275" t="s">
        <v>263</v>
      </c>
      <c r="I922" s="190">
        <v>0</v>
      </c>
      <c r="J922" s="62">
        <v>0</v>
      </c>
      <c r="K922" s="62">
        <f>0-J922</f>
        <v>0</v>
      </c>
      <c r="L922" s="62">
        <f t="shared" si="56"/>
        <v>0</v>
      </c>
      <c r="M922" s="62">
        <v>0</v>
      </c>
    </row>
    <row r="923" spans="1:13" ht="18" customHeight="1">
      <c r="A923" s="270"/>
      <c r="B923" s="271"/>
      <c r="C923" s="271"/>
      <c r="D923" s="271" t="s">
        <v>475</v>
      </c>
      <c r="E923" s="271"/>
      <c r="F923" s="272"/>
      <c r="G923" s="273"/>
      <c r="H923" s="275" t="s">
        <v>263</v>
      </c>
      <c r="I923" s="190">
        <v>98471.75</v>
      </c>
      <c r="J923" s="62">
        <v>0</v>
      </c>
      <c r="K923" s="62">
        <f>0-J923</f>
        <v>0</v>
      </c>
      <c r="L923" s="62">
        <f t="shared" si="56"/>
        <v>0</v>
      </c>
      <c r="M923" s="62">
        <v>0</v>
      </c>
    </row>
    <row r="924" spans="1:13" ht="18" customHeight="1">
      <c r="A924" s="270"/>
      <c r="B924" s="271"/>
      <c r="C924" s="271"/>
      <c r="D924" s="271" t="s">
        <v>165</v>
      </c>
      <c r="E924" s="271"/>
      <c r="F924" s="272"/>
      <c r="G924" s="273" t="s">
        <v>220</v>
      </c>
      <c r="H924" s="275" t="s">
        <v>279</v>
      </c>
      <c r="I924" s="190">
        <v>173241</v>
      </c>
      <c r="J924" s="62">
        <v>159354.25</v>
      </c>
      <c r="K924" s="62">
        <f>173241-J924</f>
        <v>13886.75</v>
      </c>
      <c r="L924" s="62">
        <f t="shared" si="56"/>
        <v>173241</v>
      </c>
      <c r="M924" s="62">
        <v>173241</v>
      </c>
    </row>
    <row r="925" spans="1:13" ht="18" customHeight="1">
      <c r="A925" s="270"/>
      <c r="B925" s="271"/>
      <c r="C925" s="271"/>
      <c r="D925" s="271" t="s">
        <v>166</v>
      </c>
      <c r="E925" s="271"/>
      <c r="F925" s="272"/>
      <c r="G925" s="273" t="s">
        <v>222</v>
      </c>
      <c r="H925" s="275" t="s">
        <v>264</v>
      </c>
      <c r="I925" s="190">
        <v>30000</v>
      </c>
      <c r="J925" s="62">
        <v>29000</v>
      </c>
      <c r="K925" s="62">
        <f>30000-J925</f>
        <v>1000</v>
      </c>
      <c r="L925" s="62">
        <f t="shared" si="56"/>
        <v>30000</v>
      </c>
      <c r="M925" s="62">
        <v>30000</v>
      </c>
    </row>
    <row r="926" spans="1:13" ht="18" customHeight="1">
      <c r="A926" s="270"/>
      <c r="B926" s="271"/>
      <c r="C926" s="271"/>
      <c r="D926" s="271" t="s">
        <v>374</v>
      </c>
      <c r="E926" s="271"/>
      <c r="F926" s="271"/>
      <c r="G926" s="277" t="s">
        <v>108</v>
      </c>
      <c r="H926" s="275" t="s">
        <v>263</v>
      </c>
      <c r="I926" s="190">
        <v>162834</v>
      </c>
      <c r="J926" s="62">
        <v>171501</v>
      </c>
      <c r="K926" s="62">
        <f>171501-J926</f>
        <v>0</v>
      </c>
      <c r="L926" s="62">
        <f t="shared" si="56"/>
        <v>171501</v>
      </c>
      <c r="M926" s="62">
        <v>172213</v>
      </c>
    </row>
    <row r="927" spans="1:13" ht="18" customHeight="1">
      <c r="A927" s="270"/>
      <c r="B927" s="271"/>
      <c r="C927" s="271"/>
      <c r="D927" s="271" t="s">
        <v>167</v>
      </c>
      <c r="E927" s="271"/>
      <c r="F927" s="272"/>
      <c r="G927" s="273" t="s">
        <v>223</v>
      </c>
      <c r="H927" s="275" t="s">
        <v>265</v>
      </c>
      <c r="I927" s="190">
        <v>162834</v>
      </c>
      <c r="J927" s="62">
        <v>166398</v>
      </c>
      <c r="K927" s="62">
        <f>172213-J927</f>
        <v>5815</v>
      </c>
      <c r="L927" s="62">
        <f t="shared" si="56"/>
        <v>172213</v>
      </c>
      <c r="M927" s="62">
        <v>172213</v>
      </c>
    </row>
    <row r="928" spans="1:13" ht="18" customHeight="1">
      <c r="A928" s="270"/>
      <c r="B928" s="271"/>
      <c r="C928" s="271"/>
      <c r="D928" s="271" t="s">
        <v>249</v>
      </c>
      <c r="E928" s="271"/>
      <c r="F928" s="272"/>
      <c r="G928" s="273" t="s">
        <v>224</v>
      </c>
      <c r="H928" s="275" t="s">
        <v>266</v>
      </c>
      <c r="I928" s="190">
        <v>235000</v>
      </c>
      <c r="J928" s="62">
        <v>229839.6</v>
      </c>
      <c r="K928" s="62">
        <f>248000-J928</f>
        <v>18160.399999999994</v>
      </c>
      <c r="L928" s="62">
        <f t="shared" si="56"/>
        <v>248000</v>
      </c>
      <c r="M928" s="62">
        <v>250000</v>
      </c>
    </row>
    <row r="929" spans="1:14" ht="18" customHeight="1">
      <c r="A929" s="270"/>
      <c r="B929" s="271"/>
      <c r="C929" s="271"/>
      <c r="D929" s="271" t="s">
        <v>168</v>
      </c>
      <c r="E929" s="271"/>
      <c r="F929" s="272"/>
      <c r="G929" s="273" t="s">
        <v>225</v>
      </c>
      <c r="H929" s="275" t="s">
        <v>267</v>
      </c>
      <c r="I929" s="190">
        <v>10800</v>
      </c>
      <c r="J929" s="62">
        <v>6800</v>
      </c>
      <c r="K929" s="62">
        <f>10800-J929</f>
        <v>4000</v>
      </c>
      <c r="L929" s="62">
        <f t="shared" si="56"/>
        <v>10800</v>
      </c>
      <c r="M929" s="62">
        <v>10800</v>
      </c>
    </row>
    <row r="930" spans="1:14" ht="18" customHeight="1">
      <c r="A930" s="270"/>
      <c r="B930" s="271"/>
      <c r="C930" s="271"/>
      <c r="D930" s="271" t="s">
        <v>169</v>
      </c>
      <c r="E930" s="271"/>
      <c r="F930" s="272"/>
      <c r="G930" s="273" t="s">
        <v>226</v>
      </c>
      <c r="H930" s="275" t="s">
        <v>268</v>
      </c>
      <c r="I930" s="190">
        <v>40000</v>
      </c>
      <c r="J930" s="62">
        <v>37858.1</v>
      </c>
      <c r="K930" s="62">
        <f>46500-J930</f>
        <v>8641.9000000000015</v>
      </c>
      <c r="L930" s="62">
        <f t="shared" si="56"/>
        <v>46500</v>
      </c>
      <c r="M930" s="62">
        <v>52000</v>
      </c>
    </row>
    <row r="931" spans="1:14" ht="18" customHeight="1">
      <c r="A931" s="270"/>
      <c r="B931" s="271"/>
      <c r="C931" s="271"/>
      <c r="D931" s="271" t="s">
        <v>248</v>
      </c>
      <c r="E931" s="271"/>
      <c r="F931" s="272"/>
      <c r="G931" s="273" t="s">
        <v>227</v>
      </c>
      <c r="H931" s="275" t="s">
        <v>269</v>
      </c>
      <c r="I931" s="190">
        <v>7200</v>
      </c>
      <c r="J931" s="62">
        <v>6700</v>
      </c>
      <c r="K931" s="62">
        <f>7200-J931</f>
        <v>500</v>
      </c>
      <c r="L931" s="62">
        <f t="shared" si="56"/>
        <v>7200</v>
      </c>
      <c r="M931" s="62">
        <v>7200</v>
      </c>
    </row>
    <row r="932" spans="1:14" ht="18" customHeight="1">
      <c r="A932" s="270"/>
      <c r="B932" s="271"/>
      <c r="C932" s="271"/>
      <c r="D932" s="271" t="s">
        <v>69</v>
      </c>
      <c r="E932" s="271"/>
      <c r="F932" s="272"/>
      <c r="G932" s="273"/>
      <c r="H932" s="275" t="s">
        <v>270</v>
      </c>
      <c r="I932" s="190">
        <v>0</v>
      </c>
      <c r="J932" s="62">
        <v>761445.29</v>
      </c>
      <c r="K932" s="62">
        <f>765000-J932</f>
        <v>3554.7099999999627</v>
      </c>
      <c r="L932" s="62">
        <f t="shared" si="56"/>
        <v>765000</v>
      </c>
      <c r="M932" s="62">
        <v>0</v>
      </c>
    </row>
    <row r="933" spans="1:14" ht="18" hidden="1" customHeight="1">
      <c r="A933" s="270"/>
      <c r="B933" s="271"/>
      <c r="C933" s="271"/>
      <c r="D933" s="271" t="s">
        <v>171</v>
      </c>
      <c r="E933" s="271"/>
      <c r="F933" s="272"/>
      <c r="G933" s="273" t="s">
        <v>82</v>
      </c>
      <c r="H933" s="275" t="s">
        <v>281</v>
      </c>
      <c r="I933" s="190">
        <v>0</v>
      </c>
      <c r="J933" s="62"/>
      <c r="K933" s="62">
        <f>0-J933</f>
        <v>0</v>
      </c>
      <c r="L933" s="62">
        <f t="shared" si="56"/>
        <v>0</v>
      </c>
      <c r="M933" s="62">
        <v>0</v>
      </c>
    </row>
    <row r="934" spans="1:14" ht="18" customHeight="1">
      <c r="A934" s="270"/>
      <c r="B934" s="271"/>
      <c r="C934" s="271"/>
      <c r="D934" s="271" t="s">
        <v>476</v>
      </c>
      <c r="E934" s="271"/>
      <c r="F934" s="272"/>
      <c r="G934" s="273"/>
      <c r="H934" s="275" t="s">
        <v>281</v>
      </c>
      <c r="I934" s="190">
        <v>120000</v>
      </c>
      <c r="J934" s="62">
        <v>80000</v>
      </c>
      <c r="K934" s="62">
        <f>80000-J934</f>
        <v>0</v>
      </c>
      <c r="L934" s="62">
        <f t="shared" si="56"/>
        <v>80000</v>
      </c>
      <c r="M934" s="62">
        <v>0</v>
      </c>
    </row>
    <row r="935" spans="1:14" ht="18" customHeight="1">
      <c r="A935" s="270"/>
      <c r="B935" s="271"/>
      <c r="C935" s="271"/>
      <c r="D935" s="271" t="s">
        <v>502</v>
      </c>
      <c r="E935" s="271"/>
      <c r="F935" s="272"/>
      <c r="G935" s="273"/>
      <c r="H935" s="275" t="s">
        <v>281</v>
      </c>
      <c r="I935" s="190"/>
      <c r="J935" s="62">
        <v>180000</v>
      </c>
      <c r="K935" s="62">
        <f>180000-J935</f>
        <v>0</v>
      </c>
      <c r="L935" s="62">
        <f t="shared" si="56"/>
        <v>180000</v>
      </c>
      <c r="M935" s="62">
        <v>0</v>
      </c>
    </row>
    <row r="936" spans="1:14" ht="18" customHeight="1">
      <c r="A936" s="278"/>
      <c r="B936" s="279"/>
      <c r="C936" s="279"/>
      <c r="D936" s="279" t="s">
        <v>68</v>
      </c>
      <c r="E936" s="279"/>
      <c r="F936" s="280"/>
      <c r="G936" s="281"/>
      <c r="H936" s="290"/>
      <c r="I936" s="171">
        <f>SUM(I915:I935)</f>
        <v>3323188.75</v>
      </c>
      <c r="J936" s="171">
        <f t="shared" ref="J936:M936" si="57">SUM(J915:J935)</f>
        <v>4045839.6000000006</v>
      </c>
      <c r="K936" s="171">
        <f t="shared" si="57"/>
        <v>245727.39999999985</v>
      </c>
      <c r="L936" s="171">
        <f t="shared" si="57"/>
        <v>4291567</v>
      </c>
      <c r="M936" s="171">
        <f t="shared" si="57"/>
        <v>3278023</v>
      </c>
    </row>
    <row r="937" spans="1:14" ht="18" customHeight="1">
      <c r="A937" s="270"/>
      <c r="B937" s="271" t="s">
        <v>172</v>
      </c>
      <c r="C937" s="271"/>
      <c r="D937" s="271"/>
      <c r="E937" s="271"/>
      <c r="F937" s="272"/>
      <c r="G937" s="273"/>
      <c r="H937" s="288"/>
      <c r="I937" s="190"/>
      <c r="J937" s="62"/>
      <c r="K937" s="62"/>
      <c r="L937" s="62"/>
      <c r="M937" s="62"/>
    </row>
    <row r="938" spans="1:14" ht="18" customHeight="1">
      <c r="A938" s="270"/>
      <c r="B938" s="271"/>
      <c r="C938" s="271"/>
      <c r="D938" s="271" t="s">
        <v>173</v>
      </c>
      <c r="E938" s="271"/>
      <c r="F938" s="272"/>
      <c r="G938" s="273" t="s">
        <v>75</v>
      </c>
      <c r="H938" s="275" t="s">
        <v>271</v>
      </c>
      <c r="I938" s="190">
        <v>16800</v>
      </c>
      <c r="J938" s="62">
        <v>91711.16</v>
      </c>
      <c r="K938" s="62">
        <f>95166-J938</f>
        <v>3454.8399999999965</v>
      </c>
      <c r="L938" s="62">
        <f t="shared" ref="L938:L944" si="58">SUM(K938+J938)</f>
        <v>95166</v>
      </c>
      <c r="M938" s="62">
        <v>104000</v>
      </c>
    </row>
    <row r="939" spans="1:14" ht="18" customHeight="1">
      <c r="A939" s="270"/>
      <c r="B939" s="271"/>
      <c r="C939" s="271"/>
      <c r="D939" s="271" t="s">
        <v>107</v>
      </c>
      <c r="E939" s="271"/>
      <c r="F939" s="272"/>
      <c r="G939" s="273" t="s">
        <v>76</v>
      </c>
      <c r="H939" s="275" t="s">
        <v>272</v>
      </c>
      <c r="I939" s="190">
        <v>0</v>
      </c>
      <c r="J939" s="62">
        <v>41311.160000000003</v>
      </c>
      <c r="K939" s="62">
        <f>43923-J939</f>
        <v>2611.8399999999965</v>
      </c>
      <c r="L939" s="62">
        <f t="shared" si="58"/>
        <v>43923</v>
      </c>
      <c r="M939" s="62">
        <v>48000</v>
      </c>
    </row>
    <row r="940" spans="1:14" ht="18" customHeight="1">
      <c r="A940" s="270"/>
      <c r="B940" s="271"/>
      <c r="C940" s="271"/>
      <c r="D940" s="271" t="s">
        <v>73</v>
      </c>
      <c r="E940" s="271"/>
      <c r="F940" s="272"/>
      <c r="G940" s="273" t="s">
        <v>78</v>
      </c>
      <c r="H940" s="275" t="s">
        <v>273</v>
      </c>
      <c r="I940" s="190">
        <v>73232.5</v>
      </c>
      <c r="J940" s="62">
        <v>107280</v>
      </c>
      <c r="K940" s="62">
        <f>121598-J940</f>
        <v>14318</v>
      </c>
      <c r="L940" s="62">
        <f t="shared" si="58"/>
        <v>121598</v>
      </c>
      <c r="M940" s="62">
        <v>130000</v>
      </c>
      <c r="N940" s="81"/>
    </row>
    <row r="941" spans="1:14" ht="18" customHeight="1">
      <c r="A941" s="270"/>
      <c r="B941" s="271"/>
      <c r="C941" s="271"/>
      <c r="D941" s="271" t="s">
        <v>175</v>
      </c>
      <c r="E941" s="271"/>
      <c r="F941" s="272"/>
      <c r="G941" s="273" t="s">
        <v>77</v>
      </c>
      <c r="H941" s="275" t="s">
        <v>283</v>
      </c>
      <c r="I941" s="190">
        <v>1295646</v>
      </c>
      <c r="J941" s="62">
        <v>1384681.5</v>
      </c>
      <c r="K941" s="62">
        <f>1397420-J941</f>
        <v>12738.5</v>
      </c>
      <c r="L941" s="62">
        <f t="shared" si="58"/>
        <v>1397420</v>
      </c>
      <c r="M941" s="62">
        <v>1500000</v>
      </c>
      <c r="N941" s="81"/>
    </row>
    <row r="942" spans="1:14" ht="18" customHeight="1">
      <c r="A942" s="270"/>
      <c r="B942" s="271"/>
      <c r="C942" s="271"/>
      <c r="D942" s="271" t="s">
        <v>432</v>
      </c>
      <c r="E942" s="271"/>
      <c r="F942" s="272"/>
      <c r="G942" s="273" t="s">
        <v>80</v>
      </c>
      <c r="H942" s="275" t="s">
        <v>276</v>
      </c>
      <c r="I942" s="190">
        <v>10250</v>
      </c>
      <c r="J942" s="62">
        <v>11000</v>
      </c>
      <c r="K942" s="62">
        <f>14641-J942</f>
        <v>3641</v>
      </c>
      <c r="L942" s="62">
        <f t="shared" si="58"/>
        <v>14641</v>
      </c>
      <c r="M942" s="62">
        <v>16000</v>
      </c>
      <c r="N942" s="81"/>
    </row>
    <row r="943" spans="1:14" ht="18" customHeight="1">
      <c r="A943" s="270"/>
      <c r="B943" s="271"/>
      <c r="C943" s="271"/>
      <c r="D943" s="271" t="s">
        <v>185</v>
      </c>
      <c r="E943" s="271"/>
      <c r="F943" s="272"/>
      <c r="G943" s="273" t="s">
        <v>81</v>
      </c>
      <c r="H943" s="275" t="s">
        <v>277</v>
      </c>
      <c r="I943" s="190">
        <v>117480</v>
      </c>
      <c r="J943" s="62">
        <v>22400</v>
      </c>
      <c r="K943" s="62">
        <f>75141-J943</f>
        <v>52741</v>
      </c>
      <c r="L943" s="62">
        <f t="shared" si="58"/>
        <v>75141</v>
      </c>
      <c r="M943" s="62">
        <v>82000</v>
      </c>
      <c r="N943" s="81"/>
    </row>
    <row r="944" spans="1:14" ht="18" customHeight="1">
      <c r="A944" s="270"/>
      <c r="B944" s="271"/>
      <c r="C944" s="271"/>
      <c r="D944" s="271" t="s">
        <v>502</v>
      </c>
      <c r="E944" s="271"/>
      <c r="F944" s="272"/>
      <c r="G944" s="273"/>
      <c r="H944" s="275" t="s">
        <v>277</v>
      </c>
      <c r="I944" s="190">
        <v>150000</v>
      </c>
      <c r="J944" s="62">
        <v>0</v>
      </c>
      <c r="K944" s="62">
        <f>0-J944</f>
        <v>0</v>
      </c>
      <c r="L944" s="62">
        <f t="shared" si="58"/>
        <v>0</v>
      </c>
      <c r="M944" s="62">
        <v>0</v>
      </c>
      <c r="N944" s="81"/>
    </row>
    <row r="945" spans="1:15" ht="18" customHeight="1">
      <c r="A945" s="278"/>
      <c r="B945" s="279"/>
      <c r="C945" s="279"/>
      <c r="D945" s="279" t="s">
        <v>322</v>
      </c>
      <c r="E945" s="279"/>
      <c r="F945" s="280"/>
      <c r="G945" s="281"/>
      <c r="H945" s="290"/>
      <c r="I945" s="171">
        <f>SUM(I938:I944)</f>
        <v>1663408.5</v>
      </c>
      <c r="J945" s="171">
        <f>SUM(J938:J944)</f>
        <v>1658383.82</v>
      </c>
      <c r="K945" s="171">
        <f>SUM(K938:K944)</f>
        <v>89505.18</v>
      </c>
      <c r="L945" s="171">
        <f>SUM(L938:L944)</f>
        <v>1747889</v>
      </c>
      <c r="M945" s="171">
        <f>SUM(M938:M944)</f>
        <v>1880000</v>
      </c>
    </row>
    <row r="946" spans="1:15" ht="18" customHeight="1">
      <c r="A946" s="270"/>
      <c r="B946" s="271" t="s">
        <v>186</v>
      </c>
      <c r="C946" s="271"/>
      <c r="D946" s="271"/>
      <c r="E946" s="271"/>
      <c r="F946" s="272"/>
      <c r="G946" s="273"/>
      <c r="H946" s="288"/>
      <c r="I946" s="190"/>
      <c r="J946" s="62"/>
      <c r="K946" s="62"/>
      <c r="L946" s="62"/>
      <c r="M946" s="62"/>
    </row>
    <row r="947" spans="1:15" ht="18" hidden="1" customHeight="1">
      <c r="A947" s="270"/>
      <c r="B947" s="271"/>
      <c r="C947" s="271"/>
      <c r="D947" s="271" t="s">
        <v>256</v>
      </c>
      <c r="E947" s="271"/>
      <c r="F947" s="272"/>
      <c r="G947" s="273" t="s">
        <v>409</v>
      </c>
      <c r="H947" s="275" t="s">
        <v>410</v>
      </c>
      <c r="I947" s="190">
        <v>0</v>
      </c>
      <c r="J947" s="62">
        <v>0</v>
      </c>
      <c r="K947" s="62">
        <f>0-J947</f>
        <v>0</v>
      </c>
      <c r="L947" s="62">
        <f>SUM(K947+J947)</f>
        <v>0</v>
      </c>
      <c r="M947" s="62">
        <v>0</v>
      </c>
    </row>
    <row r="948" spans="1:15" ht="18" customHeight="1">
      <c r="A948" s="270"/>
      <c r="B948" s="271"/>
      <c r="C948" s="271"/>
      <c r="D948" s="271" t="s">
        <v>408</v>
      </c>
      <c r="E948" s="271"/>
      <c r="F948" s="272"/>
      <c r="G948" s="273" t="s">
        <v>411</v>
      </c>
      <c r="H948" s="275" t="s">
        <v>481</v>
      </c>
      <c r="I948" s="190">
        <v>89395</v>
      </c>
      <c r="J948" s="62">
        <v>0</v>
      </c>
      <c r="K948" s="62">
        <f t="shared" ref="K948:K949" si="59">0-J948</f>
        <v>0</v>
      </c>
      <c r="L948" s="62">
        <f t="shared" ref="L948:L949" si="60">SUM(K948+J948)</f>
        <v>0</v>
      </c>
      <c r="M948" s="62">
        <v>70000</v>
      </c>
    </row>
    <row r="949" spans="1:15" ht="18" hidden="1" customHeight="1">
      <c r="A949" s="270"/>
      <c r="B949" s="271"/>
      <c r="C949" s="271"/>
      <c r="D949" s="271" t="s">
        <v>490</v>
      </c>
      <c r="E949" s="271"/>
      <c r="F949" s="272"/>
      <c r="G949" s="273"/>
      <c r="H949" s="275" t="s">
        <v>489</v>
      </c>
      <c r="I949" s="190">
        <v>0</v>
      </c>
      <c r="J949" s="62">
        <v>0</v>
      </c>
      <c r="K949" s="62">
        <f t="shared" si="59"/>
        <v>0</v>
      </c>
      <c r="L949" s="62">
        <f t="shared" si="60"/>
        <v>0</v>
      </c>
      <c r="M949" s="62">
        <v>0</v>
      </c>
    </row>
    <row r="950" spans="1:15" ht="18" customHeight="1">
      <c r="A950" s="278"/>
      <c r="B950" s="279"/>
      <c r="C950" s="279"/>
      <c r="D950" s="279" t="s">
        <v>366</v>
      </c>
      <c r="E950" s="279"/>
      <c r="F950" s="280"/>
      <c r="G950" s="281"/>
      <c r="H950" s="290"/>
      <c r="I950" s="171">
        <f>SUM(I947:I949)</f>
        <v>89395</v>
      </c>
      <c r="J950" s="171">
        <f t="shared" ref="J950:M950" si="61">SUM(J947:J949)</f>
        <v>0</v>
      </c>
      <c r="K950" s="171">
        <f t="shared" si="61"/>
        <v>0</v>
      </c>
      <c r="L950" s="171">
        <f t="shared" si="61"/>
        <v>0</v>
      </c>
      <c r="M950" s="171">
        <f t="shared" si="61"/>
        <v>70000</v>
      </c>
      <c r="N950" s="87"/>
    </row>
    <row r="951" spans="1:15" ht="5.0999999999999996" customHeight="1">
      <c r="A951" s="278"/>
      <c r="B951" s="279"/>
      <c r="C951" s="279"/>
      <c r="D951" s="279"/>
      <c r="E951" s="279"/>
      <c r="F951" s="280"/>
      <c r="G951" s="281"/>
      <c r="H951" s="290"/>
      <c r="I951" s="171"/>
      <c r="J951" s="191"/>
      <c r="K951" s="191"/>
      <c r="L951" s="191"/>
      <c r="M951" s="191"/>
    </row>
    <row r="952" spans="1:15" ht="18" customHeight="1">
      <c r="A952" s="282" t="s">
        <v>244</v>
      </c>
      <c r="B952" s="283"/>
      <c r="C952" s="283"/>
      <c r="D952" s="283"/>
      <c r="E952" s="283"/>
      <c r="F952" s="284"/>
      <c r="G952" s="285"/>
      <c r="H952" s="291"/>
      <c r="I952" s="188">
        <f>SUM(I950+I945+I936)</f>
        <v>5075992.25</v>
      </c>
      <c r="J952" s="188">
        <f>SUM(J950+J945+J936)</f>
        <v>5704223.4200000009</v>
      </c>
      <c r="K952" s="188">
        <f>SUM(K950+K945+K936)</f>
        <v>335232.57999999984</v>
      </c>
      <c r="L952" s="188">
        <f>SUM(L950+L945+L936)</f>
        <v>6039456</v>
      </c>
      <c r="M952" s="188">
        <f>SUM(M950+M945+M936)</f>
        <v>5228023</v>
      </c>
    </row>
    <row r="953" spans="1:15" ht="18" customHeight="1">
      <c r="A953" s="54"/>
      <c r="B953" s="71"/>
      <c r="C953" s="54"/>
      <c r="D953" s="54"/>
      <c r="E953" s="54"/>
      <c r="F953" s="54"/>
      <c r="G953" s="54"/>
      <c r="H953" s="135"/>
      <c r="I953" s="135"/>
      <c r="J953" s="72"/>
      <c r="K953" s="72"/>
      <c r="L953" s="72"/>
      <c r="M953" s="72"/>
    </row>
    <row r="954" spans="1:15" s="366" customFormat="1" ht="18" customHeight="1">
      <c r="A954" s="534"/>
      <c r="B954" s="534"/>
      <c r="C954" s="534"/>
      <c r="D954" s="534"/>
      <c r="E954" s="534"/>
      <c r="F954" s="534"/>
      <c r="G954" s="534"/>
      <c r="H954" s="534"/>
      <c r="I954" s="534"/>
      <c r="J954" s="534"/>
      <c r="K954" s="534"/>
      <c r="L954" s="534"/>
      <c r="M954" s="534"/>
      <c r="O954" s="166"/>
    </row>
    <row r="955" spans="1:15" s="366" customFormat="1" ht="18" customHeight="1">
      <c r="A955" s="368" t="s">
        <v>556</v>
      </c>
      <c r="B955" s="368"/>
      <c r="C955" s="368"/>
      <c r="D955" s="368"/>
      <c r="E955" s="368"/>
      <c r="F955" s="368"/>
      <c r="G955" s="368"/>
      <c r="H955" s="368"/>
      <c r="I955" s="368"/>
      <c r="J955" s="368"/>
      <c r="K955" s="368"/>
      <c r="L955" s="368"/>
      <c r="M955" s="368"/>
      <c r="O955" s="166"/>
    </row>
    <row r="956" spans="1:15" s="361" customFormat="1" ht="18" customHeight="1">
      <c r="A956" s="362"/>
      <c r="B956" s="363"/>
      <c r="C956" s="362"/>
      <c r="D956" s="362"/>
      <c r="E956" s="362"/>
      <c r="F956" s="364"/>
      <c r="G956" s="362"/>
      <c r="H956" s="365"/>
      <c r="I956" s="365"/>
      <c r="K956" s="136"/>
      <c r="L956" s="136"/>
      <c r="M956" s="72"/>
      <c r="O956" s="236"/>
    </row>
    <row r="957" spans="1:15" s="361" customFormat="1" ht="18" customHeight="1">
      <c r="A957" s="139" t="s">
        <v>245</v>
      </c>
      <c r="B957" s="139"/>
      <c r="D957" s="139"/>
      <c r="E957" s="139"/>
      <c r="G957" s="139"/>
      <c r="H957" s="139"/>
      <c r="I957" s="139" t="s">
        <v>246</v>
      </c>
      <c r="J957" s="139"/>
      <c r="K957" s="139"/>
      <c r="L957" s="139" t="s">
        <v>43</v>
      </c>
      <c r="M957" s="139"/>
      <c r="O957" s="236"/>
    </row>
    <row r="958" spans="1:15" s="367" customFormat="1" ht="20.100000000000001" customHeight="1">
      <c r="A958" s="51"/>
      <c r="B958" s="50"/>
      <c r="C958" s="52"/>
      <c r="D958" s="51"/>
      <c r="E958" s="51"/>
      <c r="F958" s="52"/>
      <c r="G958" s="51"/>
      <c r="H958" s="52"/>
      <c r="I958" s="51"/>
      <c r="J958" s="135"/>
      <c r="K958" s="76"/>
      <c r="L958" s="75"/>
      <c r="M958" s="136"/>
      <c r="O958" s="238"/>
    </row>
    <row r="959" spans="1:15" s="52" customFormat="1" ht="18" customHeight="1">
      <c r="A959" s="529" t="s">
        <v>573</v>
      </c>
      <c r="B959" s="529"/>
      <c r="C959" s="529"/>
      <c r="D959" s="529"/>
      <c r="E959" s="529"/>
      <c r="F959" s="529"/>
      <c r="G959" s="50"/>
      <c r="H959" s="73"/>
      <c r="I959" s="529" t="s">
        <v>12</v>
      </c>
      <c r="J959" s="529"/>
      <c r="K959" s="74"/>
      <c r="L959" s="529" t="s">
        <v>460</v>
      </c>
      <c r="M959" s="529"/>
      <c r="O959" s="236"/>
    </row>
    <row r="960" spans="1:15" s="33" customFormat="1" ht="15" customHeight="1">
      <c r="A960" s="517" t="s">
        <v>557</v>
      </c>
      <c r="B960" s="517"/>
      <c r="C960" s="517"/>
      <c r="D960" s="517"/>
      <c r="E960" s="517"/>
      <c r="F960" s="517"/>
      <c r="I960" s="518" t="s">
        <v>558</v>
      </c>
      <c r="J960" s="518"/>
      <c r="L960" s="517" t="s">
        <v>559</v>
      </c>
      <c r="M960" s="517"/>
      <c r="O960" s="236"/>
    </row>
    <row r="961" spans="1:15" s="33" customFormat="1" ht="15" customHeight="1">
      <c r="A961" s="167"/>
      <c r="B961" s="167"/>
      <c r="C961" s="167"/>
      <c r="D961" s="167"/>
      <c r="E961" s="167"/>
      <c r="F961" s="167"/>
      <c r="I961" s="167"/>
      <c r="J961" s="167"/>
      <c r="L961" s="167"/>
      <c r="M961" s="167"/>
      <c r="O961" s="236"/>
    </row>
    <row r="962" spans="1:15" s="33" customFormat="1" ht="15" customHeight="1">
      <c r="A962" s="519" t="s">
        <v>549</v>
      </c>
      <c r="B962" s="519"/>
      <c r="C962" s="519"/>
      <c r="D962" s="519"/>
      <c r="E962" s="519"/>
      <c r="F962" s="519"/>
      <c r="G962" s="519"/>
      <c r="H962" s="519"/>
      <c r="I962" s="519"/>
      <c r="J962" s="519"/>
      <c r="K962" s="519"/>
      <c r="L962" s="519"/>
      <c r="M962" s="519"/>
      <c r="O962" s="236"/>
    </row>
    <row r="963" spans="1:15" s="33" customFormat="1" ht="15" customHeight="1">
      <c r="O963" s="236"/>
    </row>
    <row r="964" spans="1:15" s="33" customFormat="1" ht="15.75">
      <c r="A964" s="142" t="s">
        <v>550</v>
      </c>
      <c r="B964" s="142"/>
      <c r="C964" s="142"/>
      <c r="D964" s="141"/>
      <c r="E964" s="141"/>
      <c r="F964" s="142" t="s">
        <v>37</v>
      </c>
      <c r="G964" s="142"/>
      <c r="H964" s="142"/>
      <c r="I964" s="142"/>
      <c r="J964" s="142" t="s">
        <v>551</v>
      </c>
      <c r="K964" s="142" t="str">
        <f>$K$9</f>
        <v>2024</v>
      </c>
      <c r="L964" s="142"/>
      <c r="M964" s="142"/>
      <c r="N964" s="164"/>
      <c r="O964" s="236"/>
    </row>
    <row r="965" spans="1:15" s="33" customFormat="1" ht="15.75">
      <c r="A965" s="142" t="s">
        <v>552</v>
      </c>
      <c r="B965" s="142"/>
      <c r="C965" s="142"/>
      <c r="D965" s="141"/>
      <c r="E965" s="142"/>
      <c r="F965" s="142" t="s">
        <v>554</v>
      </c>
      <c r="G965" s="142"/>
      <c r="H965" s="142"/>
      <c r="I965" s="142"/>
      <c r="J965" s="142" t="s">
        <v>553</v>
      </c>
      <c r="K965" s="50" t="s">
        <v>574</v>
      </c>
      <c r="L965" s="142"/>
      <c r="M965" s="142"/>
      <c r="O965" s="236"/>
    </row>
    <row r="966" spans="1:15" s="33" customFormat="1" ht="15.75">
      <c r="A966" s="142" t="s">
        <v>555</v>
      </c>
      <c r="B966" s="142"/>
      <c r="C966" s="142"/>
      <c r="D966" s="142"/>
      <c r="E966" s="142"/>
      <c r="F966" s="142"/>
      <c r="G966" s="142"/>
      <c r="H966" s="142"/>
      <c r="I966" s="142"/>
      <c r="J966" s="142"/>
      <c r="K966" s="142" t="s">
        <v>575</v>
      </c>
      <c r="L966" s="142"/>
      <c r="M966" s="142"/>
      <c r="O966" s="236"/>
    </row>
    <row r="967" spans="1:15" s="52" customFormat="1" ht="18" customHeight="1" thickBot="1">
      <c r="A967" s="143"/>
      <c r="B967" s="143"/>
      <c r="C967" s="143"/>
      <c r="D967" s="143"/>
      <c r="E967" s="143"/>
      <c r="F967" s="143"/>
      <c r="G967" s="143"/>
      <c r="H967" s="143"/>
      <c r="I967" s="143"/>
      <c r="J967" s="143"/>
      <c r="K967" s="143"/>
      <c r="L967" s="143"/>
      <c r="M967" s="143"/>
      <c r="O967" s="236"/>
    </row>
    <row r="968" spans="1:15" ht="18" customHeight="1">
      <c r="A968" s="255"/>
      <c r="B968" s="256"/>
      <c r="C968" s="256"/>
      <c r="D968" s="256"/>
      <c r="E968" s="256"/>
      <c r="F968" s="257"/>
      <c r="G968" s="258"/>
      <c r="H968" s="259"/>
      <c r="I968" s="259" t="s">
        <v>6</v>
      </c>
      <c r="J968" s="520" t="s">
        <v>545</v>
      </c>
      <c r="K968" s="521"/>
      <c r="L968" s="522"/>
      <c r="M968" s="260" t="s">
        <v>7</v>
      </c>
    </row>
    <row r="969" spans="1:15" ht="18" customHeight="1">
      <c r="A969" s="523"/>
      <c r="B969" s="524"/>
      <c r="C969" s="524"/>
      <c r="D969" s="524"/>
      <c r="E969" s="524"/>
      <c r="F969" s="525"/>
      <c r="G969" s="448"/>
      <c r="H969" s="261"/>
      <c r="I969" s="261">
        <v>2022</v>
      </c>
      <c r="J969" s="261" t="s">
        <v>192</v>
      </c>
      <c r="K969" s="261" t="s">
        <v>193</v>
      </c>
      <c r="L969" s="261"/>
      <c r="M969" s="262">
        <v>2024</v>
      </c>
    </row>
    <row r="970" spans="1:15" ht="18" customHeight="1">
      <c r="A970" s="523" t="s">
        <v>13</v>
      </c>
      <c r="B970" s="524"/>
      <c r="C970" s="524"/>
      <c r="D970" s="524"/>
      <c r="E970" s="524"/>
      <c r="F970" s="525"/>
      <c r="G970" s="263"/>
      <c r="H970" s="264" t="s">
        <v>243</v>
      </c>
      <c r="I970" s="261" t="s">
        <v>191</v>
      </c>
      <c r="J970" s="261" t="s">
        <v>191</v>
      </c>
      <c r="K970" s="261" t="s">
        <v>194</v>
      </c>
      <c r="L970" s="261" t="s">
        <v>11</v>
      </c>
      <c r="M970" s="262" t="s">
        <v>196</v>
      </c>
    </row>
    <row r="971" spans="1:15" ht="18" customHeight="1">
      <c r="A971" s="265"/>
      <c r="B971" s="266"/>
      <c r="C971" s="266"/>
      <c r="D971" s="266"/>
      <c r="E971" s="266"/>
      <c r="F971" s="267"/>
      <c r="G971" s="263"/>
      <c r="H971" s="261"/>
      <c r="I971" s="261"/>
      <c r="J971" s="261">
        <v>2023</v>
      </c>
      <c r="K971" s="261">
        <v>2023</v>
      </c>
      <c r="L971" s="261"/>
      <c r="M971" s="262"/>
    </row>
    <row r="972" spans="1:15" ht="18" customHeight="1" thickBot="1">
      <c r="A972" s="526"/>
      <c r="B972" s="527"/>
      <c r="C972" s="527"/>
      <c r="D972" s="527"/>
      <c r="E972" s="527"/>
      <c r="F972" s="528"/>
      <c r="G972" s="449"/>
      <c r="H972" s="268"/>
      <c r="I972" s="369"/>
      <c r="J972" s="268"/>
      <c r="K972" s="268"/>
      <c r="L972" s="268"/>
      <c r="M972" s="269"/>
    </row>
    <row r="973" spans="1:15" ht="18" customHeight="1">
      <c r="A973" s="462"/>
      <c r="B973" s="193" t="s">
        <v>66</v>
      </c>
      <c r="C973" s="283"/>
      <c r="D973" s="193"/>
      <c r="E973" s="193"/>
      <c r="F973" s="463"/>
      <c r="G973" s="464"/>
      <c r="H973" s="489"/>
      <c r="I973" s="490"/>
      <c r="J973" s="491"/>
      <c r="K973" s="491"/>
      <c r="L973" s="491"/>
      <c r="M973" s="491"/>
    </row>
    <row r="974" spans="1:15" ht="18" customHeight="1">
      <c r="A974" s="270"/>
      <c r="B974" s="271"/>
      <c r="C974" s="271" t="s">
        <v>148</v>
      </c>
      <c r="D974" s="271"/>
      <c r="E974" s="271"/>
      <c r="F974" s="272"/>
      <c r="G974" s="273"/>
      <c r="H974" s="288"/>
      <c r="I974" s="289"/>
      <c r="J974" s="77"/>
      <c r="K974" s="77"/>
      <c r="L974" s="77"/>
      <c r="M974" s="77"/>
    </row>
    <row r="975" spans="1:15" ht="18" customHeight="1">
      <c r="A975" s="270"/>
      <c r="B975" s="271"/>
      <c r="C975" s="271"/>
      <c r="D975" s="271" t="s">
        <v>149</v>
      </c>
      <c r="E975" s="271"/>
      <c r="F975" s="272"/>
      <c r="G975" s="273" t="s">
        <v>213</v>
      </c>
      <c r="H975" s="275" t="s">
        <v>257</v>
      </c>
      <c r="I975" s="190">
        <v>726110</v>
      </c>
      <c r="J975" s="62">
        <v>763047</v>
      </c>
      <c r="K975" s="62">
        <f>1681839-J975</f>
        <v>918792</v>
      </c>
      <c r="L975" s="62">
        <f>SUM(K975+J975)</f>
        <v>1681839</v>
      </c>
      <c r="M975" s="62">
        <v>1842984</v>
      </c>
    </row>
    <row r="976" spans="1:15" ht="18" customHeight="1">
      <c r="A976" s="270"/>
      <c r="B976" s="271"/>
      <c r="C976" s="271" t="s">
        <v>150</v>
      </c>
      <c r="D976" s="271"/>
      <c r="E976" s="271"/>
      <c r="F976" s="272"/>
      <c r="G976" s="273"/>
      <c r="H976" s="275"/>
      <c r="I976" s="190"/>
      <c r="J976" s="62"/>
      <c r="K976" s="62"/>
      <c r="L976" s="62"/>
      <c r="M976" s="62"/>
    </row>
    <row r="977" spans="1:13" ht="18" customHeight="1">
      <c r="A977" s="270"/>
      <c r="B977" s="271"/>
      <c r="C977" s="271"/>
      <c r="D977" s="271" t="s">
        <v>151</v>
      </c>
      <c r="E977" s="271"/>
      <c r="F977" s="272"/>
      <c r="G977" s="273" t="s">
        <v>214</v>
      </c>
      <c r="H977" s="275" t="s">
        <v>258</v>
      </c>
      <c r="I977" s="190">
        <v>48000</v>
      </c>
      <c r="J977" s="62">
        <v>48000</v>
      </c>
      <c r="K977" s="62">
        <f>72000-J977</f>
        <v>24000</v>
      </c>
      <c r="L977" s="62">
        <f t="shared" ref="L977:L994" si="62">SUM(K977+J977)</f>
        <v>72000</v>
      </c>
      <c r="M977" s="62">
        <v>96000</v>
      </c>
    </row>
    <row r="978" spans="1:13" ht="18" customHeight="1">
      <c r="A978" s="270"/>
      <c r="B978" s="271"/>
      <c r="C978" s="271"/>
      <c r="D978" s="271" t="s">
        <v>161</v>
      </c>
      <c r="E978" s="271"/>
      <c r="F978" s="272"/>
      <c r="G978" s="273" t="s">
        <v>215</v>
      </c>
      <c r="H978" s="275" t="s">
        <v>259</v>
      </c>
      <c r="I978" s="190">
        <v>0</v>
      </c>
      <c r="J978" s="62">
        <v>0</v>
      </c>
      <c r="K978" s="62">
        <f>76500-J978</f>
        <v>76500</v>
      </c>
      <c r="L978" s="62">
        <f t="shared" si="62"/>
        <v>76500</v>
      </c>
      <c r="M978" s="62">
        <v>76500</v>
      </c>
    </row>
    <row r="979" spans="1:13" ht="18" customHeight="1">
      <c r="A979" s="270"/>
      <c r="B979" s="271"/>
      <c r="C979" s="271"/>
      <c r="D979" s="271" t="s">
        <v>160</v>
      </c>
      <c r="E979" s="271"/>
      <c r="F979" s="272"/>
      <c r="G979" s="273" t="s">
        <v>216</v>
      </c>
      <c r="H979" s="275" t="s">
        <v>260</v>
      </c>
      <c r="I979" s="190">
        <v>0</v>
      </c>
      <c r="J979" s="62">
        <v>0</v>
      </c>
      <c r="K979" s="62">
        <f>76500-J979</f>
        <v>76500</v>
      </c>
      <c r="L979" s="62">
        <f t="shared" si="62"/>
        <v>76500</v>
      </c>
      <c r="M979" s="62">
        <v>76500</v>
      </c>
    </row>
    <row r="980" spans="1:13" ht="18" customHeight="1">
      <c r="A980" s="270"/>
      <c r="B980" s="271"/>
      <c r="C980" s="271"/>
      <c r="D980" s="271" t="s">
        <v>162</v>
      </c>
      <c r="E980" s="271"/>
      <c r="F980" s="272"/>
      <c r="G980" s="273" t="s">
        <v>217</v>
      </c>
      <c r="H980" s="275" t="s">
        <v>261</v>
      </c>
      <c r="I980" s="190">
        <v>12000</v>
      </c>
      <c r="J980" s="62">
        <v>12000</v>
      </c>
      <c r="K980" s="62">
        <f>18000-J980</f>
        <v>6000</v>
      </c>
      <c r="L980" s="62">
        <f t="shared" si="62"/>
        <v>18000</v>
      </c>
      <c r="M980" s="62">
        <v>24000</v>
      </c>
    </row>
    <row r="981" spans="1:13" ht="18" customHeight="1">
      <c r="A981" s="270"/>
      <c r="B981" s="271"/>
      <c r="C981" s="271"/>
      <c r="D981" s="271" t="s">
        <v>255</v>
      </c>
      <c r="E981" s="271"/>
      <c r="F981" s="272"/>
      <c r="G981" s="273" t="s">
        <v>219</v>
      </c>
      <c r="H981" s="275" t="s">
        <v>262</v>
      </c>
      <c r="I981" s="190">
        <v>10000</v>
      </c>
      <c r="J981" s="62">
        <v>10000</v>
      </c>
      <c r="K981" s="62">
        <f>15000-J981</f>
        <v>5000</v>
      </c>
      <c r="L981" s="62">
        <f t="shared" si="62"/>
        <v>15000</v>
      </c>
      <c r="M981" s="62">
        <v>20000</v>
      </c>
    </row>
    <row r="982" spans="1:13" ht="18" customHeight="1">
      <c r="A982" s="270"/>
      <c r="B982" s="271"/>
      <c r="C982" s="271"/>
      <c r="D982" s="271" t="s">
        <v>164</v>
      </c>
      <c r="E982" s="271"/>
      <c r="F982" s="272"/>
      <c r="G982" s="273" t="s">
        <v>108</v>
      </c>
      <c r="H982" s="275" t="s">
        <v>263</v>
      </c>
      <c r="I982" s="190">
        <v>0</v>
      </c>
      <c r="J982" s="62">
        <v>5000</v>
      </c>
      <c r="K982" s="62">
        <f>5000-J982</f>
        <v>0</v>
      </c>
      <c r="L982" s="62">
        <f t="shared" si="62"/>
        <v>5000</v>
      </c>
      <c r="M982" s="62">
        <v>0</v>
      </c>
    </row>
    <row r="983" spans="1:13" ht="18" customHeight="1">
      <c r="A983" s="270"/>
      <c r="B983" s="271"/>
      <c r="C983" s="271"/>
      <c r="D983" s="271" t="s">
        <v>166</v>
      </c>
      <c r="E983" s="271"/>
      <c r="F983" s="272"/>
      <c r="G983" s="273" t="s">
        <v>222</v>
      </c>
      <c r="H983" s="275" t="s">
        <v>264</v>
      </c>
      <c r="I983" s="190">
        <v>10000</v>
      </c>
      <c r="J983" s="62">
        <v>10000</v>
      </c>
      <c r="K983" s="62">
        <f>15000-J983</f>
        <v>5000</v>
      </c>
      <c r="L983" s="62">
        <f t="shared" si="62"/>
        <v>15000</v>
      </c>
      <c r="M983" s="62">
        <v>20000</v>
      </c>
    </row>
    <row r="984" spans="1:13" ht="18" customHeight="1">
      <c r="A984" s="270"/>
      <c r="B984" s="271"/>
      <c r="C984" s="271"/>
      <c r="D984" s="271" t="s">
        <v>374</v>
      </c>
      <c r="E984" s="271"/>
      <c r="F984" s="271"/>
      <c r="G984" s="277" t="s">
        <v>108</v>
      </c>
      <c r="H984" s="275" t="s">
        <v>263</v>
      </c>
      <c r="I984" s="190">
        <v>60473</v>
      </c>
      <c r="J984" s="62">
        <v>63527</v>
      </c>
      <c r="K984" s="62">
        <f>140093-J984</f>
        <v>76566</v>
      </c>
      <c r="L984" s="62">
        <f t="shared" si="62"/>
        <v>140093</v>
      </c>
      <c r="M984" s="62">
        <v>153582</v>
      </c>
    </row>
    <row r="985" spans="1:13" ht="18" hidden="1" customHeight="1">
      <c r="A985" s="270"/>
      <c r="B985" s="271"/>
      <c r="C985" s="271"/>
      <c r="D985" s="271" t="s">
        <v>487</v>
      </c>
      <c r="E985" s="271"/>
      <c r="F985" s="272"/>
      <c r="G985" s="273" t="s">
        <v>108</v>
      </c>
      <c r="H985" s="275" t="s">
        <v>263</v>
      </c>
      <c r="I985" s="190">
        <v>0</v>
      </c>
      <c r="J985" s="62">
        <v>0</v>
      </c>
      <c r="K985" s="62">
        <f>0-J985</f>
        <v>0</v>
      </c>
      <c r="L985" s="62">
        <f t="shared" si="62"/>
        <v>0</v>
      </c>
      <c r="M985" s="62">
        <v>0</v>
      </c>
    </row>
    <row r="986" spans="1:13" ht="18" customHeight="1">
      <c r="A986" s="270"/>
      <c r="B986" s="271"/>
      <c r="C986" s="271"/>
      <c r="D986" s="271" t="s">
        <v>475</v>
      </c>
      <c r="E986" s="271"/>
      <c r="F986" s="272"/>
      <c r="G986" s="273"/>
      <c r="H986" s="275" t="s">
        <v>263</v>
      </c>
      <c r="I986" s="190">
        <v>37603.15</v>
      </c>
      <c r="J986" s="62">
        <v>0</v>
      </c>
      <c r="K986" s="62">
        <f>0-J986</f>
        <v>0</v>
      </c>
      <c r="L986" s="62">
        <f t="shared" si="62"/>
        <v>0</v>
      </c>
      <c r="M986" s="62">
        <v>0</v>
      </c>
    </row>
    <row r="987" spans="1:13" ht="18" customHeight="1">
      <c r="A987" s="270"/>
      <c r="B987" s="271"/>
      <c r="C987" s="271"/>
      <c r="D987" s="271" t="s">
        <v>167</v>
      </c>
      <c r="E987" s="271"/>
      <c r="F987" s="272"/>
      <c r="G987" s="273" t="s">
        <v>223</v>
      </c>
      <c r="H987" s="275" t="s">
        <v>265</v>
      </c>
      <c r="I987" s="190">
        <v>60473</v>
      </c>
      <c r="J987" s="62">
        <v>63527</v>
      </c>
      <c r="K987" s="62">
        <f>140334-J987</f>
        <v>76807</v>
      </c>
      <c r="L987" s="62">
        <f t="shared" si="62"/>
        <v>140334</v>
      </c>
      <c r="M987" s="62">
        <v>153582</v>
      </c>
    </row>
    <row r="988" spans="1:13" ht="18" customHeight="1">
      <c r="A988" s="270"/>
      <c r="B988" s="271"/>
      <c r="C988" s="271"/>
      <c r="D988" s="271" t="s">
        <v>249</v>
      </c>
      <c r="E988" s="271"/>
      <c r="F988" s="272"/>
      <c r="G988" s="273" t="s">
        <v>224</v>
      </c>
      <c r="H988" s="275" t="s">
        <v>266</v>
      </c>
      <c r="I988" s="190">
        <v>89000</v>
      </c>
      <c r="J988" s="62">
        <v>91507.8</v>
      </c>
      <c r="K988" s="62">
        <f>202300-J988</f>
        <v>110792.2</v>
      </c>
      <c r="L988" s="62">
        <f t="shared" si="62"/>
        <v>202300</v>
      </c>
      <c r="M988" s="62">
        <v>221500</v>
      </c>
    </row>
    <row r="989" spans="1:13" ht="18" customHeight="1">
      <c r="A989" s="270"/>
      <c r="B989" s="271"/>
      <c r="C989" s="271"/>
      <c r="D989" s="271" t="s">
        <v>168</v>
      </c>
      <c r="E989" s="271"/>
      <c r="F989" s="272"/>
      <c r="G989" s="273" t="s">
        <v>225</v>
      </c>
      <c r="H989" s="275" t="s">
        <v>267</v>
      </c>
      <c r="I989" s="190">
        <v>3600</v>
      </c>
      <c r="J989" s="62">
        <v>2400</v>
      </c>
      <c r="K989" s="62">
        <f>5400-J989</f>
        <v>3000</v>
      </c>
      <c r="L989" s="62">
        <f t="shared" si="62"/>
        <v>5400</v>
      </c>
      <c r="M989" s="62">
        <v>7200</v>
      </c>
    </row>
    <row r="990" spans="1:13" ht="18" customHeight="1">
      <c r="A990" s="270"/>
      <c r="B990" s="271"/>
      <c r="C990" s="271"/>
      <c r="D990" s="271" t="s">
        <v>169</v>
      </c>
      <c r="E990" s="271"/>
      <c r="F990" s="272"/>
      <c r="G990" s="273" t="s">
        <v>226</v>
      </c>
      <c r="H990" s="275" t="s">
        <v>268</v>
      </c>
      <c r="I990" s="190">
        <v>16000</v>
      </c>
      <c r="J990" s="62">
        <v>14903.82</v>
      </c>
      <c r="K990" s="62">
        <f>38500-J990</f>
        <v>23596.18</v>
      </c>
      <c r="L990" s="62">
        <f t="shared" si="62"/>
        <v>38500</v>
      </c>
      <c r="M990" s="62">
        <v>45000</v>
      </c>
    </row>
    <row r="991" spans="1:13" ht="18" customHeight="1">
      <c r="A991" s="270"/>
      <c r="B991" s="271"/>
      <c r="C991" s="271"/>
      <c r="D991" s="271" t="s">
        <v>248</v>
      </c>
      <c r="E991" s="271"/>
      <c r="F991" s="272"/>
      <c r="G991" s="273" t="s">
        <v>227</v>
      </c>
      <c r="H991" s="275" t="s">
        <v>269</v>
      </c>
      <c r="I991" s="190">
        <v>2400</v>
      </c>
      <c r="J991" s="62">
        <v>2400</v>
      </c>
      <c r="K991" s="62">
        <f>3600-J991</f>
        <v>1200</v>
      </c>
      <c r="L991" s="62">
        <f t="shared" si="62"/>
        <v>3600</v>
      </c>
      <c r="M991" s="62">
        <v>4800</v>
      </c>
    </row>
    <row r="992" spans="1:13" ht="18" hidden="1" customHeight="1">
      <c r="A992" s="270"/>
      <c r="B992" s="271"/>
      <c r="C992" s="271"/>
      <c r="D992" s="271" t="s">
        <v>171</v>
      </c>
      <c r="E992" s="271"/>
      <c r="F992" s="272"/>
      <c r="G992" s="273" t="s">
        <v>82</v>
      </c>
      <c r="H992" s="275" t="s">
        <v>281</v>
      </c>
      <c r="I992" s="190">
        <v>0</v>
      </c>
      <c r="J992" s="62">
        <v>0</v>
      </c>
      <c r="K992" s="62">
        <f>0-J992</f>
        <v>0</v>
      </c>
      <c r="L992" s="62">
        <f t="shared" si="62"/>
        <v>0</v>
      </c>
      <c r="M992" s="62">
        <v>0</v>
      </c>
    </row>
    <row r="993" spans="1:13" ht="18" customHeight="1">
      <c r="A993" s="270"/>
      <c r="B993" s="271"/>
      <c r="C993" s="271"/>
      <c r="D993" s="271" t="s">
        <v>476</v>
      </c>
      <c r="E993" s="271"/>
      <c r="F993" s="272"/>
      <c r="G993" s="273"/>
      <c r="H993" s="275" t="s">
        <v>281</v>
      </c>
      <c r="I993" s="190">
        <v>40000</v>
      </c>
      <c r="J993" s="62">
        <v>40000</v>
      </c>
      <c r="K993" s="62">
        <f>40000-J993</f>
        <v>0</v>
      </c>
      <c r="L993" s="62">
        <f t="shared" si="62"/>
        <v>40000</v>
      </c>
      <c r="M993" s="62">
        <v>0</v>
      </c>
    </row>
    <row r="994" spans="1:13" ht="18" customHeight="1">
      <c r="A994" s="270"/>
      <c r="B994" s="271"/>
      <c r="C994" s="271"/>
      <c r="D994" s="271" t="s">
        <v>502</v>
      </c>
      <c r="E994" s="271"/>
      <c r="F994" s="272"/>
      <c r="G994" s="273"/>
      <c r="H994" s="275" t="s">
        <v>281</v>
      </c>
      <c r="I994" s="190"/>
      <c r="J994" s="62">
        <v>60000</v>
      </c>
      <c r="K994" s="62">
        <f>60000-J994</f>
        <v>0</v>
      </c>
      <c r="L994" s="62">
        <f t="shared" si="62"/>
        <v>60000</v>
      </c>
      <c r="M994" s="62"/>
    </row>
    <row r="995" spans="1:13" ht="18" customHeight="1">
      <c r="A995" s="278"/>
      <c r="B995" s="279"/>
      <c r="C995" s="279"/>
      <c r="D995" s="279" t="s">
        <v>68</v>
      </c>
      <c r="E995" s="279"/>
      <c r="F995" s="280"/>
      <c r="G995" s="281"/>
      <c r="H995" s="290"/>
      <c r="I995" s="171">
        <f>SUM(I975:I994)</f>
        <v>1115659.1499999999</v>
      </c>
      <c r="J995" s="171">
        <f t="shared" ref="J995:M995" si="63">SUM(J975:J994)</f>
        <v>1186312.6200000001</v>
      </c>
      <c r="K995" s="171">
        <f t="shared" si="63"/>
        <v>1403753.38</v>
      </c>
      <c r="L995" s="171">
        <f t="shared" si="63"/>
        <v>2590066</v>
      </c>
      <c r="M995" s="171">
        <f t="shared" si="63"/>
        <v>2741648</v>
      </c>
    </row>
    <row r="996" spans="1:13" ht="18" customHeight="1">
      <c r="A996" s="270"/>
      <c r="B996" s="271" t="s">
        <v>172</v>
      </c>
      <c r="C996" s="271"/>
      <c r="D996" s="271"/>
      <c r="E996" s="271"/>
      <c r="F996" s="272"/>
      <c r="G996" s="273"/>
      <c r="H996" s="288"/>
      <c r="I996" s="190"/>
      <c r="J996" s="62"/>
      <c r="K996" s="62"/>
      <c r="L996" s="62"/>
      <c r="M996" s="62"/>
    </row>
    <row r="997" spans="1:13" ht="18" customHeight="1">
      <c r="A997" s="270"/>
      <c r="B997" s="271"/>
      <c r="C997" s="271"/>
      <c r="D997" s="271" t="s">
        <v>173</v>
      </c>
      <c r="E997" s="271"/>
      <c r="F997" s="272"/>
      <c r="G997" s="273" t="s">
        <v>75</v>
      </c>
      <c r="H997" s="275" t="s">
        <v>271</v>
      </c>
      <c r="I997" s="190">
        <v>31874</v>
      </c>
      <c r="J997" s="62">
        <v>43479</v>
      </c>
      <c r="K997" s="62">
        <f>88000-J997</f>
        <v>44521</v>
      </c>
      <c r="L997" s="62">
        <f t="shared" ref="L997:L1003" si="64">SUM(K997+J997)</f>
        <v>88000</v>
      </c>
      <c r="M997" s="62">
        <v>88000</v>
      </c>
    </row>
    <row r="998" spans="1:13" ht="18" customHeight="1">
      <c r="A998" s="270"/>
      <c r="B998" s="271"/>
      <c r="C998" s="271"/>
      <c r="D998" s="271" t="s">
        <v>107</v>
      </c>
      <c r="E998" s="271"/>
      <c r="F998" s="272"/>
      <c r="G998" s="273" t="s">
        <v>76</v>
      </c>
      <c r="H998" s="275" t="s">
        <v>272</v>
      </c>
      <c r="I998" s="190">
        <v>48957</v>
      </c>
      <c r="J998" s="62">
        <v>99581.33</v>
      </c>
      <c r="K998" s="62">
        <f>100000-J998</f>
        <v>418.66999999999825</v>
      </c>
      <c r="L998" s="62">
        <f t="shared" si="64"/>
        <v>100000</v>
      </c>
      <c r="M998" s="62">
        <v>100000</v>
      </c>
    </row>
    <row r="999" spans="1:13" ht="18" customHeight="1">
      <c r="A999" s="270"/>
      <c r="B999" s="271"/>
      <c r="C999" s="271"/>
      <c r="D999" s="271" t="s">
        <v>73</v>
      </c>
      <c r="E999" s="271"/>
      <c r="F999" s="272"/>
      <c r="G999" s="273" t="s">
        <v>78</v>
      </c>
      <c r="H999" s="275" t="s">
        <v>273</v>
      </c>
      <c r="I999" s="190">
        <v>45593.48</v>
      </c>
      <c r="J999" s="62">
        <v>69143</v>
      </c>
      <c r="K999" s="62">
        <f>80000-J999</f>
        <v>10857</v>
      </c>
      <c r="L999" s="62">
        <f t="shared" si="64"/>
        <v>80000</v>
      </c>
      <c r="M999" s="62">
        <v>80000</v>
      </c>
    </row>
    <row r="1000" spans="1:13" ht="18" customHeight="1">
      <c r="A1000" s="270"/>
      <c r="B1000" s="271"/>
      <c r="C1000" s="271"/>
      <c r="D1000" s="271" t="s">
        <v>179</v>
      </c>
      <c r="E1000" s="271"/>
      <c r="F1000" s="272"/>
      <c r="G1000" s="273" t="s">
        <v>79</v>
      </c>
      <c r="H1000" s="275" t="s">
        <v>275</v>
      </c>
      <c r="I1000" s="190">
        <v>36000</v>
      </c>
      <c r="J1000" s="62">
        <v>36000</v>
      </c>
      <c r="K1000" s="62">
        <f>36000-J1000</f>
        <v>0</v>
      </c>
      <c r="L1000" s="62">
        <f t="shared" si="64"/>
        <v>36000</v>
      </c>
      <c r="M1000" s="62">
        <v>36000</v>
      </c>
    </row>
    <row r="1001" spans="1:13" ht="18" customHeight="1">
      <c r="A1001" s="270"/>
      <c r="B1001" s="271"/>
      <c r="C1001" s="271"/>
      <c r="D1001" s="271" t="s">
        <v>432</v>
      </c>
      <c r="E1001" s="271"/>
      <c r="F1001" s="272"/>
      <c r="G1001" s="273" t="s">
        <v>80</v>
      </c>
      <c r="H1001" s="275" t="s">
        <v>276</v>
      </c>
      <c r="I1001" s="190">
        <v>3300</v>
      </c>
      <c r="J1001" s="62">
        <v>8580</v>
      </c>
      <c r="K1001" s="62">
        <f>20000-J1001</f>
        <v>11420</v>
      </c>
      <c r="L1001" s="62">
        <f t="shared" si="64"/>
        <v>20000</v>
      </c>
      <c r="M1001" s="62">
        <v>20000</v>
      </c>
    </row>
    <row r="1002" spans="1:13" ht="18" customHeight="1">
      <c r="A1002" s="270"/>
      <c r="B1002" s="271"/>
      <c r="C1002" s="271"/>
      <c r="D1002" s="271" t="s">
        <v>185</v>
      </c>
      <c r="E1002" s="271"/>
      <c r="F1002" s="272"/>
      <c r="G1002" s="273" t="s">
        <v>81</v>
      </c>
      <c r="H1002" s="275" t="s">
        <v>277</v>
      </c>
      <c r="I1002" s="190">
        <v>1632</v>
      </c>
      <c r="J1002" s="62">
        <v>0</v>
      </c>
      <c r="K1002" s="62">
        <f>15000-J1002</f>
        <v>15000</v>
      </c>
      <c r="L1002" s="62">
        <f t="shared" si="64"/>
        <v>15000</v>
      </c>
      <c r="M1002" s="62">
        <v>15000</v>
      </c>
    </row>
    <row r="1003" spans="1:13" ht="18" customHeight="1">
      <c r="A1003" s="270"/>
      <c r="B1003" s="271"/>
      <c r="C1003" s="271"/>
      <c r="D1003" s="271" t="s">
        <v>502</v>
      </c>
      <c r="E1003" s="271"/>
      <c r="F1003" s="272"/>
      <c r="G1003" s="273"/>
      <c r="H1003" s="275" t="s">
        <v>277</v>
      </c>
      <c r="I1003" s="190">
        <v>50000</v>
      </c>
      <c r="J1003" s="62">
        <v>0</v>
      </c>
      <c r="K1003" s="62">
        <f>0-J1003</f>
        <v>0</v>
      </c>
      <c r="L1003" s="62">
        <f t="shared" si="64"/>
        <v>0</v>
      </c>
      <c r="M1003" s="62">
        <v>0</v>
      </c>
    </row>
    <row r="1004" spans="1:13" ht="18" customHeight="1">
      <c r="A1004" s="278"/>
      <c r="B1004" s="279"/>
      <c r="C1004" s="279"/>
      <c r="D1004" s="279" t="s">
        <v>322</v>
      </c>
      <c r="E1004" s="279"/>
      <c r="F1004" s="280"/>
      <c r="G1004" s="281"/>
      <c r="H1004" s="290"/>
      <c r="I1004" s="171">
        <f>SUM(I997:I1003)</f>
        <v>217356.48</v>
      </c>
      <c r="J1004" s="171">
        <f>SUM(J997:J1003)</f>
        <v>256783.33000000002</v>
      </c>
      <c r="K1004" s="171">
        <f>SUM(K997:K1003)</f>
        <v>82216.67</v>
      </c>
      <c r="L1004" s="171">
        <f>SUM(L997:L1003)</f>
        <v>339000</v>
      </c>
      <c r="M1004" s="171">
        <f>SUM(M997:M1003)</f>
        <v>339000</v>
      </c>
    </row>
    <row r="1005" spans="1:13" ht="18" customHeight="1">
      <c r="A1005" s="270"/>
      <c r="B1005" s="271" t="s">
        <v>186</v>
      </c>
      <c r="C1005" s="271"/>
      <c r="D1005" s="271"/>
      <c r="E1005" s="271"/>
      <c r="F1005" s="272"/>
      <c r="G1005" s="273"/>
      <c r="H1005" s="288"/>
      <c r="I1005" s="190"/>
      <c r="J1005" s="62"/>
      <c r="K1005" s="62"/>
      <c r="L1005" s="62"/>
      <c r="M1005" s="62"/>
    </row>
    <row r="1006" spans="1:13" ht="18" customHeight="1">
      <c r="A1006" s="270"/>
      <c r="B1006" s="271"/>
      <c r="C1006" s="271"/>
      <c r="D1006" s="271" t="s">
        <v>256</v>
      </c>
      <c r="E1006" s="271"/>
      <c r="F1006" s="272"/>
      <c r="G1006" s="273" t="s">
        <v>409</v>
      </c>
      <c r="H1006" s="275" t="s">
        <v>410</v>
      </c>
      <c r="I1006" s="190">
        <v>43466</v>
      </c>
      <c r="J1006" s="62">
        <v>0</v>
      </c>
      <c r="K1006" s="62">
        <f>0-J1006</f>
        <v>0</v>
      </c>
      <c r="L1006" s="62">
        <f>SUM(K1006+J1006)</f>
        <v>0</v>
      </c>
      <c r="M1006" s="62">
        <v>0</v>
      </c>
    </row>
    <row r="1007" spans="1:13" ht="18" hidden="1" customHeight="1">
      <c r="A1007" s="270"/>
      <c r="B1007" s="271"/>
      <c r="C1007" s="271"/>
      <c r="D1007" s="271" t="s">
        <v>416</v>
      </c>
      <c r="E1007" s="271"/>
      <c r="F1007" s="272"/>
      <c r="G1007" s="273" t="s">
        <v>430</v>
      </c>
      <c r="H1007" s="275" t="s">
        <v>417</v>
      </c>
      <c r="I1007" s="190">
        <v>0</v>
      </c>
      <c r="J1007" s="62">
        <v>0</v>
      </c>
      <c r="K1007" s="62">
        <f t="shared" ref="K1007:K1008" si="65">0-J1007</f>
        <v>0</v>
      </c>
      <c r="L1007" s="62">
        <f>SUM(K1007+J1007)</f>
        <v>0</v>
      </c>
      <c r="M1007" s="62">
        <v>0</v>
      </c>
    </row>
    <row r="1008" spans="1:13" ht="18" hidden="1" customHeight="1">
      <c r="A1008" s="270"/>
      <c r="B1008" s="271"/>
      <c r="C1008" s="271"/>
      <c r="D1008" s="271" t="s">
        <v>412</v>
      </c>
      <c r="E1008" s="271"/>
      <c r="F1008" s="272"/>
      <c r="G1008" s="273" t="s">
        <v>413</v>
      </c>
      <c r="H1008" s="275" t="s">
        <v>414</v>
      </c>
      <c r="I1008" s="190">
        <v>0</v>
      </c>
      <c r="J1008" s="62">
        <v>0</v>
      </c>
      <c r="K1008" s="62">
        <f t="shared" si="65"/>
        <v>0</v>
      </c>
      <c r="L1008" s="62">
        <f>SUM(K1008+J1008)</f>
        <v>0</v>
      </c>
      <c r="M1008" s="62">
        <v>0</v>
      </c>
    </row>
    <row r="1009" spans="1:16" ht="18" customHeight="1">
      <c r="A1009" s="278"/>
      <c r="B1009" s="279"/>
      <c r="C1009" s="279"/>
      <c r="D1009" s="279" t="s">
        <v>366</v>
      </c>
      <c r="E1009" s="279"/>
      <c r="F1009" s="280"/>
      <c r="G1009" s="281"/>
      <c r="H1009" s="290"/>
      <c r="I1009" s="171">
        <f>SUM(I1006:I1008)</f>
        <v>43466</v>
      </c>
      <c r="J1009" s="171">
        <f>SUM(J1006:J1008)</f>
        <v>0</v>
      </c>
      <c r="K1009" s="171">
        <f>SUM(K1006:K1008)</f>
        <v>0</v>
      </c>
      <c r="L1009" s="171">
        <f>SUM(L1006:L1008)</f>
        <v>0</v>
      </c>
      <c r="M1009" s="171">
        <f>SUM(M1006:M1008)</f>
        <v>0</v>
      </c>
    </row>
    <row r="1010" spans="1:16" ht="18" customHeight="1">
      <c r="A1010" s="278"/>
      <c r="B1010" s="279"/>
      <c r="C1010" s="279"/>
      <c r="D1010" s="279"/>
      <c r="E1010" s="279"/>
      <c r="F1010" s="280"/>
      <c r="G1010" s="281"/>
      <c r="H1010" s="290"/>
      <c r="I1010" s="171"/>
      <c r="J1010" s="191"/>
      <c r="K1010" s="191"/>
      <c r="L1010" s="191"/>
      <c r="M1010" s="191"/>
    </row>
    <row r="1011" spans="1:16" s="366" customFormat="1" ht="18" customHeight="1" thickBot="1">
      <c r="A1011" s="196" t="s">
        <v>244</v>
      </c>
      <c r="B1011" s="287"/>
      <c r="C1011" s="287"/>
      <c r="D1011" s="287"/>
      <c r="E1011" s="287"/>
      <c r="F1011" s="197"/>
      <c r="G1011" s="448"/>
      <c r="H1011" s="198"/>
      <c r="I1011" s="199">
        <f>SUM(I1009+I1004+I995)</f>
        <v>1376481.63</v>
      </c>
      <c r="J1011" s="199">
        <f>SUM(J1009+J1004+J995)</f>
        <v>1443095.9500000002</v>
      </c>
      <c r="K1011" s="199">
        <f>SUM(K1009+K1004+K995)</f>
        <v>1485970.0499999998</v>
      </c>
      <c r="L1011" s="199">
        <f>SUM(L1009+L1004+L995)</f>
        <v>2929066</v>
      </c>
      <c r="M1011" s="199">
        <f>SUM(M1009+M1004+M995)</f>
        <v>3080648</v>
      </c>
      <c r="O1011" s="166"/>
    </row>
    <row r="1012" spans="1:16" s="366" customFormat="1" ht="5.0999999999999996" customHeight="1" thickBot="1">
      <c r="A1012" s="496"/>
      <c r="B1012" s="200"/>
      <c r="C1012" s="200"/>
      <c r="D1012" s="200"/>
      <c r="E1012" s="200"/>
      <c r="F1012" s="200"/>
      <c r="G1012" s="228"/>
      <c r="H1012" s="229"/>
      <c r="I1012" s="230"/>
      <c r="J1012" s="230"/>
      <c r="K1012" s="230"/>
      <c r="L1012" s="230"/>
      <c r="M1012" s="497"/>
      <c r="P1012" s="210">
        <f>M1013-O1011</f>
        <v>218755803.45999998</v>
      </c>
    </row>
    <row r="1013" spans="1:16" s="366" customFormat="1" ht="18" customHeight="1" thickBot="1">
      <c r="A1013" s="498"/>
      <c r="B1013" s="201"/>
      <c r="C1013" s="202"/>
      <c r="D1013" s="202"/>
      <c r="E1013" s="202"/>
      <c r="F1013" s="224" t="s">
        <v>31</v>
      </c>
      <c r="G1013" s="225"/>
      <c r="H1013" s="226"/>
      <c r="I1013" s="227">
        <f>SUM(I1011+I952+I892+I826+I759+I693+I630+I570+I506+I444+I386+I324+I259+I192)</f>
        <v>231311195.77000001</v>
      </c>
      <c r="J1013" s="227">
        <f t="shared" ref="J1013:L1013" si="66">SUM(J1011+J952+J892+J826+J759+J693+J630+J570+J506+J444+J386+J324+J259+J192)</f>
        <v>195410473.07000002</v>
      </c>
      <c r="K1013" s="227">
        <f>SUM(K1011+K952+K892+K826+K759+K693+K630+K570+K506+K444+K386+K324+K259+K192)</f>
        <v>24659885.403999999</v>
      </c>
      <c r="L1013" s="227">
        <f t="shared" si="66"/>
        <v>220070358.47399998</v>
      </c>
      <c r="M1013" s="499">
        <f>SUM(M1011+M952+M892+M826+M759+M693+M630+M570+M506+M444+M386+M324+M259+M192)</f>
        <v>218755803.45999998</v>
      </c>
      <c r="O1013" s="166">
        <f>218638986.46-M1013</f>
        <v>-116816.9999999702</v>
      </c>
    </row>
    <row r="1014" spans="1:16" s="366" customFormat="1" ht="18" customHeight="1">
      <c r="A1014" s="473" t="s">
        <v>245</v>
      </c>
      <c r="B1014" s="139"/>
      <c r="C1014" s="361"/>
      <c r="D1014" s="139"/>
      <c r="E1014" s="139"/>
      <c r="F1014" s="361"/>
      <c r="G1014" s="139"/>
      <c r="H1014" s="139"/>
      <c r="I1014" s="139" t="s">
        <v>246</v>
      </c>
      <c r="J1014" s="139"/>
      <c r="K1014" s="139"/>
      <c r="L1014" s="139" t="s">
        <v>43</v>
      </c>
      <c r="M1014" s="474"/>
      <c r="O1014" s="166"/>
    </row>
    <row r="1015" spans="1:16" s="361" customFormat="1" ht="18" customHeight="1">
      <c r="A1015" s="475"/>
      <c r="B1015" s="50"/>
      <c r="C1015" s="52"/>
      <c r="D1015" s="51"/>
      <c r="E1015" s="51"/>
      <c r="F1015" s="52"/>
      <c r="G1015" s="51"/>
      <c r="H1015" s="52"/>
      <c r="I1015" s="51"/>
      <c r="J1015" s="135"/>
      <c r="K1015" s="76"/>
      <c r="L1015" s="75"/>
      <c r="M1015" s="476"/>
      <c r="O1015" s="236"/>
    </row>
    <row r="1016" spans="1:16" s="361" customFormat="1" ht="18" customHeight="1">
      <c r="A1016" s="530" t="s">
        <v>425</v>
      </c>
      <c r="B1016" s="529"/>
      <c r="C1016" s="529"/>
      <c r="D1016" s="529"/>
      <c r="E1016" s="529"/>
      <c r="F1016" s="529"/>
      <c r="G1016" s="50"/>
      <c r="H1016" s="73"/>
      <c r="I1016" s="529" t="s">
        <v>12</v>
      </c>
      <c r="J1016" s="529"/>
      <c r="K1016" s="74"/>
      <c r="L1016" s="529" t="s">
        <v>460</v>
      </c>
      <c r="M1016" s="531"/>
      <c r="O1016" s="236"/>
    </row>
    <row r="1017" spans="1:16" s="367" customFormat="1" ht="20.100000000000001" customHeight="1">
      <c r="A1017" s="532" t="s">
        <v>557</v>
      </c>
      <c r="B1017" s="517"/>
      <c r="C1017" s="517"/>
      <c r="D1017" s="517"/>
      <c r="E1017" s="517"/>
      <c r="F1017" s="517"/>
      <c r="G1017" s="33"/>
      <c r="H1017" s="33"/>
      <c r="I1017" s="518" t="s">
        <v>558</v>
      </c>
      <c r="J1017" s="518"/>
      <c r="K1017" s="33"/>
      <c r="L1017" s="517" t="s">
        <v>559</v>
      </c>
      <c r="M1017" s="533"/>
      <c r="O1017" s="238"/>
    </row>
    <row r="1018" spans="1:16" s="52" customFormat="1" ht="18" customHeight="1">
      <c r="A1018" s="475"/>
      <c r="B1018" s="50"/>
      <c r="C1018" s="51"/>
      <c r="D1018" s="51"/>
      <c r="E1018" s="51"/>
      <c r="F1018" s="75"/>
      <c r="G1018" s="51"/>
      <c r="H1018" s="135"/>
      <c r="I1018" s="241"/>
      <c r="J1018" s="241"/>
      <c r="K1018" s="241"/>
      <c r="L1018" s="241"/>
      <c r="M1018" s="500"/>
      <c r="O1018" s="236"/>
    </row>
    <row r="1019" spans="1:16" s="52" customFormat="1" ht="18" customHeight="1">
      <c r="A1019" s="536" t="s">
        <v>549</v>
      </c>
      <c r="B1019" s="519"/>
      <c r="C1019" s="519"/>
      <c r="D1019" s="519"/>
      <c r="E1019" s="519"/>
      <c r="F1019" s="519"/>
      <c r="G1019" s="519"/>
      <c r="H1019" s="519"/>
      <c r="I1019" s="519"/>
      <c r="J1019" s="519"/>
      <c r="K1019" s="519"/>
      <c r="L1019" s="519"/>
      <c r="M1019" s="537"/>
      <c r="O1019" s="236"/>
    </row>
    <row r="1020" spans="1:16" s="33" customFormat="1" ht="15" customHeight="1">
      <c r="A1020" s="501"/>
      <c r="I1020" s="242"/>
      <c r="J1020" s="242"/>
      <c r="K1020" s="242"/>
      <c r="L1020" s="242"/>
      <c r="M1020" s="502"/>
      <c r="O1020" s="236"/>
    </row>
    <row r="1021" spans="1:16" s="33" customFormat="1" ht="15.75">
      <c r="A1021" s="477" t="s">
        <v>550</v>
      </c>
      <c r="B1021" s="142"/>
      <c r="C1021" s="142"/>
      <c r="D1021" s="141"/>
      <c r="E1021" s="141"/>
      <c r="F1021" s="142" t="s">
        <v>37</v>
      </c>
      <c r="G1021" s="142"/>
      <c r="H1021" s="142"/>
      <c r="I1021" s="142"/>
      <c r="J1021" s="142" t="s">
        <v>551</v>
      </c>
      <c r="K1021" s="142" t="str">
        <f>$K$9</f>
        <v>2024</v>
      </c>
      <c r="L1021" s="142"/>
      <c r="M1021" s="478"/>
      <c r="N1021" s="164"/>
      <c r="O1021" s="236"/>
    </row>
    <row r="1022" spans="1:16" s="33" customFormat="1" ht="15.75">
      <c r="A1022" s="477" t="s">
        <v>552</v>
      </c>
      <c r="B1022" s="142"/>
      <c r="C1022" s="142"/>
      <c r="D1022" s="141"/>
      <c r="E1022" s="142"/>
      <c r="F1022" s="142" t="s">
        <v>554</v>
      </c>
      <c r="G1022" s="142"/>
      <c r="H1022" s="142"/>
      <c r="I1022" s="142"/>
      <c r="J1022" s="142" t="s">
        <v>553</v>
      </c>
      <c r="K1022" s="50" t="s">
        <v>576</v>
      </c>
      <c r="L1022" s="142"/>
      <c r="M1022" s="478"/>
      <c r="O1022" s="236"/>
    </row>
    <row r="1023" spans="1:16" s="33" customFormat="1" ht="15.75">
      <c r="A1023" s="477" t="s">
        <v>555</v>
      </c>
      <c r="B1023" s="142"/>
      <c r="C1023" s="142"/>
      <c r="D1023" s="142"/>
      <c r="E1023" s="142"/>
      <c r="F1023" s="142"/>
      <c r="G1023" s="142"/>
      <c r="H1023" s="142"/>
      <c r="I1023" s="142"/>
      <c r="J1023" s="142"/>
      <c r="K1023" s="142"/>
      <c r="L1023" s="142"/>
      <c r="M1023" s="478"/>
      <c r="O1023" s="236"/>
    </row>
    <row r="1024" spans="1:16" s="52" customFormat="1" ht="18" customHeight="1" thickBot="1">
      <c r="A1024" s="503"/>
      <c r="B1024" s="143"/>
      <c r="C1024" s="143"/>
      <c r="D1024" s="143"/>
      <c r="E1024" s="143"/>
      <c r="F1024" s="143"/>
      <c r="G1024" s="143"/>
      <c r="H1024" s="143"/>
      <c r="I1024" s="143"/>
      <c r="J1024" s="143"/>
      <c r="K1024" s="143"/>
      <c r="L1024" s="143"/>
      <c r="M1024" s="504"/>
      <c r="O1024" s="236"/>
    </row>
    <row r="1025" spans="1:13" ht="18" customHeight="1">
      <c r="A1025" s="255"/>
      <c r="B1025" s="256"/>
      <c r="C1025" s="256"/>
      <c r="D1025" s="256"/>
      <c r="E1025" s="256"/>
      <c r="F1025" s="257"/>
      <c r="G1025" s="258"/>
      <c r="H1025" s="259"/>
      <c r="I1025" s="259" t="s">
        <v>6</v>
      </c>
      <c r="J1025" s="520" t="s">
        <v>545</v>
      </c>
      <c r="K1025" s="521"/>
      <c r="L1025" s="522"/>
      <c r="M1025" s="260" t="s">
        <v>7</v>
      </c>
    </row>
    <row r="1026" spans="1:13" ht="18" customHeight="1">
      <c r="A1026" s="523"/>
      <c r="B1026" s="524"/>
      <c r="C1026" s="524"/>
      <c r="D1026" s="524"/>
      <c r="E1026" s="524"/>
      <c r="F1026" s="525"/>
      <c r="G1026" s="448"/>
      <c r="H1026" s="261"/>
      <c r="I1026" s="261">
        <v>2022</v>
      </c>
      <c r="J1026" s="261" t="s">
        <v>192</v>
      </c>
      <c r="K1026" s="261" t="s">
        <v>193</v>
      </c>
      <c r="L1026" s="261"/>
      <c r="M1026" s="262">
        <v>2024</v>
      </c>
    </row>
    <row r="1027" spans="1:13" ht="18" customHeight="1">
      <c r="A1027" s="523" t="s">
        <v>13</v>
      </c>
      <c r="B1027" s="524"/>
      <c r="C1027" s="524"/>
      <c r="D1027" s="524"/>
      <c r="E1027" s="524"/>
      <c r="F1027" s="525"/>
      <c r="G1027" s="263"/>
      <c r="H1027" s="264" t="s">
        <v>243</v>
      </c>
      <c r="I1027" s="261" t="s">
        <v>191</v>
      </c>
      <c r="J1027" s="261" t="s">
        <v>191</v>
      </c>
      <c r="K1027" s="261" t="s">
        <v>194</v>
      </c>
      <c r="L1027" s="261" t="s">
        <v>11</v>
      </c>
      <c r="M1027" s="262" t="s">
        <v>196</v>
      </c>
    </row>
    <row r="1028" spans="1:13" ht="18" customHeight="1">
      <c r="A1028" s="265"/>
      <c r="B1028" s="266"/>
      <c r="C1028" s="266"/>
      <c r="D1028" s="266"/>
      <c r="E1028" s="266"/>
      <c r="F1028" s="267"/>
      <c r="G1028" s="263"/>
      <c r="H1028" s="261"/>
      <c r="I1028" s="261"/>
      <c r="J1028" s="261">
        <v>2023</v>
      </c>
      <c r="K1028" s="261">
        <v>2023</v>
      </c>
      <c r="L1028" s="261"/>
      <c r="M1028" s="262"/>
    </row>
    <row r="1029" spans="1:13" ht="18" customHeight="1" thickBot="1">
      <c r="A1029" s="526"/>
      <c r="B1029" s="527"/>
      <c r="C1029" s="527"/>
      <c r="D1029" s="527"/>
      <c r="E1029" s="527"/>
      <c r="F1029" s="528"/>
      <c r="G1029" s="449"/>
      <c r="H1029" s="268"/>
      <c r="I1029" s="369"/>
      <c r="J1029" s="268"/>
      <c r="K1029" s="268"/>
      <c r="L1029" s="268"/>
      <c r="M1029" s="269"/>
    </row>
    <row r="1030" spans="1:13" ht="18" customHeight="1">
      <c r="A1030" s="462"/>
      <c r="B1030" s="193" t="s">
        <v>66</v>
      </c>
      <c r="C1030" s="283"/>
      <c r="D1030" s="193"/>
      <c r="E1030" s="193"/>
      <c r="F1030" s="463"/>
      <c r="G1030" s="464"/>
      <c r="H1030" s="489"/>
      <c r="I1030" s="490"/>
      <c r="J1030" s="491"/>
      <c r="K1030" s="491"/>
      <c r="L1030" s="491"/>
      <c r="M1030" s="491"/>
    </row>
    <row r="1031" spans="1:13" ht="18" customHeight="1">
      <c r="A1031" s="270"/>
      <c r="B1031" s="271"/>
      <c r="C1031" s="271" t="s">
        <v>148</v>
      </c>
      <c r="D1031" s="271"/>
      <c r="E1031" s="271"/>
      <c r="F1031" s="272"/>
      <c r="G1031" s="273"/>
      <c r="H1031" s="288"/>
      <c r="I1031" s="289"/>
      <c r="J1031" s="77"/>
      <c r="K1031" s="77"/>
      <c r="L1031" s="77"/>
      <c r="M1031" s="77"/>
    </row>
    <row r="1032" spans="1:13" ht="18" customHeight="1">
      <c r="A1032" s="270"/>
      <c r="B1032" s="271"/>
      <c r="C1032" s="271"/>
      <c r="D1032" s="271" t="s">
        <v>149</v>
      </c>
      <c r="E1032" s="271"/>
      <c r="F1032" s="272"/>
      <c r="G1032" s="273" t="s">
        <v>213</v>
      </c>
      <c r="H1032" s="275" t="s">
        <v>257</v>
      </c>
      <c r="I1032" s="190">
        <v>3940171</v>
      </c>
      <c r="J1032" s="62">
        <v>3851850.44</v>
      </c>
      <c r="K1032" s="62">
        <f>4087998-J1032</f>
        <v>236147.56000000006</v>
      </c>
      <c r="L1032" s="62">
        <f>SUM(K1032+J1032)</f>
        <v>4087998</v>
      </c>
      <c r="M1032" s="62">
        <v>4084492</v>
      </c>
    </row>
    <row r="1033" spans="1:13" ht="18" customHeight="1">
      <c r="A1033" s="270"/>
      <c r="B1033" s="271"/>
      <c r="C1033" s="271"/>
      <c r="D1033" s="271" t="s">
        <v>106</v>
      </c>
      <c r="E1033" s="271"/>
      <c r="F1033" s="272"/>
      <c r="G1033" s="273" t="s">
        <v>84</v>
      </c>
      <c r="H1033" s="275" t="s">
        <v>313</v>
      </c>
      <c r="I1033" s="190">
        <v>0</v>
      </c>
      <c r="J1033" s="62">
        <v>0</v>
      </c>
      <c r="K1033" s="62">
        <f>0-J1033</f>
        <v>0</v>
      </c>
      <c r="L1033" s="62">
        <f>SUM(K1033+J1033)</f>
        <v>0</v>
      </c>
      <c r="M1033" s="62">
        <v>0</v>
      </c>
    </row>
    <row r="1034" spans="1:13" ht="18" customHeight="1">
      <c r="A1034" s="270"/>
      <c r="B1034" s="271"/>
      <c r="C1034" s="271" t="s">
        <v>150</v>
      </c>
      <c r="D1034" s="271"/>
      <c r="E1034" s="271"/>
      <c r="F1034" s="272"/>
      <c r="G1034" s="273"/>
      <c r="H1034" s="288"/>
      <c r="I1034" s="190"/>
      <c r="J1034" s="62"/>
      <c r="K1034" s="62"/>
      <c r="L1034" s="62"/>
      <c r="M1034" s="62"/>
    </row>
    <row r="1035" spans="1:13" ht="18" customHeight="1">
      <c r="A1035" s="270"/>
      <c r="B1035" s="271"/>
      <c r="C1035" s="271"/>
      <c r="D1035" s="271" t="s">
        <v>151</v>
      </c>
      <c r="E1035" s="271"/>
      <c r="F1035" s="272"/>
      <c r="G1035" s="273" t="s">
        <v>214</v>
      </c>
      <c r="H1035" s="275" t="s">
        <v>258</v>
      </c>
      <c r="I1035" s="190">
        <v>576000</v>
      </c>
      <c r="J1035" s="62">
        <v>529000</v>
      </c>
      <c r="K1035" s="62">
        <f>576000-J1035</f>
        <v>47000</v>
      </c>
      <c r="L1035" s="62">
        <f t="shared" ref="L1035:L1056" si="67">SUM(K1035+J1035)</f>
        <v>576000</v>
      </c>
      <c r="M1035" s="62">
        <v>576000</v>
      </c>
    </row>
    <row r="1036" spans="1:13" ht="18" customHeight="1">
      <c r="A1036" s="270"/>
      <c r="B1036" s="271"/>
      <c r="C1036" s="271"/>
      <c r="D1036" s="271" t="s">
        <v>162</v>
      </c>
      <c r="E1036" s="271"/>
      <c r="F1036" s="272"/>
      <c r="G1036" s="273" t="s">
        <v>217</v>
      </c>
      <c r="H1036" s="275" t="s">
        <v>261</v>
      </c>
      <c r="I1036" s="190">
        <v>144000</v>
      </c>
      <c r="J1036" s="62">
        <v>132000</v>
      </c>
      <c r="K1036" s="62">
        <f>144000-J1036</f>
        <v>12000</v>
      </c>
      <c r="L1036" s="62">
        <f t="shared" si="67"/>
        <v>144000</v>
      </c>
      <c r="M1036" s="62">
        <v>144000</v>
      </c>
    </row>
    <row r="1037" spans="1:13" ht="18" customHeight="1">
      <c r="A1037" s="270"/>
      <c r="B1037" s="271"/>
      <c r="C1037" s="271"/>
      <c r="D1037" s="271" t="s">
        <v>477</v>
      </c>
      <c r="E1037" s="271"/>
      <c r="F1037" s="272"/>
      <c r="G1037" s="273" t="s">
        <v>218</v>
      </c>
      <c r="H1037" s="275" t="s">
        <v>278</v>
      </c>
      <c r="I1037" s="190">
        <v>19800</v>
      </c>
      <c r="J1037" s="62">
        <v>17850</v>
      </c>
      <c r="K1037" s="62">
        <f>19800-J1037</f>
        <v>1950</v>
      </c>
      <c r="L1037" s="62">
        <f t="shared" si="67"/>
        <v>19800</v>
      </c>
      <c r="M1037" s="62">
        <v>19800</v>
      </c>
    </row>
    <row r="1038" spans="1:13" ht="18" customHeight="1">
      <c r="A1038" s="270"/>
      <c r="B1038" s="271"/>
      <c r="C1038" s="271"/>
      <c r="D1038" s="271" t="s">
        <v>255</v>
      </c>
      <c r="E1038" s="271"/>
      <c r="F1038" s="272"/>
      <c r="G1038" s="273" t="s">
        <v>219</v>
      </c>
      <c r="H1038" s="275" t="s">
        <v>262</v>
      </c>
      <c r="I1038" s="190">
        <v>120000</v>
      </c>
      <c r="J1038" s="62">
        <v>115000</v>
      </c>
      <c r="K1038" s="62">
        <f>120000-J1038</f>
        <v>5000</v>
      </c>
      <c r="L1038" s="62">
        <f t="shared" si="67"/>
        <v>120000</v>
      </c>
      <c r="M1038" s="62">
        <v>120000</v>
      </c>
    </row>
    <row r="1039" spans="1:13" ht="18" customHeight="1">
      <c r="A1039" s="270"/>
      <c r="B1039" s="271"/>
      <c r="C1039" s="271"/>
      <c r="D1039" s="271" t="s">
        <v>164</v>
      </c>
      <c r="E1039" s="271"/>
      <c r="F1039" s="272"/>
      <c r="G1039" s="273" t="s">
        <v>108</v>
      </c>
      <c r="H1039" s="275" t="s">
        <v>263</v>
      </c>
      <c r="I1039" s="190">
        <v>20000</v>
      </c>
      <c r="J1039" s="62">
        <v>0</v>
      </c>
      <c r="K1039" s="62">
        <f>5000-J1039</f>
        <v>5000</v>
      </c>
      <c r="L1039" s="62">
        <f t="shared" si="67"/>
        <v>5000</v>
      </c>
      <c r="M1039" s="62">
        <v>20000</v>
      </c>
    </row>
    <row r="1040" spans="1:13" ht="18" customHeight="1">
      <c r="A1040" s="270"/>
      <c r="B1040" s="271"/>
      <c r="C1040" s="271"/>
      <c r="D1040" s="271" t="s">
        <v>487</v>
      </c>
      <c r="E1040" s="271"/>
      <c r="F1040" s="272"/>
      <c r="G1040" s="273" t="s">
        <v>108</v>
      </c>
      <c r="H1040" s="275" t="s">
        <v>263</v>
      </c>
      <c r="I1040" s="190">
        <v>0</v>
      </c>
      <c r="J1040" s="62">
        <v>0</v>
      </c>
      <c r="K1040" s="62">
        <f>0-J1040</f>
        <v>0</v>
      </c>
      <c r="L1040" s="62">
        <f t="shared" si="67"/>
        <v>0</v>
      </c>
      <c r="M1040" s="62">
        <v>0</v>
      </c>
    </row>
    <row r="1041" spans="1:17" ht="18" customHeight="1">
      <c r="A1041" s="270"/>
      <c r="B1041" s="271"/>
      <c r="C1041" s="271"/>
      <c r="D1041" s="271" t="s">
        <v>475</v>
      </c>
      <c r="E1041" s="271"/>
      <c r="F1041" s="272"/>
      <c r="G1041" s="273"/>
      <c r="H1041" s="275" t="s">
        <v>263</v>
      </c>
      <c r="I1041" s="190">
        <v>220000</v>
      </c>
      <c r="J1041" s="62">
        <v>0</v>
      </c>
      <c r="K1041" s="62">
        <f>0-J1041</f>
        <v>0</v>
      </c>
      <c r="L1041" s="62">
        <f t="shared" si="67"/>
        <v>0</v>
      </c>
      <c r="M1041" s="62">
        <v>0</v>
      </c>
    </row>
    <row r="1042" spans="1:17" ht="18" customHeight="1">
      <c r="A1042" s="270"/>
      <c r="B1042" s="271"/>
      <c r="C1042" s="271"/>
      <c r="D1042" s="271" t="s">
        <v>165</v>
      </c>
      <c r="E1042" s="271"/>
      <c r="F1042" s="272"/>
      <c r="G1042" s="273" t="s">
        <v>220</v>
      </c>
      <c r="H1042" s="275" t="s">
        <v>279</v>
      </c>
      <c r="I1042" s="190">
        <v>21336</v>
      </c>
      <c r="J1042" s="62">
        <v>3556</v>
      </c>
      <c r="K1042" s="62">
        <f>21336-J1042</f>
        <v>17780</v>
      </c>
      <c r="L1042" s="62">
        <f t="shared" si="67"/>
        <v>21336</v>
      </c>
      <c r="M1042" s="62">
        <v>21336</v>
      </c>
    </row>
    <row r="1043" spans="1:17" ht="18" customHeight="1">
      <c r="A1043" s="270"/>
      <c r="B1043" s="271"/>
      <c r="C1043" s="271"/>
      <c r="D1043" s="271" t="s">
        <v>67</v>
      </c>
      <c r="E1043" s="271"/>
      <c r="F1043" s="272"/>
      <c r="G1043" s="273" t="s">
        <v>221</v>
      </c>
      <c r="H1043" s="275" t="s">
        <v>280</v>
      </c>
      <c r="I1043" s="190">
        <v>100000</v>
      </c>
      <c r="J1043" s="62">
        <v>67962.87</v>
      </c>
      <c r="K1043" s="62">
        <f>100000-J1043</f>
        <v>32037.130000000005</v>
      </c>
      <c r="L1043" s="62">
        <f t="shared" si="67"/>
        <v>100000</v>
      </c>
      <c r="M1043" s="62">
        <v>100000</v>
      </c>
    </row>
    <row r="1044" spans="1:17" ht="18" customHeight="1">
      <c r="A1044" s="270"/>
      <c r="B1044" s="271"/>
      <c r="C1044" s="271"/>
      <c r="D1044" s="271" t="s">
        <v>166</v>
      </c>
      <c r="E1044" s="271"/>
      <c r="F1044" s="272"/>
      <c r="G1044" s="273" t="s">
        <v>222</v>
      </c>
      <c r="H1044" s="275" t="s">
        <v>264</v>
      </c>
      <c r="I1044" s="190">
        <v>120000</v>
      </c>
      <c r="J1044" s="62">
        <v>115000</v>
      </c>
      <c r="K1044" s="62">
        <f>120000-J1044</f>
        <v>5000</v>
      </c>
      <c r="L1044" s="62">
        <f t="shared" si="67"/>
        <v>120000</v>
      </c>
      <c r="M1044" s="62">
        <v>120000</v>
      </c>
    </row>
    <row r="1045" spans="1:17" ht="18" customHeight="1">
      <c r="A1045" s="270"/>
      <c r="B1045" s="271"/>
      <c r="C1045" s="271"/>
      <c r="D1045" s="271" t="s">
        <v>374</v>
      </c>
      <c r="E1045" s="271"/>
      <c r="F1045" s="271"/>
      <c r="G1045" s="277" t="s">
        <v>108</v>
      </c>
      <c r="H1045" s="275" t="s">
        <v>263</v>
      </c>
      <c r="I1045" s="190">
        <v>328301</v>
      </c>
      <c r="J1045" s="62">
        <v>317484</v>
      </c>
      <c r="K1045" s="62">
        <f>340620-J1045</f>
        <v>23136</v>
      </c>
      <c r="L1045" s="62">
        <f t="shared" si="67"/>
        <v>340620</v>
      </c>
      <c r="M1045" s="62">
        <v>340223</v>
      </c>
    </row>
    <row r="1046" spans="1:17" ht="18" customHeight="1">
      <c r="A1046" s="270"/>
      <c r="B1046" s="271"/>
      <c r="C1046" s="271"/>
      <c r="D1046" s="271" t="s">
        <v>167</v>
      </c>
      <c r="E1046" s="271"/>
      <c r="F1046" s="272"/>
      <c r="G1046" s="273" t="s">
        <v>223</v>
      </c>
      <c r="H1046" s="275" t="s">
        <v>265</v>
      </c>
      <c r="I1046" s="190">
        <v>328392</v>
      </c>
      <c r="J1046" s="62">
        <v>328627</v>
      </c>
      <c r="K1046" s="62">
        <f>340713-J1046</f>
        <v>12086</v>
      </c>
      <c r="L1046" s="62">
        <f t="shared" si="67"/>
        <v>340713</v>
      </c>
      <c r="M1046" s="62">
        <v>340453</v>
      </c>
    </row>
    <row r="1047" spans="1:17" ht="18" customHeight="1">
      <c r="A1047" s="270"/>
      <c r="B1047" s="271"/>
      <c r="C1047" s="271"/>
      <c r="D1047" s="271" t="s">
        <v>249</v>
      </c>
      <c r="E1047" s="271"/>
      <c r="F1047" s="272"/>
      <c r="G1047" s="273" t="s">
        <v>224</v>
      </c>
      <c r="H1047" s="275" t="s">
        <v>266</v>
      </c>
      <c r="I1047" s="190">
        <v>474000</v>
      </c>
      <c r="J1047" s="62">
        <v>434655.48</v>
      </c>
      <c r="K1047" s="62">
        <f>491000-J1047</f>
        <v>56344.520000000019</v>
      </c>
      <c r="L1047" s="62">
        <f t="shared" si="67"/>
        <v>491000</v>
      </c>
      <c r="M1047" s="62">
        <v>491000</v>
      </c>
    </row>
    <row r="1048" spans="1:17" ht="18" customHeight="1">
      <c r="A1048" s="270"/>
      <c r="B1048" s="271"/>
      <c r="C1048" s="271"/>
      <c r="D1048" s="271" t="s">
        <v>168</v>
      </c>
      <c r="E1048" s="271"/>
      <c r="F1048" s="272"/>
      <c r="G1048" s="273" t="s">
        <v>225</v>
      </c>
      <c r="H1048" s="275" t="s">
        <v>267</v>
      </c>
      <c r="I1048" s="190">
        <v>43200</v>
      </c>
      <c r="J1048" s="62">
        <v>25700</v>
      </c>
      <c r="K1048" s="62">
        <f>43200-J1048</f>
        <v>17500</v>
      </c>
      <c r="L1048" s="62">
        <f t="shared" si="67"/>
        <v>43200</v>
      </c>
      <c r="M1048" s="62">
        <v>43200</v>
      </c>
    </row>
    <row r="1049" spans="1:17" ht="18" customHeight="1">
      <c r="A1049" s="270"/>
      <c r="B1049" s="271"/>
      <c r="C1049" s="271"/>
      <c r="D1049" s="271" t="s">
        <v>169</v>
      </c>
      <c r="E1049" s="271"/>
      <c r="F1049" s="272"/>
      <c r="G1049" s="273" t="s">
        <v>226</v>
      </c>
      <c r="H1049" s="275" t="s">
        <v>268</v>
      </c>
      <c r="I1049" s="190">
        <v>80000</v>
      </c>
      <c r="J1049" s="62">
        <v>71083.600000000006</v>
      </c>
      <c r="K1049" s="62">
        <f>92000-J1049</f>
        <v>20916.399999999994</v>
      </c>
      <c r="L1049" s="62">
        <f t="shared" si="67"/>
        <v>92000</v>
      </c>
      <c r="M1049" s="62">
        <v>102500</v>
      </c>
    </row>
    <row r="1050" spans="1:17" ht="18" customHeight="1">
      <c r="A1050" s="270"/>
      <c r="B1050" s="271"/>
      <c r="C1050" s="271"/>
      <c r="D1050" s="271" t="s">
        <v>248</v>
      </c>
      <c r="E1050" s="271"/>
      <c r="F1050" s="272"/>
      <c r="G1050" s="273" t="s">
        <v>227</v>
      </c>
      <c r="H1050" s="275" t="s">
        <v>269</v>
      </c>
      <c r="I1050" s="190">
        <v>28800</v>
      </c>
      <c r="J1050" s="62">
        <v>24700</v>
      </c>
      <c r="K1050" s="62">
        <f>28800-J1050</f>
        <v>4100</v>
      </c>
      <c r="L1050" s="62">
        <f t="shared" si="67"/>
        <v>28800</v>
      </c>
      <c r="M1050" s="62">
        <v>28800</v>
      </c>
    </row>
    <row r="1051" spans="1:17" ht="18" customHeight="1">
      <c r="A1051" s="270"/>
      <c r="B1051" s="271"/>
      <c r="C1051" s="271"/>
      <c r="D1051" s="271" t="s">
        <v>69</v>
      </c>
      <c r="E1051" s="271"/>
      <c r="F1051" s="271"/>
      <c r="G1051" s="277"/>
      <c r="H1051" s="275" t="s">
        <v>270</v>
      </c>
      <c r="I1051" s="190">
        <v>0</v>
      </c>
      <c r="J1051" s="62">
        <v>87316.36</v>
      </c>
      <c r="K1051" s="62">
        <f>87316.36-J1051</f>
        <v>0</v>
      </c>
      <c r="L1051" s="62">
        <f t="shared" si="67"/>
        <v>87316.36</v>
      </c>
      <c r="M1051" s="62">
        <v>0</v>
      </c>
    </row>
    <row r="1052" spans="1:17" ht="18" customHeight="1">
      <c r="A1052" s="270"/>
      <c r="B1052" s="271"/>
      <c r="C1052" s="271"/>
      <c r="D1052" s="271" t="s">
        <v>171</v>
      </c>
      <c r="E1052" s="271"/>
      <c r="F1052" s="272"/>
      <c r="G1052" s="273" t="s">
        <v>82</v>
      </c>
      <c r="H1052" s="275" t="s">
        <v>281</v>
      </c>
      <c r="I1052" s="190">
        <v>405000</v>
      </c>
      <c r="J1052" s="62">
        <v>0</v>
      </c>
      <c r="K1052" s="62">
        <f>389683.64-J1052</f>
        <v>389683.64</v>
      </c>
      <c r="L1052" s="62">
        <f t="shared" si="67"/>
        <v>389683.64</v>
      </c>
      <c r="M1052" s="62">
        <v>400000</v>
      </c>
    </row>
    <row r="1053" spans="1:17" ht="18" customHeight="1">
      <c r="A1053" s="270"/>
      <c r="B1053" s="271"/>
      <c r="C1053" s="271"/>
      <c r="D1053" s="271" t="s">
        <v>589</v>
      </c>
      <c r="E1053" s="271"/>
      <c r="F1053" s="272"/>
      <c r="G1053" s="273"/>
      <c r="H1053" s="275" t="s">
        <v>281</v>
      </c>
      <c r="I1053" s="190">
        <v>0</v>
      </c>
      <c r="J1053" s="62">
        <v>0</v>
      </c>
      <c r="K1053" s="62">
        <f>600000-J1053</f>
        <v>600000</v>
      </c>
      <c r="L1053" s="62">
        <f t="shared" si="67"/>
        <v>600000</v>
      </c>
      <c r="M1053" s="62">
        <v>1800000</v>
      </c>
    </row>
    <row r="1054" spans="1:17" ht="18" customHeight="1">
      <c r="A1054" s="270"/>
      <c r="B1054" s="271"/>
      <c r="C1054" s="271"/>
      <c r="D1054" s="271" t="s">
        <v>476</v>
      </c>
      <c r="E1054" s="271"/>
      <c r="F1054" s="272"/>
      <c r="G1054" s="273"/>
      <c r="H1054" s="275" t="s">
        <v>281</v>
      </c>
      <c r="I1054" s="190">
        <v>240000</v>
      </c>
      <c r="J1054" s="62">
        <v>0</v>
      </c>
      <c r="K1054" s="62">
        <f>0-J1054</f>
        <v>0</v>
      </c>
      <c r="L1054" s="62">
        <f t="shared" si="67"/>
        <v>0</v>
      </c>
      <c r="M1054" s="62">
        <v>0</v>
      </c>
    </row>
    <row r="1055" spans="1:17" ht="18" hidden="1" customHeight="1">
      <c r="A1055" s="270"/>
      <c r="B1055" s="271"/>
      <c r="C1055" s="271"/>
      <c r="D1055" s="271" t="s">
        <v>510</v>
      </c>
      <c r="E1055" s="271"/>
      <c r="F1055" s="272"/>
      <c r="G1055" s="273"/>
      <c r="H1055" s="275" t="s">
        <v>281</v>
      </c>
      <c r="I1055" s="190">
        <v>0</v>
      </c>
      <c r="J1055" s="62">
        <v>0</v>
      </c>
      <c r="K1055" s="62">
        <f>0-J1055</f>
        <v>0</v>
      </c>
      <c r="L1055" s="62">
        <f t="shared" si="67"/>
        <v>0</v>
      </c>
      <c r="M1055" s="62">
        <v>0</v>
      </c>
      <c r="Q1055" s="81"/>
    </row>
    <row r="1056" spans="1:17" ht="18" customHeight="1">
      <c r="A1056" s="270"/>
      <c r="B1056" s="271"/>
      <c r="C1056" s="271"/>
      <c r="D1056" s="271" t="s">
        <v>619</v>
      </c>
      <c r="E1056" s="271"/>
      <c r="F1056" s="272"/>
      <c r="G1056" s="273"/>
      <c r="H1056" s="275" t="s">
        <v>281</v>
      </c>
      <c r="I1056" s="190"/>
      <c r="J1056" s="62">
        <v>702500</v>
      </c>
      <c r="K1056" s="62">
        <f>702500-J1056</f>
        <v>0</v>
      </c>
      <c r="L1056" s="62">
        <f t="shared" si="67"/>
        <v>702500</v>
      </c>
      <c r="M1056" s="62"/>
      <c r="Q1056" s="81"/>
    </row>
    <row r="1057" spans="1:13" ht="18" customHeight="1">
      <c r="A1057" s="278"/>
      <c r="B1057" s="279"/>
      <c r="C1057" s="279"/>
      <c r="D1057" s="279" t="s">
        <v>68</v>
      </c>
      <c r="E1057" s="279"/>
      <c r="F1057" s="280"/>
      <c r="G1057" s="281"/>
      <c r="H1057" s="290"/>
      <c r="I1057" s="171">
        <f>SUM(I1032:I1056)</f>
        <v>7209000</v>
      </c>
      <c r="J1057" s="171">
        <f t="shared" ref="J1057:M1057" si="68">SUM(J1032:J1056)</f>
        <v>6824285.7499999991</v>
      </c>
      <c r="K1057" s="171">
        <f t="shared" si="68"/>
        <v>1485681.25</v>
      </c>
      <c r="L1057" s="171">
        <f t="shared" si="68"/>
        <v>8309967</v>
      </c>
      <c r="M1057" s="171">
        <f t="shared" si="68"/>
        <v>8751804</v>
      </c>
    </row>
    <row r="1058" spans="1:13" ht="18" customHeight="1">
      <c r="A1058" s="270"/>
      <c r="B1058" s="271" t="s">
        <v>172</v>
      </c>
      <c r="C1058" s="271"/>
      <c r="D1058" s="271"/>
      <c r="E1058" s="271"/>
      <c r="F1058" s="272"/>
      <c r="G1058" s="273"/>
      <c r="H1058" s="288"/>
      <c r="I1058" s="190"/>
      <c r="J1058" s="62"/>
      <c r="K1058" s="62"/>
      <c r="L1058" s="62"/>
      <c r="M1058" s="62"/>
    </row>
    <row r="1059" spans="1:13" ht="18" customHeight="1">
      <c r="A1059" s="270"/>
      <c r="B1059" s="271"/>
      <c r="C1059" s="271"/>
      <c r="D1059" s="271" t="s">
        <v>173</v>
      </c>
      <c r="E1059" s="271"/>
      <c r="F1059" s="272"/>
      <c r="G1059" s="273" t="s">
        <v>75</v>
      </c>
      <c r="H1059" s="275" t="s">
        <v>271</v>
      </c>
      <c r="I1059" s="190">
        <v>23050</v>
      </c>
      <c r="J1059" s="62">
        <v>27750</v>
      </c>
      <c r="K1059" s="62">
        <f>50000-J1059</f>
        <v>22250</v>
      </c>
      <c r="L1059" s="62">
        <f t="shared" ref="L1059:L1067" si="69">SUM(K1059+J1059)</f>
        <v>50000</v>
      </c>
      <c r="M1059" s="62">
        <v>50000</v>
      </c>
    </row>
    <row r="1060" spans="1:13" ht="18" customHeight="1">
      <c r="A1060" s="270"/>
      <c r="B1060" s="271"/>
      <c r="C1060" s="271"/>
      <c r="D1060" s="271" t="s">
        <v>107</v>
      </c>
      <c r="E1060" s="271"/>
      <c r="F1060" s="272"/>
      <c r="G1060" s="273" t="s">
        <v>76</v>
      </c>
      <c r="H1060" s="275" t="s">
        <v>272</v>
      </c>
      <c r="I1060" s="190">
        <v>21325</v>
      </c>
      <c r="J1060" s="62">
        <v>38382.33</v>
      </c>
      <c r="K1060" s="62">
        <f>40000-J1060</f>
        <v>1617.6699999999983</v>
      </c>
      <c r="L1060" s="62">
        <f t="shared" si="69"/>
        <v>40000</v>
      </c>
      <c r="M1060" s="62">
        <v>40000</v>
      </c>
    </row>
    <row r="1061" spans="1:13" ht="18" customHeight="1">
      <c r="A1061" s="270"/>
      <c r="B1061" s="271"/>
      <c r="C1061" s="271"/>
      <c r="D1061" s="271" t="s">
        <v>73</v>
      </c>
      <c r="E1061" s="271"/>
      <c r="F1061" s="272"/>
      <c r="G1061" s="273" t="s">
        <v>78</v>
      </c>
      <c r="H1061" s="275" t="s">
        <v>273</v>
      </c>
      <c r="I1061" s="190">
        <v>309868.05</v>
      </c>
      <c r="J1061" s="62">
        <v>374159</v>
      </c>
      <c r="K1061" s="62">
        <f>450000-J1061</f>
        <v>75841</v>
      </c>
      <c r="L1061" s="62">
        <f t="shared" si="69"/>
        <v>450000</v>
      </c>
      <c r="M1061" s="62">
        <v>550000</v>
      </c>
    </row>
    <row r="1062" spans="1:13" ht="18" hidden="1" customHeight="1">
      <c r="A1062" s="270"/>
      <c r="B1062" s="271"/>
      <c r="C1062" s="271"/>
      <c r="D1062" s="271" t="s">
        <v>72</v>
      </c>
      <c r="E1062" s="271"/>
      <c r="F1062" s="272"/>
      <c r="G1062" s="273" t="s">
        <v>240</v>
      </c>
      <c r="H1062" s="275" t="s">
        <v>314</v>
      </c>
      <c r="I1062" s="190">
        <v>0</v>
      </c>
      <c r="J1062" s="62">
        <v>0</v>
      </c>
      <c r="K1062" s="62">
        <f>0-J1062</f>
        <v>0</v>
      </c>
      <c r="L1062" s="62">
        <f t="shared" si="69"/>
        <v>0</v>
      </c>
      <c r="M1062" s="62">
        <v>0</v>
      </c>
    </row>
    <row r="1063" spans="1:13" ht="18" customHeight="1">
      <c r="A1063" s="270"/>
      <c r="B1063" s="271"/>
      <c r="C1063" s="271"/>
      <c r="D1063" s="271" t="s">
        <v>179</v>
      </c>
      <c r="E1063" s="271"/>
      <c r="F1063" s="272"/>
      <c r="G1063" s="273" t="s">
        <v>79</v>
      </c>
      <c r="H1063" s="275" t="s">
        <v>275</v>
      </c>
      <c r="I1063" s="190">
        <v>12000</v>
      </c>
      <c r="J1063" s="62">
        <v>12000</v>
      </c>
      <c r="K1063" s="62">
        <f>12000-J1063</f>
        <v>0</v>
      </c>
      <c r="L1063" s="62">
        <f t="shared" si="69"/>
        <v>12000</v>
      </c>
      <c r="M1063" s="62">
        <v>12000</v>
      </c>
    </row>
    <row r="1064" spans="1:13" ht="18" hidden="1" customHeight="1">
      <c r="A1064" s="270"/>
      <c r="B1064" s="271"/>
      <c r="C1064" s="271"/>
      <c r="D1064" s="271" t="s">
        <v>71</v>
      </c>
      <c r="E1064" s="271"/>
      <c r="F1064" s="272"/>
      <c r="G1064" s="273" t="s">
        <v>241</v>
      </c>
      <c r="H1064" s="275" t="s">
        <v>315</v>
      </c>
      <c r="I1064" s="190">
        <v>0</v>
      </c>
      <c r="J1064" s="62">
        <v>0</v>
      </c>
      <c r="K1064" s="62">
        <f>0-J1064</f>
        <v>0</v>
      </c>
      <c r="L1064" s="62">
        <f t="shared" si="69"/>
        <v>0</v>
      </c>
      <c r="M1064" s="62">
        <v>0</v>
      </c>
    </row>
    <row r="1065" spans="1:13" ht="18" customHeight="1">
      <c r="A1065" s="270"/>
      <c r="B1065" s="271"/>
      <c r="C1065" s="271"/>
      <c r="D1065" s="271" t="s">
        <v>448</v>
      </c>
      <c r="E1065" s="271"/>
      <c r="F1065" s="272"/>
      <c r="G1065" s="273"/>
      <c r="H1065" s="275" t="s">
        <v>449</v>
      </c>
      <c r="I1065" s="190">
        <v>98298.15</v>
      </c>
      <c r="J1065" s="62">
        <v>184112.13</v>
      </c>
      <c r="K1065" s="62">
        <f>371456.05-J1065</f>
        <v>187343.91999999998</v>
      </c>
      <c r="L1065" s="62">
        <f t="shared" si="69"/>
        <v>371456.05</v>
      </c>
      <c r="M1065" s="62">
        <v>276000</v>
      </c>
    </row>
    <row r="1066" spans="1:13" ht="18" customHeight="1">
      <c r="A1066" s="270"/>
      <c r="B1066" s="271"/>
      <c r="C1066" s="271"/>
      <c r="D1066" s="271" t="s">
        <v>432</v>
      </c>
      <c r="E1066" s="271"/>
      <c r="F1066" s="272"/>
      <c r="G1066" s="273" t="s">
        <v>80</v>
      </c>
      <c r="H1066" s="275" t="s">
        <v>450</v>
      </c>
      <c r="I1066" s="190">
        <v>16200</v>
      </c>
      <c r="J1066" s="62">
        <v>2400</v>
      </c>
      <c r="K1066" s="62">
        <f>40000-J1066</f>
        <v>37600</v>
      </c>
      <c r="L1066" s="62">
        <f t="shared" si="69"/>
        <v>40000</v>
      </c>
      <c r="M1066" s="62">
        <v>40000</v>
      </c>
    </row>
    <row r="1067" spans="1:13" ht="18" customHeight="1">
      <c r="A1067" s="270"/>
      <c r="B1067" s="271"/>
      <c r="C1067" s="271"/>
      <c r="D1067" s="271" t="s">
        <v>70</v>
      </c>
      <c r="E1067" s="271"/>
      <c r="F1067" s="272"/>
      <c r="G1067" s="273" t="s">
        <v>242</v>
      </c>
      <c r="H1067" s="275" t="s">
        <v>316</v>
      </c>
      <c r="I1067" s="190">
        <v>259235.24</v>
      </c>
      <c r="J1067" s="62">
        <v>259235.24</v>
      </c>
      <c r="K1067" s="62">
        <f>270000-J1067</f>
        <v>10764.760000000009</v>
      </c>
      <c r="L1067" s="62">
        <f t="shared" si="69"/>
        <v>270000</v>
      </c>
      <c r="M1067" s="62">
        <v>270000</v>
      </c>
    </row>
    <row r="1068" spans="1:13" ht="18" customHeight="1">
      <c r="A1068" s="278"/>
      <c r="B1068" s="279"/>
      <c r="C1068" s="279"/>
      <c r="D1068" s="279" t="s">
        <v>322</v>
      </c>
      <c r="E1068" s="279"/>
      <c r="F1068" s="280"/>
      <c r="G1068" s="281"/>
      <c r="H1068" s="290"/>
      <c r="I1068" s="171">
        <f>SUM(I1059:I1067)</f>
        <v>739976.44</v>
      </c>
      <c r="J1068" s="171">
        <f>SUM(J1059:J1067)</f>
        <v>898038.7</v>
      </c>
      <c r="K1068" s="171">
        <f>SUM(K1059:K1067)</f>
        <v>335417.34999999998</v>
      </c>
      <c r="L1068" s="171">
        <f>SUM(L1059:L1067)</f>
        <v>1233456.05</v>
      </c>
      <c r="M1068" s="171">
        <f>SUM(M1059:M1067)</f>
        <v>1238000</v>
      </c>
    </row>
    <row r="1069" spans="1:13" ht="18" customHeight="1">
      <c r="A1069" s="270"/>
      <c r="B1069" s="271" t="s">
        <v>186</v>
      </c>
      <c r="C1069" s="271"/>
      <c r="D1069" s="271"/>
      <c r="E1069" s="271"/>
      <c r="F1069" s="272"/>
      <c r="G1069" s="273"/>
      <c r="H1069" s="288"/>
      <c r="I1069" s="190"/>
      <c r="J1069" s="62"/>
      <c r="K1069" s="62"/>
      <c r="L1069" s="62"/>
      <c r="M1069" s="62"/>
    </row>
    <row r="1070" spans="1:13" ht="18" customHeight="1">
      <c r="A1070" s="270"/>
      <c r="B1070" s="271"/>
      <c r="C1070" s="271"/>
      <c r="D1070" s="271" t="s">
        <v>256</v>
      </c>
      <c r="E1070" s="271"/>
      <c r="F1070" s="272"/>
      <c r="G1070" s="273" t="s">
        <v>409</v>
      </c>
      <c r="H1070" s="288" t="s">
        <v>410</v>
      </c>
      <c r="I1070" s="190">
        <v>30000</v>
      </c>
      <c r="J1070" s="62">
        <v>0</v>
      </c>
      <c r="K1070" s="62">
        <f>0-J1070</f>
        <v>0</v>
      </c>
      <c r="L1070" s="62">
        <f>SUM(K1070+J1070)</f>
        <v>0</v>
      </c>
      <c r="M1070" s="62">
        <v>60000</v>
      </c>
    </row>
    <row r="1071" spans="1:13" ht="18" customHeight="1">
      <c r="A1071" s="270"/>
      <c r="B1071" s="271"/>
      <c r="C1071" s="271"/>
      <c r="D1071" s="271" t="s">
        <v>416</v>
      </c>
      <c r="E1071" s="271"/>
      <c r="F1071" s="272"/>
      <c r="G1071" s="273" t="s">
        <v>430</v>
      </c>
      <c r="H1071" s="275" t="s">
        <v>417</v>
      </c>
      <c r="I1071" s="190">
        <v>0</v>
      </c>
      <c r="J1071" s="62">
        <v>0</v>
      </c>
      <c r="K1071" s="62">
        <f>100000-J1071</f>
        <v>100000</v>
      </c>
      <c r="L1071" s="62">
        <f>SUM(K1071+J1071)</f>
        <v>100000</v>
      </c>
      <c r="M1071" s="62">
        <v>0</v>
      </c>
    </row>
    <row r="1072" spans="1:13" ht="18" customHeight="1">
      <c r="A1072" s="270"/>
      <c r="B1072" s="271"/>
      <c r="C1072" s="271"/>
      <c r="D1072" s="271" t="s">
        <v>493</v>
      </c>
      <c r="E1072" s="271"/>
      <c r="F1072" s="272"/>
      <c r="G1072" s="273"/>
      <c r="H1072" s="275" t="s">
        <v>453</v>
      </c>
      <c r="I1072" s="190">
        <v>177950</v>
      </c>
      <c r="J1072" s="62">
        <v>0</v>
      </c>
      <c r="K1072" s="62">
        <f>0-J1072</f>
        <v>0</v>
      </c>
      <c r="L1072" s="62">
        <f>SUM(K1072+J1072)</f>
        <v>0</v>
      </c>
      <c r="M1072" s="62">
        <v>0</v>
      </c>
    </row>
    <row r="1073" spans="1:15" ht="18" hidden="1" customHeight="1">
      <c r="A1073" s="270"/>
      <c r="B1073" s="271"/>
      <c r="C1073" s="271"/>
      <c r="D1073" s="271" t="s">
        <v>482</v>
      </c>
      <c r="E1073" s="271"/>
      <c r="F1073" s="272"/>
      <c r="G1073" s="273"/>
      <c r="H1073" s="275" t="s">
        <v>418</v>
      </c>
      <c r="I1073" s="190">
        <v>0</v>
      </c>
      <c r="J1073" s="62">
        <v>0</v>
      </c>
      <c r="K1073" s="62">
        <f t="shared" ref="K1073:K1074" si="70">0-J1073</f>
        <v>0</v>
      </c>
      <c r="L1073" s="62">
        <f>SUM(K1073+J1073)</f>
        <v>0</v>
      </c>
      <c r="M1073" s="62">
        <v>0</v>
      </c>
    </row>
    <row r="1074" spans="1:15" ht="18" hidden="1" customHeight="1">
      <c r="A1074" s="270"/>
      <c r="B1074" s="271"/>
      <c r="C1074" s="271"/>
      <c r="D1074" s="271" t="s">
        <v>483</v>
      </c>
      <c r="E1074" s="271"/>
      <c r="F1074" s="272"/>
      <c r="G1074" s="273"/>
      <c r="H1074" s="275" t="s">
        <v>484</v>
      </c>
      <c r="I1074" s="190">
        <v>0</v>
      </c>
      <c r="J1074" s="62">
        <v>0</v>
      </c>
      <c r="K1074" s="62">
        <f t="shared" si="70"/>
        <v>0</v>
      </c>
      <c r="L1074" s="62">
        <f>SUM(K1074+J1074)</f>
        <v>0</v>
      </c>
      <c r="M1074" s="62">
        <v>0</v>
      </c>
    </row>
    <row r="1075" spans="1:15" ht="18" customHeight="1">
      <c r="A1075" s="278"/>
      <c r="B1075" s="279"/>
      <c r="C1075" s="279"/>
      <c r="D1075" s="279" t="s">
        <v>366</v>
      </c>
      <c r="E1075" s="279"/>
      <c r="F1075" s="280"/>
      <c r="G1075" s="281"/>
      <c r="H1075" s="290"/>
      <c r="I1075" s="171">
        <f>SUM(I1070:I1074)</f>
        <v>207950</v>
      </c>
      <c r="J1075" s="171">
        <f>SUM(J1070:J1074)</f>
        <v>0</v>
      </c>
      <c r="K1075" s="171">
        <f>SUM(K1070:K1074)</f>
        <v>100000</v>
      </c>
      <c r="L1075" s="171">
        <f>SUM(L1070:L1074)</f>
        <v>100000</v>
      </c>
      <c r="M1075" s="171">
        <f>SUM(M1070:M1074)</f>
        <v>60000</v>
      </c>
    </row>
    <row r="1076" spans="1:15" s="64" customFormat="1" ht="18" hidden="1" customHeight="1">
      <c r="A1076" s="292"/>
      <c r="B1076" s="293" t="s">
        <v>48</v>
      </c>
      <c r="C1076" s="294"/>
      <c r="D1076" s="294"/>
      <c r="E1076" s="294"/>
      <c r="F1076" s="295"/>
      <c r="G1076" s="296"/>
      <c r="H1076" s="297"/>
      <c r="I1076" s="203"/>
      <c r="J1076" s="204"/>
      <c r="K1076" s="204"/>
      <c r="L1076" s="204"/>
      <c r="M1076" s="204"/>
      <c r="O1076" s="234"/>
    </row>
    <row r="1077" spans="1:15" s="82" customFormat="1" ht="18" hidden="1" customHeight="1">
      <c r="A1077" s="298"/>
      <c r="B1077" s="299"/>
      <c r="C1077" s="299"/>
      <c r="D1077" s="294" t="s">
        <v>439</v>
      </c>
      <c r="E1077" s="299"/>
      <c r="F1077" s="300"/>
      <c r="G1077" s="301"/>
      <c r="H1077" s="302"/>
      <c r="I1077" s="205">
        <v>0</v>
      </c>
      <c r="J1077" s="206"/>
      <c r="K1077" s="207">
        <f>-J1077</f>
        <v>0</v>
      </c>
      <c r="L1077" s="207">
        <f>SUM(K1077+J1077)</f>
        <v>0</v>
      </c>
      <c r="M1077" s="206">
        <v>0</v>
      </c>
      <c r="O1077" s="239"/>
    </row>
    <row r="1078" spans="1:15" s="89" customFormat="1" ht="18" customHeight="1">
      <c r="A1078" s="211" t="s">
        <v>244</v>
      </c>
      <c r="B1078" s="212"/>
      <c r="C1078" s="212"/>
      <c r="D1078" s="212"/>
      <c r="E1078" s="212"/>
      <c r="F1078" s="213"/>
      <c r="G1078" s="214"/>
      <c r="H1078" s="215"/>
      <c r="I1078" s="216">
        <f>SUM(I1075+I1068+I1057+I1077)</f>
        <v>8156926.4399999995</v>
      </c>
      <c r="J1078" s="216">
        <f>SUM(J1075+J1068+J1057+J1077)</f>
        <v>7722324.4499999993</v>
      </c>
      <c r="K1078" s="216">
        <f>SUM(K1075+K1068+K1057+K1077)</f>
        <v>1921098.6</v>
      </c>
      <c r="L1078" s="216">
        <f>SUM(L1075+L1068+L1057+L1077)</f>
        <v>9643423.0500000007</v>
      </c>
      <c r="M1078" s="216">
        <f>SUM(M1075+M1068+M1057+M1077)</f>
        <v>10049804</v>
      </c>
      <c r="O1078" s="240"/>
    </row>
    <row r="1079" spans="1:15" ht="18" customHeight="1">
      <c r="A1079" s="66" t="s">
        <v>244</v>
      </c>
      <c r="B1079" s="67"/>
      <c r="C1079" s="67"/>
      <c r="D1079" s="67"/>
      <c r="E1079" s="67"/>
      <c r="F1079" s="68"/>
      <c r="G1079" s="69"/>
      <c r="H1079" s="78"/>
      <c r="I1079" s="70">
        <f>SUM(I1076+I1069+I1055+I1078)</f>
        <v>8156926.4399999995</v>
      </c>
      <c r="J1079" s="70">
        <f>SUM(J1076+J1069+J1055+J1078)</f>
        <v>7722324.4499999993</v>
      </c>
      <c r="K1079" s="70">
        <f>SUM(K1076+K1069+K1055+K1078)</f>
        <v>1921098.6</v>
      </c>
      <c r="L1079" s="70">
        <f>SUM(L1076+L1069+L1055+L1078)</f>
        <v>9643423.0500000007</v>
      </c>
      <c r="M1079" s="70">
        <f>SUM(M1076+M1069+M1055+M1078)</f>
        <v>10049804</v>
      </c>
    </row>
    <row r="1080" spans="1:15" ht="18" customHeight="1">
      <c r="A1080" s="54"/>
      <c r="B1080" s="71"/>
      <c r="C1080" s="54"/>
      <c r="D1080" s="54"/>
      <c r="E1080" s="54"/>
      <c r="F1080" s="54"/>
      <c r="G1080" s="54"/>
      <c r="H1080" s="135"/>
      <c r="I1080" s="135"/>
      <c r="J1080" s="72"/>
      <c r="K1080" s="72"/>
      <c r="L1080" s="72"/>
      <c r="M1080" s="72"/>
    </row>
    <row r="1081" spans="1:15" s="361" customFormat="1" ht="18" customHeight="1">
      <c r="A1081" s="368"/>
      <c r="B1081" s="368"/>
      <c r="C1081" s="368"/>
      <c r="D1081" s="368"/>
      <c r="E1081" s="368"/>
      <c r="F1081" s="368"/>
      <c r="G1081" s="368"/>
      <c r="H1081" s="368"/>
      <c r="I1081" s="368"/>
      <c r="J1081" s="368"/>
      <c r="K1081" s="368"/>
      <c r="L1081" s="368"/>
      <c r="M1081" s="368"/>
      <c r="O1081" s="236"/>
    </row>
    <row r="1082" spans="1:15" s="367" customFormat="1" ht="20.100000000000001" customHeight="1">
      <c r="A1082" s="368" t="s">
        <v>556</v>
      </c>
      <c r="B1082" s="368"/>
      <c r="C1082" s="368"/>
      <c r="D1082" s="368"/>
      <c r="E1082" s="368"/>
      <c r="F1082" s="368"/>
      <c r="G1082" s="368"/>
      <c r="H1082" s="368"/>
      <c r="I1082" s="368"/>
      <c r="J1082" s="368"/>
      <c r="K1082" s="368"/>
      <c r="L1082" s="368"/>
      <c r="M1082" s="368"/>
      <c r="O1082" s="238"/>
    </row>
    <row r="1083" spans="1:15" s="52" customFormat="1" ht="18" customHeight="1">
      <c r="A1083" s="362"/>
      <c r="B1083" s="363"/>
      <c r="C1083" s="362"/>
      <c r="D1083" s="362"/>
      <c r="E1083" s="362"/>
      <c r="F1083" s="364"/>
      <c r="G1083" s="362"/>
      <c r="H1083" s="365"/>
      <c r="I1083" s="365"/>
      <c r="J1083" s="361"/>
      <c r="K1083" s="136"/>
      <c r="L1083" s="136"/>
      <c r="M1083" s="72"/>
      <c r="O1083" s="236"/>
    </row>
    <row r="1084" spans="1:15" s="52" customFormat="1" ht="18" customHeight="1">
      <c r="A1084" s="139" t="s">
        <v>245</v>
      </c>
      <c r="B1084" s="139"/>
      <c r="C1084" s="361"/>
      <c r="D1084" s="139"/>
      <c r="E1084" s="139"/>
      <c r="F1084" s="361"/>
      <c r="G1084" s="139"/>
      <c r="H1084" s="139"/>
      <c r="I1084" s="139" t="s">
        <v>246</v>
      </c>
      <c r="J1084" s="139"/>
      <c r="K1084" s="139"/>
      <c r="L1084" s="139" t="s">
        <v>43</v>
      </c>
      <c r="M1084" s="139"/>
      <c r="O1084" s="236"/>
    </row>
    <row r="1085" spans="1:15" s="52" customFormat="1" ht="18" customHeight="1">
      <c r="A1085" s="51"/>
      <c r="B1085" s="50"/>
      <c r="D1085" s="51"/>
      <c r="E1085" s="51"/>
      <c r="G1085" s="51"/>
      <c r="I1085" s="51"/>
      <c r="J1085" s="135"/>
      <c r="K1085" s="76"/>
      <c r="L1085" s="75"/>
      <c r="M1085" s="136"/>
      <c r="O1085" s="236"/>
    </row>
    <row r="1086" spans="1:15" s="52" customFormat="1" ht="18" customHeight="1">
      <c r="A1086" s="529" t="s">
        <v>460</v>
      </c>
      <c r="B1086" s="529"/>
      <c r="C1086" s="529"/>
      <c r="D1086" s="529"/>
      <c r="E1086" s="529"/>
      <c r="F1086" s="529"/>
      <c r="G1086" s="50"/>
      <c r="H1086" s="73"/>
      <c r="I1086" s="529" t="s">
        <v>12</v>
      </c>
      <c r="J1086" s="529"/>
      <c r="K1086" s="74"/>
      <c r="L1086" s="529" t="s">
        <v>460</v>
      </c>
      <c r="M1086" s="529"/>
      <c r="O1086" s="236"/>
    </row>
    <row r="1087" spans="1:15" s="52" customFormat="1" ht="18" customHeight="1">
      <c r="A1087" s="517" t="s">
        <v>557</v>
      </c>
      <c r="B1087" s="517"/>
      <c r="C1087" s="517"/>
      <c r="D1087" s="517"/>
      <c r="E1087" s="517"/>
      <c r="F1087" s="517"/>
      <c r="G1087" s="33"/>
      <c r="H1087" s="33"/>
      <c r="I1087" s="518" t="s">
        <v>558</v>
      </c>
      <c r="J1087" s="518"/>
      <c r="K1087" s="33"/>
      <c r="L1087" s="517" t="s">
        <v>559</v>
      </c>
      <c r="M1087" s="517"/>
      <c r="O1087" s="236"/>
    </row>
    <row r="1088" spans="1:15" s="52" customFormat="1" ht="18" customHeight="1">
      <c r="A1088" s="51"/>
      <c r="B1088" s="50"/>
      <c r="C1088" s="51"/>
      <c r="D1088" s="51"/>
      <c r="E1088" s="51"/>
      <c r="F1088" s="75"/>
      <c r="G1088" s="51"/>
      <c r="H1088" s="135"/>
      <c r="I1088" s="135"/>
      <c r="K1088" s="136"/>
      <c r="L1088" s="136"/>
      <c r="M1088" s="72"/>
      <c r="O1088" s="236"/>
    </row>
    <row r="1089" spans="1:15" s="52" customFormat="1" ht="18" customHeight="1">
      <c r="A1089" s="51"/>
      <c r="B1089" s="50"/>
      <c r="C1089" s="51"/>
      <c r="D1089" s="51"/>
      <c r="E1089" s="51"/>
      <c r="F1089" s="75"/>
      <c r="G1089" s="51"/>
      <c r="H1089" s="135"/>
      <c r="I1089" s="135"/>
      <c r="K1089" s="136"/>
      <c r="L1089" s="136"/>
      <c r="M1089" s="72"/>
      <c r="O1089" s="236"/>
    </row>
    <row r="1090" spans="1:15" s="52" customFormat="1" ht="18" customHeight="1">
      <c r="A1090" s="51"/>
      <c r="B1090" s="50"/>
      <c r="C1090" s="51"/>
      <c r="D1090" s="51"/>
      <c r="E1090" s="51"/>
      <c r="F1090" s="75"/>
      <c r="G1090" s="51"/>
      <c r="H1090" s="135"/>
      <c r="I1090" s="72"/>
      <c r="J1090" s="72"/>
      <c r="K1090" s="72"/>
      <c r="L1090" s="72"/>
      <c r="M1090" s="72"/>
      <c r="O1090" s="236"/>
    </row>
    <row r="1091" spans="1:15" s="52" customFormat="1" ht="18" customHeight="1">
      <c r="A1091" s="51"/>
      <c r="B1091" s="50"/>
      <c r="C1091" s="51"/>
      <c r="D1091" s="51"/>
      <c r="E1091" s="51"/>
      <c r="F1091" s="75"/>
      <c r="G1091" s="51"/>
      <c r="H1091" s="135"/>
      <c r="I1091" s="455">
        <f>I1079+I1013</f>
        <v>239468122.21000001</v>
      </c>
      <c r="J1091" s="455">
        <f t="shared" ref="J1091:L1091" si="71">J1079+J1013</f>
        <v>203132797.52000001</v>
      </c>
      <c r="K1091" s="455">
        <f>K1079+K1013</f>
        <v>26580984.004000001</v>
      </c>
      <c r="L1091" s="455">
        <f t="shared" si="71"/>
        <v>229713781.52399999</v>
      </c>
      <c r="M1091" s="455">
        <f>M1079+M1013</f>
        <v>228805607.45999998</v>
      </c>
      <c r="O1091" s="236"/>
    </row>
    <row r="1092" spans="1:15" s="83" customFormat="1" ht="18" customHeight="1">
      <c r="A1092" s="456"/>
      <c r="B1092" s="456"/>
      <c r="C1092" s="456"/>
      <c r="D1092" s="456"/>
      <c r="E1092" s="456"/>
      <c r="F1092" s="457"/>
      <c r="G1092" s="456"/>
      <c r="H1092" s="458"/>
      <c r="I1092" s="459"/>
      <c r="J1092" s="459"/>
      <c r="K1092" s="459"/>
      <c r="L1092" s="459"/>
      <c r="M1092" s="459"/>
      <c r="O1092" s="37"/>
    </row>
    <row r="1093" spans="1:15" s="83" customFormat="1" ht="18" customHeight="1">
      <c r="A1093" s="456"/>
      <c r="B1093" s="456"/>
      <c r="C1093" s="456"/>
      <c r="D1093" s="456"/>
      <c r="E1093" s="456"/>
      <c r="F1093" s="457"/>
      <c r="G1093" s="456"/>
      <c r="H1093" s="458"/>
      <c r="I1093" s="459">
        <f t="shared" ref="I1093:L1093" si="72">I1079+I1013</f>
        <v>239468122.21000001</v>
      </c>
      <c r="J1093" s="459">
        <f t="shared" si="72"/>
        <v>203132797.52000001</v>
      </c>
      <c r="K1093" s="459">
        <f t="shared" si="72"/>
        <v>26580984.004000001</v>
      </c>
      <c r="L1093" s="459">
        <f t="shared" si="72"/>
        <v>229713781.52399999</v>
      </c>
      <c r="M1093" s="459">
        <f>M1079+M1013</f>
        <v>228805607.45999998</v>
      </c>
      <c r="O1093" s="37"/>
    </row>
    <row r="1094" spans="1:15" s="83" customFormat="1" ht="18" customHeight="1">
      <c r="A1094" s="456"/>
      <c r="B1094" s="456"/>
      <c r="C1094" s="456"/>
      <c r="D1094" s="456"/>
      <c r="E1094" s="456"/>
      <c r="F1094" s="457"/>
      <c r="G1094" s="456"/>
      <c r="H1094" s="458"/>
      <c r="I1094" s="459">
        <f>I1093-I1091</f>
        <v>0</v>
      </c>
      <c r="J1094" s="459">
        <f t="shared" ref="J1094:M1094" si="73">J1093-J1091</f>
        <v>0</v>
      </c>
      <c r="K1094" s="459">
        <f t="shared" si="73"/>
        <v>0</v>
      </c>
      <c r="L1094" s="459">
        <f t="shared" si="73"/>
        <v>0</v>
      </c>
      <c r="M1094" s="459">
        <f t="shared" si="73"/>
        <v>0</v>
      </c>
      <c r="O1094" s="37"/>
    </row>
    <row r="1095" spans="1:15" s="83" customFormat="1" ht="18" customHeight="1">
      <c r="I1095" s="84"/>
      <c r="J1095" s="84"/>
      <c r="K1095" s="84"/>
      <c r="L1095" s="84"/>
      <c r="M1095" s="84"/>
      <c r="O1095" s="37"/>
    </row>
    <row r="1096" spans="1:15" ht="18" customHeight="1">
      <c r="H1096" s="53"/>
      <c r="I1096" s="244"/>
      <c r="J1096" s="244"/>
      <c r="K1096" s="244"/>
      <c r="L1096" s="244"/>
      <c r="M1096" s="244"/>
    </row>
    <row r="1097" spans="1:15" ht="18" customHeight="1">
      <c r="H1097" s="53"/>
    </row>
    <row r="1098" spans="1:15" ht="18" customHeight="1">
      <c r="H1098" s="53"/>
    </row>
    <row r="1099" spans="1:15" ht="18" customHeight="1">
      <c r="H1099" s="53"/>
    </row>
    <row r="1100" spans="1:15" ht="18" customHeight="1">
      <c r="H1100" s="53"/>
    </row>
    <row r="1101" spans="1:15" ht="18" customHeight="1">
      <c r="H1101" s="53"/>
    </row>
    <row r="1102" spans="1:15" ht="18" customHeight="1">
      <c r="H1102" s="53"/>
    </row>
    <row r="1103" spans="1:15" ht="18" customHeight="1">
      <c r="H1103" s="53"/>
    </row>
    <row r="1104" spans="1:15" ht="18" customHeight="1">
      <c r="H1104" s="53"/>
    </row>
    <row r="1105" spans="8:13" ht="18" customHeight="1">
      <c r="H1105" s="53"/>
    </row>
    <row r="1106" spans="8:13" ht="18" customHeight="1">
      <c r="H1106" s="53"/>
    </row>
    <row r="1107" spans="8:13" ht="18" customHeight="1">
      <c r="H1107" s="53"/>
    </row>
    <row r="1108" spans="8:13" ht="18" customHeight="1">
      <c r="H1108" s="53"/>
      <c r="I1108" s="53"/>
      <c r="J1108" s="53"/>
      <c r="K1108" s="53"/>
      <c r="L1108" s="53"/>
      <c r="M1108" s="53"/>
    </row>
    <row r="1109" spans="8:13" ht="18" customHeight="1">
      <c r="H1109" s="53"/>
      <c r="I1109" s="53"/>
      <c r="J1109" s="53"/>
      <c r="K1109" s="53"/>
      <c r="L1109" s="53"/>
      <c r="M1109" s="53"/>
    </row>
    <row r="1110" spans="8:13" ht="18" customHeight="1">
      <c r="H1110" s="53"/>
      <c r="I1110" s="53"/>
      <c r="J1110" s="53"/>
      <c r="K1110" s="53"/>
      <c r="L1110" s="53"/>
      <c r="M1110" s="53"/>
    </row>
    <row r="1111" spans="8:13" ht="18" customHeight="1">
      <c r="H1111" s="53"/>
      <c r="I1111" s="53"/>
      <c r="J1111" s="53"/>
      <c r="K1111" s="53"/>
      <c r="L1111" s="53"/>
      <c r="M1111" s="53"/>
    </row>
    <row r="1112" spans="8:13" ht="18" customHeight="1">
      <c r="H1112" s="53"/>
      <c r="I1112" s="53"/>
      <c r="J1112" s="53"/>
      <c r="K1112" s="53"/>
      <c r="L1112" s="53"/>
      <c r="M1112" s="53"/>
    </row>
    <row r="1113" spans="8:13" ht="18" customHeight="1">
      <c r="H1113" s="53"/>
      <c r="I1113" s="53"/>
      <c r="J1113" s="53"/>
      <c r="K1113" s="53"/>
      <c r="L1113" s="53"/>
      <c r="M1113" s="53"/>
    </row>
    <row r="1114" spans="8:13" ht="18" customHeight="1">
      <c r="H1114" s="53"/>
      <c r="I1114" s="53"/>
      <c r="J1114" s="53"/>
      <c r="K1114" s="53"/>
      <c r="L1114" s="53"/>
      <c r="M1114" s="53"/>
    </row>
    <row r="1115" spans="8:13" ht="18" customHeight="1">
      <c r="H1115" s="53"/>
      <c r="I1115" s="53"/>
      <c r="J1115" s="53"/>
      <c r="K1115" s="53"/>
      <c r="L1115" s="53"/>
      <c r="M1115" s="53"/>
    </row>
    <row r="1116" spans="8:13" ht="18" customHeight="1">
      <c r="H1116" s="53"/>
      <c r="I1116" s="53"/>
      <c r="J1116" s="53"/>
      <c r="K1116" s="53"/>
      <c r="L1116" s="53"/>
      <c r="M1116" s="53"/>
    </row>
    <row r="1117" spans="8:13" ht="18" customHeight="1">
      <c r="H1117" s="53"/>
      <c r="I1117" s="53"/>
      <c r="J1117" s="53"/>
      <c r="K1117" s="53"/>
      <c r="L1117" s="53"/>
      <c r="M1117" s="53"/>
    </row>
    <row r="1118" spans="8:13" ht="18" customHeight="1">
      <c r="H1118" s="53"/>
      <c r="I1118" s="53"/>
      <c r="J1118" s="53"/>
      <c r="K1118" s="53"/>
      <c r="L1118" s="53"/>
      <c r="M1118" s="53"/>
    </row>
    <row r="1119" spans="8:13" ht="18" customHeight="1">
      <c r="H1119" s="53"/>
      <c r="I1119" s="53"/>
      <c r="J1119" s="53"/>
      <c r="K1119" s="53"/>
      <c r="L1119" s="53"/>
      <c r="M1119" s="53"/>
    </row>
    <row r="1120" spans="8:13" ht="18" customHeight="1">
      <c r="H1120" s="53"/>
      <c r="I1120" s="53"/>
      <c r="J1120" s="53"/>
      <c r="K1120" s="53"/>
      <c r="L1120" s="53"/>
      <c r="M1120" s="53"/>
    </row>
    <row r="1121" spans="8:13" ht="18" customHeight="1">
      <c r="H1121" s="53"/>
      <c r="I1121" s="53"/>
      <c r="J1121" s="53"/>
      <c r="K1121" s="53"/>
      <c r="L1121" s="53"/>
      <c r="M1121" s="53"/>
    </row>
    <row r="1122" spans="8:13" ht="18" customHeight="1">
      <c r="H1122" s="53"/>
      <c r="I1122" s="53"/>
      <c r="J1122" s="53"/>
      <c r="K1122" s="53"/>
      <c r="L1122" s="53"/>
      <c r="M1122" s="53"/>
    </row>
    <row r="1123" spans="8:13" ht="18" customHeight="1">
      <c r="H1123" s="53"/>
      <c r="I1123" s="53"/>
      <c r="J1123" s="53"/>
      <c r="K1123" s="53"/>
      <c r="L1123" s="53"/>
      <c r="M1123" s="53"/>
    </row>
    <row r="1124" spans="8:13" ht="18" customHeight="1">
      <c r="H1124" s="53"/>
      <c r="I1124" s="53"/>
      <c r="J1124" s="53"/>
      <c r="K1124" s="53"/>
      <c r="L1124" s="53"/>
      <c r="M1124" s="53"/>
    </row>
    <row r="1125" spans="8:13" ht="18" customHeight="1">
      <c r="H1125" s="53"/>
      <c r="I1125" s="53"/>
      <c r="J1125" s="53"/>
      <c r="K1125" s="53"/>
      <c r="L1125" s="53"/>
      <c r="M1125" s="53"/>
    </row>
    <row r="1126" spans="8:13" ht="18" customHeight="1">
      <c r="H1126" s="53"/>
      <c r="I1126" s="53"/>
      <c r="J1126" s="53"/>
      <c r="K1126" s="53"/>
      <c r="L1126" s="53"/>
      <c r="M1126" s="53"/>
    </row>
    <row r="1127" spans="8:13" ht="18" customHeight="1">
      <c r="H1127" s="53"/>
      <c r="I1127" s="53"/>
      <c r="J1127" s="53"/>
      <c r="K1127" s="53"/>
      <c r="L1127" s="53"/>
      <c r="M1127" s="53"/>
    </row>
    <row r="1128" spans="8:13" ht="18" customHeight="1">
      <c r="H1128" s="53"/>
      <c r="I1128" s="53"/>
      <c r="J1128" s="53"/>
      <c r="K1128" s="53"/>
      <c r="L1128" s="53"/>
      <c r="M1128" s="53"/>
    </row>
    <row r="1129" spans="8:13" ht="18" customHeight="1">
      <c r="H1129" s="53"/>
      <c r="I1129" s="53"/>
      <c r="J1129" s="53"/>
      <c r="K1129" s="53"/>
      <c r="L1129" s="53"/>
      <c r="M1129" s="53"/>
    </row>
    <row r="1130" spans="8:13" ht="18" customHeight="1">
      <c r="H1130" s="53"/>
      <c r="I1130" s="53"/>
      <c r="J1130" s="53"/>
      <c r="K1130" s="53"/>
      <c r="L1130" s="53"/>
      <c r="M1130" s="53"/>
    </row>
    <row r="1131" spans="8:13" ht="18" customHeight="1">
      <c r="H1131" s="53"/>
      <c r="I1131" s="53"/>
      <c r="J1131" s="53"/>
      <c r="K1131" s="53"/>
      <c r="L1131" s="53"/>
      <c r="M1131" s="53"/>
    </row>
    <row r="1132" spans="8:13" ht="18" customHeight="1">
      <c r="H1132" s="53"/>
      <c r="I1132" s="53"/>
      <c r="J1132" s="53"/>
      <c r="K1132" s="53"/>
      <c r="L1132" s="53"/>
      <c r="M1132" s="53"/>
    </row>
    <row r="1133" spans="8:13" ht="18" customHeight="1">
      <c r="H1133" s="53"/>
      <c r="I1133" s="53"/>
      <c r="J1133" s="53"/>
      <c r="K1133" s="53"/>
      <c r="L1133" s="53"/>
      <c r="M1133" s="53"/>
    </row>
    <row r="1134" spans="8:13" ht="18" customHeight="1">
      <c r="H1134" s="53"/>
      <c r="I1134" s="53"/>
      <c r="J1134" s="53"/>
      <c r="K1134" s="53"/>
      <c r="L1134" s="53"/>
      <c r="M1134" s="53"/>
    </row>
    <row r="1135" spans="8:13" ht="18" customHeight="1">
      <c r="H1135" s="53"/>
      <c r="I1135" s="53"/>
      <c r="J1135" s="53"/>
      <c r="K1135" s="53"/>
      <c r="L1135" s="53"/>
      <c r="M1135" s="53"/>
    </row>
    <row r="1136" spans="8:13" ht="18" customHeight="1">
      <c r="H1136" s="53"/>
      <c r="I1136" s="53"/>
      <c r="J1136" s="53"/>
      <c r="K1136" s="53"/>
      <c r="L1136" s="53"/>
      <c r="M1136" s="53"/>
    </row>
    <row r="1137" spans="8:13" ht="18" customHeight="1">
      <c r="H1137" s="53"/>
      <c r="I1137" s="53"/>
      <c r="J1137" s="53"/>
      <c r="K1137" s="53"/>
      <c r="L1137" s="53"/>
      <c r="M1137" s="53"/>
    </row>
    <row r="1138" spans="8:13" ht="18" customHeight="1">
      <c r="H1138" s="53"/>
      <c r="I1138" s="53"/>
      <c r="J1138" s="53"/>
      <c r="K1138" s="53"/>
      <c r="L1138" s="53"/>
      <c r="M1138" s="53"/>
    </row>
    <row r="1139" spans="8:13" ht="18" customHeight="1">
      <c r="H1139" s="53"/>
      <c r="I1139" s="53"/>
      <c r="J1139" s="53"/>
      <c r="K1139" s="53"/>
      <c r="L1139" s="53"/>
      <c r="M1139" s="53"/>
    </row>
    <row r="1140" spans="8:13" ht="18" customHeight="1">
      <c r="H1140" s="53"/>
      <c r="I1140" s="53"/>
      <c r="J1140" s="53"/>
      <c r="K1140" s="53"/>
      <c r="L1140" s="53"/>
      <c r="M1140" s="53"/>
    </row>
    <row r="1141" spans="8:13" ht="18" customHeight="1">
      <c r="H1141" s="53"/>
      <c r="I1141" s="53"/>
      <c r="J1141" s="53"/>
      <c r="K1141" s="53"/>
      <c r="L1141" s="53"/>
      <c r="M1141" s="53"/>
    </row>
    <row r="1142" spans="8:13" ht="18" customHeight="1">
      <c r="H1142" s="53"/>
      <c r="I1142" s="53"/>
      <c r="J1142" s="53"/>
      <c r="K1142" s="53"/>
      <c r="L1142" s="53"/>
      <c r="M1142" s="53"/>
    </row>
    <row r="1143" spans="8:13" ht="18" customHeight="1">
      <c r="H1143" s="53"/>
      <c r="I1143" s="53"/>
      <c r="J1143" s="53"/>
      <c r="K1143" s="53"/>
      <c r="L1143" s="53"/>
      <c r="M1143" s="53"/>
    </row>
    <row r="1144" spans="8:13" ht="18" customHeight="1">
      <c r="H1144" s="53"/>
      <c r="I1144" s="53"/>
      <c r="J1144" s="53"/>
      <c r="K1144" s="53"/>
      <c r="L1144" s="53"/>
      <c r="M1144" s="53"/>
    </row>
    <row r="1145" spans="8:13" ht="18" customHeight="1">
      <c r="H1145" s="53"/>
      <c r="I1145" s="53"/>
      <c r="J1145" s="53"/>
      <c r="K1145" s="53"/>
      <c r="L1145" s="53"/>
      <c r="M1145" s="53"/>
    </row>
    <row r="1146" spans="8:13" ht="18" customHeight="1">
      <c r="H1146" s="53"/>
      <c r="I1146" s="53"/>
      <c r="J1146" s="53"/>
      <c r="K1146" s="53"/>
      <c r="L1146" s="53"/>
      <c r="M1146" s="53"/>
    </row>
    <row r="1147" spans="8:13" ht="18" customHeight="1">
      <c r="H1147" s="53"/>
      <c r="I1147" s="53"/>
      <c r="J1147" s="53"/>
      <c r="K1147" s="53"/>
      <c r="L1147" s="53"/>
      <c r="M1147" s="53"/>
    </row>
    <row r="1148" spans="8:13" ht="18" customHeight="1">
      <c r="H1148" s="53"/>
      <c r="I1148" s="53"/>
      <c r="J1148" s="53"/>
      <c r="K1148" s="53"/>
      <c r="L1148" s="53"/>
      <c r="M1148" s="53"/>
    </row>
    <row r="1149" spans="8:13" ht="18" customHeight="1">
      <c r="H1149" s="53"/>
      <c r="I1149" s="53"/>
      <c r="J1149" s="53"/>
      <c r="K1149" s="53"/>
      <c r="L1149" s="53"/>
      <c r="M1149" s="53"/>
    </row>
    <row r="1150" spans="8:13" ht="18" customHeight="1">
      <c r="H1150" s="53"/>
      <c r="I1150" s="53"/>
      <c r="J1150" s="53"/>
      <c r="K1150" s="53"/>
      <c r="L1150" s="53"/>
      <c r="M1150" s="53"/>
    </row>
    <row r="1151" spans="8:13" ht="18" customHeight="1">
      <c r="H1151" s="53"/>
      <c r="I1151" s="53"/>
      <c r="J1151" s="53"/>
      <c r="K1151" s="53"/>
      <c r="L1151" s="53"/>
      <c r="M1151" s="53"/>
    </row>
    <row r="1152" spans="8:13" ht="18" customHeight="1">
      <c r="H1152" s="53"/>
      <c r="I1152" s="53"/>
      <c r="J1152" s="53"/>
      <c r="K1152" s="53"/>
      <c r="L1152" s="53"/>
      <c r="M1152" s="53"/>
    </row>
    <row r="1153" spans="8:13" ht="18" customHeight="1">
      <c r="H1153" s="53"/>
      <c r="I1153" s="53"/>
      <c r="J1153" s="53"/>
      <c r="K1153" s="53"/>
      <c r="L1153" s="53"/>
      <c r="M1153" s="53"/>
    </row>
    <row r="1154" spans="8:13" ht="18" customHeight="1">
      <c r="H1154" s="53"/>
      <c r="I1154" s="53"/>
      <c r="J1154" s="53"/>
      <c r="K1154" s="53"/>
      <c r="L1154" s="53"/>
      <c r="M1154" s="53"/>
    </row>
    <row r="1155" spans="8:13" ht="18" customHeight="1">
      <c r="H1155" s="53"/>
      <c r="I1155" s="53"/>
      <c r="J1155" s="53"/>
      <c r="K1155" s="53"/>
      <c r="L1155" s="53"/>
      <c r="M1155" s="53"/>
    </row>
    <row r="1156" spans="8:13" ht="18" customHeight="1">
      <c r="H1156" s="53"/>
      <c r="I1156" s="53"/>
      <c r="J1156" s="53"/>
      <c r="K1156" s="53"/>
      <c r="L1156" s="53"/>
      <c r="M1156" s="53"/>
    </row>
    <row r="1157" spans="8:13" ht="18" customHeight="1">
      <c r="H1157" s="53"/>
      <c r="I1157" s="53"/>
      <c r="J1157" s="53"/>
      <c r="K1157" s="53"/>
      <c r="L1157" s="53"/>
      <c r="M1157" s="53"/>
    </row>
    <row r="1158" spans="8:13" ht="18" customHeight="1">
      <c r="H1158" s="53"/>
      <c r="I1158" s="53"/>
      <c r="J1158" s="53"/>
      <c r="K1158" s="53"/>
      <c r="L1158" s="53"/>
      <c r="M1158" s="53"/>
    </row>
    <row r="1159" spans="8:13" ht="18" customHeight="1">
      <c r="H1159" s="53"/>
      <c r="I1159" s="53"/>
      <c r="J1159" s="53"/>
      <c r="K1159" s="53"/>
      <c r="L1159" s="53"/>
      <c r="M1159" s="53"/>
    </row>
    <row r="1160" spans="8:13" ht="18" customHeight="1">
      <c r="H1160" s="53"/>
      <c r="I1160" s="53"/>
      <c r="J1160" s="53"/>
      <c r="K1160" s="53"/>
      <c r="L1160" s="53"/>
      <c r="M1160" s="53"/>
    </row>
    <row r="1161" spans="8:13" ht="18" customHeight="1">
      <c r="H1161" s="53"/>
      <c r="I1161" s="53"/>
      <c r="J1161" s="53"/>
      <c r="K1161" s="53"/>
      <c r="L1161" s="53"/>
      <c r="M1161" s="53"/>
    </row>
    <row r="1162" spans="8:13" ht="18" customHeight="1">
      <c r="H1162" s="53"/>
      <c r="I1162" s="53"/>
      <c r="J1162" s="53"/>
      <c r="K1162" s="53"/>
      <c r="L1162" s="53"/>
      <c r="M1162" s="53"/>
    </row>
    <row r="1163" spans="8:13" ht="18" customHeight="1">
      <c r="H1163" s="53"/>
      <c r="I1163" s="53"/>
      <c r="J1163" s="53"/>
      <c r="K1163" s="53"/>
      <c r="L1163" s="53"/>
      <c r="M1163" s="53"/>
    </row>
    <row r="1164" spans="8:13" ht="18" customHeight="1">
      <c r="H1164" s="53"/>
      <c r="I1164" s="53"/>
      <c r="J1164" s="53"/>
      <c r="K1164" s="53"/>
      <c r="L1164" s="53"/>
      <c r="M1164" s="53"/>
    </row>
    <row r="1165" spans="8:13" ht="18" customHeight="1">
      <c r="H1165" s="53"/>
      <c r="I1165" s="53"/>
      <c r="J1165" s="53"/>
      <c r="K1165" s="53"/>
      <c r="L1165" s="53"/>
      <c r="M1165" s="53"/>
    </row>
    <row r="1166" spans="8:13" ht="18" customHeight="1">
      <c r="H1166" s="53"/>
      <c r="I1166" s="53"/>
      <c r="J1166" s="53"/>
      <c r="K1166" s="53"/>
      <c r="L1166" s="53"/>
      <c r="M1166" s="53"/>
    </row>
    <row r="1167" spans="8:13" ht="18" customHeight="1">
      <c r="H1167" s="53"/>
      <c r="I1167" s="53"/>
      <c r="J1167" s="53"/>
      <c r="K1167" s="53"/>
      <c r="L1167" s="53"/>
      <c r="M1167" s="53"/>
    </row>
    <row r="1168" spans="8:13" ht="18" customHeight="1">
      <c r="H1168" s="53"/>
      <c r="I1168" s="53"/>
      <c r="J1168" s="53"/>
      <c r="K1168" s="53"/>
      <c r="L1168" s="53"/>
      <c r="M1168" s="53"/>
    </row>
    <row r="1169" spans="8:13" ht="18" customHeight="1">
      <c r="H1169" s="53"/>
      <c r="I1169" s="53"/>
      <c r="J1169" s="53"/>
      <c r="K1169" s="53"/>
      <c r="L1169" s="53"/>
      <c r="M1169" s="53"/>
    </row>
    <row r="1170" spans="8:13" ht="18" customHeight="1">
      <c r="H1170" s="53"/>
      <c r="I1170" s="53"/>
      <c r="J1170" s="53"/>
      <c r="K1170" s="53"/>
      <c r="L1170" s="53"/>
      <c r="M1170" s="53"/>
    </row>
    <row r="1171" spans="8:13" ht="18" customHeight="1">
      <c r="H1171" s="53"/>
      <c r="I1171" s="53"/>
      <c r="J1171" s="53"/>
      <c r="K1171" s="53"/>
      <c r="L1171" s="53"/>
      <c r="M1171" s="53"/>
    </row>
    <row r="1172" spans="8:13" ht="18" customHeight="1">
      <c r="H1172" s="53"/>
      <c r="I1172" s="53"/>
      <c r="J1172" s="53"/>
      <c r="K1172" s="53"/>
      <c r="L1172" s="53"/>
      <c r="M1172" s="53"/>
    </row>
    <row r="1173" spans="8:13" ht="18" customHeight="1">
      <c r="H1173" s="53"/>
      <c r="I1173" s="53"/>
      <c r="J1173" s="53"/>
      <c r="K1173" s="53"/>
      <c r="L1173" s="53"/>
      <c r="M1173" s="53"/>
    </row>
    <row r="1174" spans="8:13" ht="18" customHeight="1">
      <c r="H1174" s="53"/>
      <c r="I1174" s="53"/>
      <c r="J1174" s="53"/>
      <c r="K1174" s="53"/>
      <c r="L1174" s="53"/>
      <c r="M1174" s="53"/>
    </row>
    <row r="1175" spans="8:13" ht="18" customHeight="1">
      <c r="H1175" s="53"/>
      <c r="I1175" s="53"/>
      <c r="J1175" s="53"/>
      <c r="K1175" s="53"/>
      <c r="L1175" s="53"/>
      <c r="M1175" s="53"/>
    </row>
    <row r="1176" spans="8:13" ht="18" customHeight="1">
      <c r="H1176" s="53"/>
      <c r="I1176" s="53"/>
      <c r="J1176" s="53"/>
      <c r="K1176" s="53"/>
      <c r="L1176" s="53"/>
      <c r="M1176" s="53"/>
    </row>
    <row r="1177" spans="8:13" ht="18" customHeight="1">
      <c r="H1177" s="53"/>
      <c r="I1177" s="53"/>
      <c r="J1177" s="53"/>
      <c r="K1177" s="53"/>
      <c r="L1177" s="53"/>
      <c r="M1177" s="53"/>
    </row>
    <row r="1178" spans="8:13" ht="18" customHeight="1">
      <c r="H1178" s="53"/>
      <c r="I1178" s="53"/>
      <c r="J1178" s="53"/>
      <c r="K1178" s="53"/>
      <c r="L1178" s="53"/>
      <c r="M1178" s="53"/>
    </row>
    <row r="1179" spans="8:13" ht="18" customHeight="1">
      <c r="H1179" s="53"/>
      <c r="I1179" s="53"/>
      <c r="J1179" s="53"/>
      <c r="K1179" s="53"/>
      <c r="L1179" s="53"/>
      <c r="M1179" s="53"/>
    </row>
    <row r="1180" spans="8:13" ht="18" customHeight="1">
      <c r="H1180" s="53"/>
      <c r="I1180" s="53"/>
      <c r="J1180" s="53"/>
      <c r="K1180" s="53"/>
      <c r="L1180" s="53"/>
      <c r="M1180" s="53"/>
    </row>
    <row r="1181" spans="8:13" ht="18" customHeight="1">
      <c r="H1181" s="53"/>
      <c r="I1181" s="53"/>
      <c r="J1181" s="53"/>
      <c r="K1181" s="53"/>
      <c r="L1181" s="53"/>
      <c r="M1181" s="53"/>
    </row>
    <row r="1182" spans="8:13" ht="18" customHeight="1">
      <c r="H1182" s="53"/>
      <c r="I1182" s="53"/>
      <c r="J1182" s="53"/>
      <c r="K1182" s="53"/>
      <c r="L1182" s="53"/>
      <c r="M1182" s="53"/>
    </row>
    <row r="1183" spans="8:13" ht="18" customHeight="1">
      <c r="H1183" s="53"/>
      <c r="I1183" s="53"/>
      <c r="J1183" s="53"/>
      <c r="K1183" s="53"/>
      <c r="L1183" s="53"/>
      <c r="M1183" s="53"/>
    </row>
    <row r="1184" spans="8:13" ht="18" customHeight="1">
      <c r="H1184" s="53"/>
      <c r="I1184" s="53"/>
      <c r="J1184" s="53"/>
      <c r="K1184" s="53"/>
      <c r="L1184" s="53"/>
      <c r="M1184" s="53"/>
    </row>
    <row r="1185" spans="8:13" ht="18" customHeight="1">
      <c r="H1185" s="53"/>
      <c r="I1185" s="53"/>
      <c r="J1185" s="53"/>
      <c r="K1185" s="53"/>
      <c r="L1185" s="53"/>
      <c r="M1185" s="53"/>
    </row>
    <row r="1186" spans="8:13" ht="18" customHeight="1">
      <c r="H1186" s="53"/>
      <c r="I1186" s="53"/>
      <c r="J1186" s="53"/>
      <c r="K1186" s="53"/>
      <c r="L1186" s="53"/>
      <c r="M1186" s="53"/>
    </row>
    <row r="1187" spans="8:13" ht="18" customHeight="1">
      <c r="H1187" s="53"/>
      <c r="I1187" s="53"/>
      <c r="J1187" s="53"/>
      <c r="K1187" s="53"/>
      <c r="L1187" s="53"/>
      <c r="M1187" s="53"/>
    </row>
    <row r="1188" spans="8:13" ht="18" customHeight="1">
      <c r="H1188" s="53"/>
      <c r="I1188" s="53"/>
      <c r="J1188" s="53"/>
      <c r="K1188" s="53"/>
      <c r="L1188" s="53"/>
      <c r="M1188" s="53"/>
    </row>
    <row r="1189" spans="8:13" ht="18" customHeight="1">
      <c r="H1189" s="53"/>
      <c r="I1189" s="53"/>
      <c r="J1189" s="53"/>
      <c r="K1189" s="53"/>
      <c r="L1189" s="53"/>
      <c r="M1189" s="53"/>
    </row>
    <row r="1190" spans="8:13" ht="18" customHeight="1">
      <c r="H1190" s="53"/>
      <c r="I1190" s="53"/>
      <c r="J1190" s="53"/>
      <c r="K1190" s="53"/>
      <c r="L1190" s="53"/>
      <c r="M1190" s="53"/>
    </row>
    <row r="1191" spans="8:13" ht="18" customHeight="1">
      <c r="H1191" s="53"/>
      <c r="I1191" s="53"/>
      <c r="J1191" s="53"/>
      <c r="K1191" s="53"/>
      <c r="L1191" s="53"/>
      <c r="M1191" s="53"/>
    </row>
    <row r="1192" spans="8:13" ht="18" customHeight="1">
      <c r="H1192" s="53"/>
      <c r="I1192" s="53"/>
      <c r="J1192" s="53"/>
      <c r="K1192" s="53"/>
      <c r="L1192" s="53"/>
      <c r="M1192" s="53"/>
    </row>
    <row r="1193" spans="8:13" ht="18" customHeight="1">
      <c r="H1193" s="53"/>
      <c r="I1193" s="53"/>
      <c r="J1193" s="53"/>
      <c r="K1193" s="53"/>
      <c r="L1193" s="53"/>
      <c r="M1193" s="53"/>
    </row>
    <row r="1194" spans="8:13" ht="18" customHeight="1">
      <c r="H1194" s="53"/>
      <c r="I1194" s="53"/>
      <c r="J1194" s="53"/>
      <c r="K1194" s="53"/>
      <c r="L1194" s="53"/>
      <c r="M1194" s="53"/>
    </row>
    <row r="1195" spans="8:13" ht="18" customHeight="1">
      <c r="H1195" s="53"/>
      <c r="I1195" s="53"/>
      <c r="J1195" s="53"/>
      <c r="K1195" s="53"/>
      <c r="L1195" s="53"/>
      <c r="M1195" s="53"/>
    </row>
    <row r="1196" spans="8:13" ht="18" customHeight="1">
      <c r="H1196" s="53"/>
      <c r="I1196" s="53"/>
      <c r="J1196" s="53"/>
      <c r="K1196" s="53"/>
      <c r="L1196" s="53"/>
      <c r="M1196" s="53"/>
    </row>
    <row r="1197" spans="8:13" ht="18" customHeight="1">
      <c r="H1197" s="53"/>
      <c r="I1197" s="53"/>
      <c r="J1197" s="53"/>
      <c r="K1197" s="53"/>
      <c r="L1197" s="53"/>
      <c r="M1197" s="53"/>
    </row>
    <row r="1198" spans="8:13" ht="18" customHeight="1">
      <c r="H1198" s="53"/>
      <c r="I1198" s="53"/>
      <c r="J1198" s="53"/>
      <c r="K1198" s="53"/>
      <c r="L1198" s="53"/>
      <c r="M1198" s="53"/>
    </row>
    <row r="1199" spans="8:13" ht="18" customHeight="1">
      <c r="H1199" s="53"/>
      <c r="I1199" s="53"/>
      <c r="J1199" s="53"/>
      <c r="K1199" s="53"/>
      <c r="L1199" s="53"/>
      <c r="M1199" s="53"/>
    </row>
    <row r="1200" spans="8:13" ht="18" customHeight="1">
      <c r="H1200" s="53"/>
      <c r="I1200" s="53"/>
      <c r="J1200" s="53"/>
      <c r="K1200" s="53"/>
      <c r="L1200" s="53"/>
      <c r="M1200" s="53"/>
    </row>
    <row r="1201" spans="8:13" ht="18" customHeight="1">
      <c r="H1201" s="53"/>
      <c r="I1201" s="53"/>
      <c r="J1201" s="53"/>
      <c r="K1201" s="53"/>
      <c r="L1201" s="53"/>
      <c r="M1201" s="53"/>
    </row>
    <row r="1202" spans="8:13" ht="18" customHeight="1">
      <c r="H1202" s="53"/>
      <c r="I1202" s="53"/>
      <c r="J1202" s="53"/>
      <c r="K1202" s="53"/>
      <c r="L1202" s="53"/>
      <c r="M1202" s="53"/>
    </row>
    <row r="1203" spans="8:13" ht="18" customHeight="1">
      <c r="H1203" s="53"/>
      <c r="I1203" s="53"/>
      <c r="J1203" s="53"/>
      <c r="K1203" s="53"/>
      <c r="L1203" s="53"/>
      <c r="M1203" s="53"/>
    </row>
    <row r="1204" spans="8:13" ht="18" customHeight="1">
      <c r="H1204" s="53"/>
      <c r="I1204" s="53"/>
      <c r="J1204" s="53"/>
      <c r="K1204" s="53"/>
      <c r="L1204" s="53"/>
      <c r="M1204" s="53"/>
    </row>
    <row r="1205" spans="8:13" ht="18" customHeight="1">
      <c r="H1205" s="53"/>
      <c r="I1205" s="53"/>
      <c r="J1205" s="53"/>
      <c r="K1205" s="53"/>
      <c r="L1205" s="53"/>
      <c r="M1205" s="53"/>
    </row>
    <row r="1206" spans="8:13" ht="18" customHeight="1">
      <c r="H1206" s="53"/>
      <c r="I1206" s="53"/>
      <c r="J1206" s="53"/>
      <c r="K1206" s="53"/>
      <c r="L1206" s="53"/>
      <c r="M1206" s="53"/>
    </row>
    <row r="1207" spans="8:13" ht="18" customHeight="1">
      <c r="H1207" s="53"/>
      <c r="I1207" s="53"/>
      <c r="J1207" s="53"/>
      <c r="K1207" s="53"/>
      <c r="L1207" s="53"/>
      <c r="M1207" s="53"/>
    </row>
    <row r="1208" spans="8:13" ht="18" customHeight="1">
      <c r="H1208" s="53"/>
      <c r="I1208" s="53"/>
      <c r="J1208" s="53"/>
      <c r="K1208" s="53"/>
      <c r="L1208" s="53"/>
      <c r="M1208" s="53"/>
    </row>
    <row r="1209" spans="8:13" ht="18" customHeight="1">
      <c r="H1209" s="53"/>
      <c r="I1209" s="53"/>
      <c r="J1209" s="53"/>
      <c r="K1209" s="53"/>
      <c r="L1209" s="53"/>
      <c r="M1209" s="53"/>
    </row>
    <row r="1210" spans="8:13" ht="18" customHeight="1">
      <c r="H1210" s="53"/>
      <c r="I1210" s="53"/>
      <c r="J1210" s="53"/>
      <c r="K1210" s="53"/>
      <c r="L1210" s="53"/>
      <c r="M1210" s="53"/>
    </row>
    <row r="1211" spans="8:13" ht="18" customHeight="1">
      <c r="H1211" s="53"/>
      <c r="I1211" s="53"/>
      <c r="J1211" s="53"/>
      <c r="K1211" s="53"/>
      <c r="L1211" s="53"/>
      <c r="M1211" s="53"/>
    </row>
    <row r="1212" spans="8:13" ht="18" customHeight="1">
      <c r="H1212" s="53"/>
      <c r="I1212" s="53"/>
      <c r="J1212" s="53"/>
      <c r="K1212" s="53"/>
      <c r="L1212" s="53"/>
      <c r="M1212" s="53"/>
    </row>
    <row r="1213" spans="8:13" ht="18" customHeight="1">
      <c r="H1213" s="53"/>
      <c r="I1213" s="53"/>
      <c r="J1213" s="53"/>
      <c r="K1213" s="53"/>
      <c r="L1213" s="53"/>
      <c r="M1213" s="53"/>
    </row>
    <row r="1214" spans="8:13" ht="18" customHeight="1">
      <c r="H1214" s="53"/>
      <c r="I1214" s="53"/>
      <c r="J1214" s="53"/>
      <c r="K1214" s="53"/>
      <c r="L1214" s="53"/>
      <c r="M1214" s="53"/>
    </row>
    <row r="1215" spans="8:13" ht="18" customHeight="1">
      <c r="H1215" s="53"/>
      <c r="I1215" s="53"/>
      <c r="J1215" s="53"/>
      <c r="K1215" s="53"/>
      <c r="L1215" s="53"/>
      <c r="M1215" s="53"/>
    </row>
    <row r="1216" spans="8:13" ht="18" customHeight="1">
      <c r="H1216" s="53"/>
      <c r="I1216" s="53"/>
      <c r="J1216" s="53"/>
      <c r="K1216" s="53"/>
      <c r="L1216" s="53"/>
      <c r="M1216" s="53"/>
    </row>
    <row r="1217" spans="8:13" ht="18" customHeight="1">
      <c r="H1217" s="53"/>
      <c r="I1217" s="53"/>
      <c r="J1217" s="53"/>
      <c r="K1217" s="53"/>
      <c r="L1217" s="53"/>
      <c r="M1217" s="53"/>
    </row>
    <row r="1218" spans="8:13" ht="18" customHeight="1">
      <c r="H1218" s="53"/>
      <c r="I1218" s="53"/>
      <c r="J1218" s="53"/>
      <c r="K1218" s="53"/>
      <c r="L1218" s="53"/>
      <c r="M1218" s="53"/>
    </row>
    <row r="1219" spans="8:13" ht="18" customHeight="1">
      <c r="H1219" s="53"/>
      <c r="I1219" s="53"/>
      <c r="J1219" s="53"/>
      <c r="K1219" s="53"/>
      <c r="L1219" s="53"/>
      <c r="M1219" s="53"/>
    </row>
    <row r="1220" spans="8:13" ht="18" customHeight="1">
      <c r="H1220" s="53"/>
      <c r="I1220" s="53"/>
      <c r="J1220" s="53"/>
      <c r="K1220" s="53"/>
      <c r="L1220" s="53"/>
      <c r="M1220" s="53"/>
    </row>
    <row r="1221" spans="8:13" ht="18" customHeight="1">
      <c r="H1221" s="53"/>
      <c r="I1221" s="53"/>
      <c r="J1221" s="53"/>
      <c r="K1221" s="53"/>
      <c r="L1221" s="53"/>
      <c r="M1221" s="53"/>
    </row>
    <row r="1222" spans="8:13" ht="18" customHeight="1">
      <c r="H1222" s="53"/>
      <c r="I1222" s="53"/>
      <c r="J1222" s="53"/>
      <c r="K1222" s="53"/>
      <c r="L1222" s="53"/>
      <c r="M1222" s="53"/>
    </row>
    <row r="1223" spans="8:13" ht="18" customHeight="1">
      <c r="H1223" s="53"/>
      <c r="I1223" s="53"/>
      <c r="J1223" s="53"/>
      <c r="K1223" s="53"/>
      <c r="L1223" s="53"/>
      <c r="M1223" s="53"/>
    </row>
    <row r="1224" spans="8:13" ht="18" customHeight="1">
      <c r="H1224" s="53"/>
      <c r="I1224" s="53"/>
      <c r="J1224" s="53"/>
      <c r="K1224" s="53"/>
      <c r="L1224" s="53"/>
      <c r="M1224" s="53"/>
    </row>
    <row r="1225" spans="8:13" ht="18" customHeight="1">
      <c r="H1225" s="53"/>
      <c r="I1225" s="53"/>
      <c r="J1225" s="53"/>
      <c r="K1225" s="53"/>
      <c r="L1225" s="53"/>
      <c r="M1225" s="53"/>
    </row>
    <row r="1226" spans="8:13" ht="18" customHeight="1">
      <c r="H1226" s="53"/>
      <c r="I1226" s="53"/>
      <c r="J1226" s="53"/>
      <c r="K1226" s="53"/>
      <c r="L1226" s="53"/>
      <c r="M1226" s="53"/>
    </row>
    <row r="1227" spans="8:13" ht="18" customHeight="1">
      <c r="H1227" s="53"/>
      <c r="I1227" s="53"/>
      <c r="J1227" s="53"/>
      <c r="K1227" s="53"/>
      <c r="L1227" s="53"/>
      <c r="M1227" s="53"/>
    </row>
    <row r="1228" spans="8:13" ht="18" customHeight="1">
      <c r="H1228" s="53"/>
      <c r="I1228" s="53"/>
      <c r="J1228" s="53"/>
      <c r="K1228" s="53"/>
      <c r="L1228" s="53"/>
      <c r="M1228" s="53"/>
    </row>
    <row r="1229" spans="8:13" ht="18" customHeight="1">
      <c r="H1229" s="53"/>
      <c r="I1229" s="53"/>
      <c r="J1229" s="53"/>
      <c r="K1229" s="53"/>
      <c r="L1229" s="53"/>
      <c r="M1229" s="53"/>
    </row>
    <row r="1230" spans="8:13" ht="18" customHeight="1">
      <c r="H1230" s="53"/>
      <c r="I1230" s="53"/>
      <c r="J1230" s="53"/>
      <c r="K1230" s="53"/>
      <c r="L1230" s="53"/>
      <c r="M1230" s="53"/>
    </row>
    <row r="1231" spans="8:13" ht="18" customHeight="1">
      <c r="H1231" s="53"/>
      <c r="I1231" s="53"/>
      <c r="J1231" s="53"/>
      <c r="K1231" s="53"/>
      <c r="L1231" s="53"/>
      <c r="M1231" s="53"/>
    </row>
    <row r="1232" spans="8:13" ht="18" customHeight="1">
      <c r="H1232" s="53"/>
      <c r="I1232" s="53"/>
      <c r="J1232" s="53"/>
      <c r="K1232" s="53"/>
      <c r="L1232" s="53"/>
      <c r="M1232" s="53"/>
    </row>
    <row r="1233" spans="8:13" ht="18" customHeight="1">
      <c r="H1233" s="53"/>
      <c r="I1233" s="53"/>
      <c r="J1233" s="53"/>
      <c r="K1233" s="53"/>
      <c r="L1233" s="53"/>
      <c r="M1233" s="53"/>
    </row>
    <row r="1234" spans="8:13" ht="18" customHeight="1">
      <c r="H1234" s="53"/>
      <c r="I1234" s="53"/>
      <c r="J1234" s="53"/>
      <c r="K1234" s="53"/>
      <c r="L1234" s="53"/>
      <c r="M1234" s="53"/>
    </row>
    <row r="1235" spans="8:13" ht="18" customHeight="1">
      <c r="H1235" s="53"/>
      <c r="I1235" s="53"/>
      <c r="J1235" s="53"/>
      <c r="K1235" s="53"/>
      <c r="L1235" s="53"/>
      <c r="M1235" s="53"/>
    </row>
    <row r="1236" spans="8:13" ht="18" customHeight="1">
      <c r="H1236" s="53"/>
      <c r="I1236" s="53"/>
      <c r="J1236" s="53"/>
      <c r="K1236" s="53"/>
      <c r="L1236" s="53"/>
      <c r="M1236" s="53"/>
    </row>
    <row r="1237" spans="8:13" ht="18" customHeight="1">
      <c r="H1237" s="53"/>
      <c r="I1237" s="53"/>
      <c r="J1237" s="53"/>
      <c r="K1237" s="53"/>
      <c r="L1237" s="53"/>
      <c r="M1237" s="53"/>
    </row>
    <row r="1238" spans="8:13" ht="18" customHeight="1">
      <c r="H1238" s="53"/>
      <c r="I1238" s="53"/>
      <c r="J1238" s="53"/>
      <c r="K1238" s="53"/>
      <c r="L1238" s="53"/>
      <c r="M1238" s="53"/>
    </row>
    <row r="1239" spans="8:13" ht="18" customHeight="1">
      <c r="H1239" s="53"/>
      <c r="I1239" s="53"/>
      <c r="J1239" s="53"/>
      <c r="K1239" s="53"/>
      <c r="L1239" s="53"/>
      <c r="M1239" s="53"/>
    </row>
    <row r="1240" spans="8:13" ht="18" customHeight="1">
      <c r="H1240" s="53"/>
      <c r="I1240" s="53"/>
      <c r="J1240" s="53"/>
      <c r="K1240" s="53"/>
      <c r="L1240" s="53"/>
      <c r="M1240" s="53"/>
    </row>
    <row r="1241" spans="8:13" ht="18" customHeight="1">
      <c r="H1241" s="53"/>
      <c r="I1241" s="53"/>
      <c r="J1241" s="53"/>
      <c r="K1241" s="53"/>
      <c r="L1241" s="53"/>
      <c r="M1241" s="53"/>
    </row>
    <row r="1242" spans="8:13" ht="18" customHeight="1">
      <c r="H1242" s="53"/>
      <c r="I1242" s="53"/>
      <c r="J1242" s="53"/>
      <c r="K1242" s="53"/>
      <c r="L1242" s="53"/>
      <c r="M1242" s="53"/>
    </row>
    <row r="1243" spans="8:13" ht="18" customHeight="1">
      <c r="H1243" s="53"/>
      <c r="I1243" s="53"/>
      <c r="J1243" s="53"/>
      <c r="K1243" s="53"/>
      <c r="L1243" s="53"/>
      <c r="M1243" s="53"/>
    </row>
    <row r="1244" spans="8:13" ht="18" customHeight="1">
      <c r="H1244" s="53"/>
      <c r="I1244" s="53"/>
      <c r="J1244" s="53"/>
      <c r="K1244" s="53"/>
      <c r="L1244" s="53"/>
      <c r="M1244" s="53"/>
    </row>
    <row r="1245" spans="8:13" ht="18" customHeight="1">
      <c r="H1245" s="53"/>
      <c r="I1245" s="53"/>
      <c r="J1245" s="53"/>
      <c r="K1245" s="53"/>
      <c r="L1245" s="53"/>
      <c r="M1245" s="53"/>
    </row>
    <row r="1246" spans="8:13" ht="18" customHeight="1">
      <c r="H1246" s="53"/>
      <c r="I1246" s="53"/>
      <c r="J1246" s="53"/>
      <c r="K1246" s="53"/>
      <c r="L1246" s="53"/>
      <c r="M1246" s="53"/>
    </row>
    <row r="1247" spans="8:13" ht="18" customHeight="1">
      <c r="H1247" s="53"/>
      <c r="I1247" s="53"/>
      <c r="J1247" s="53"/>
      <c r="K1247" s="53"/>
      <c r="L1247" s="53"/>
      <c r="M1247" s="53"/>
    </row>
    <row r="1248" spans="8:13" ht="18" customHeight="1">
      <c r="H1248" s="53"/>
      <c r="I1248" s="53"/>
      <c r="J1248" s="53"/>
      <c r="K1248" s="53"/>
      <c r="L1248" s="53"/>
      <c r="M1248" s="53"/>
    </row>
    <row r="1249" spans="8:13" ht="18" customHeight="1">
      <c r="H1249" s="53"/>
      <c r="I1249" s="53"/>
      <c r="J1249" s="53"/>
      <c r="K1249" s="53"/>
      <c r="L1249" s="53"/>
      <c r="M1249" s="53"/>
    </row>
    <row r="1250" spans="8:13" ht="18" customHeight="1">
      <c r="H1250" s="53"/>
      <c r="I1250" s="53"/>
      <c r="J1250" s="53"/>
      <c r="K1250" s="53"/>
      <c r="L1250" s="53"/>
      <c r="M1250" s="53"/>
    </row>
    <row r="1251" spans="8:13" ht="18" customHeight="1">
      <c r="H1251" s="53"/>
      <c r="I1251" s="53"/>
      <c r="J1251" s="53"/>
      <c r="K1251" s="53"/>
      <c r="L1251" s="53"/>
      <c r="M1251" s="53"/>
    </row>
    <row r="1252" spans="8:13" ht="18" customHeight="1">
      <c r="H1252" s="53"/>
      <c r="I1252" s="53"/>
      <c r="J1252" s="53"/>
      <c r="K1252" s="53"/>
      <c r="L1252" s="53"/>
      <c r="M1252" s="53"/>
    </row>
    <row r="1253" spans="8:13" ht="18" customHeight="1">
      <c r="H1253" s="53"/>
      <c r="I1253" s="53"/>
      <c r="J1253" s="53"/>
      <c r="K1253" s="53"/>
      <c r="L1253" s="53"/>
      <c r="M1253" s="53"/>
    </row>
    <row r="1254" spans="8:13" ht="18" customHeight="1">
      <c r="H1254" s="53"/>
      <c r="I1254" s="53"/>
      <c r="J1254" s="53"/>
      <c r="K1254" s="53"/>
      <c r="L1254" s="53"/>
      <c r="M1254" s="53"/>
    </row>
    <row r="1255" spans="8:13" ht="18" customHeight="1">
      <c r="H1255" s="53"/>
      <c r="I1255" s="53"/>
      <c r="J1255" s="53"/>
      <c r="K1255" s="53"/>
      <c r="L1255" s="53"/>
      <c r="M1255" s="53"/>
    </row>
    <row r="1256" spans="8:13" ht="18" customHeight="1">
      <c r="H1256" s="53"/>
      <c r="I1256" s="53"/>
      <c r="J1256" s="53"/>
      <c r="K1256" s="53"/>
      <c r="L1256" s="53"/>
      <c r="M1256" s="53"/>
    </row>
    <row r="1257" spans="8:13" ht="18" customHeight="1">
      <c r="H1257" s="53"/>
      <c r="I1257" s="53"/>
      <c r="J1257" s="53"/>
      <c r="K1257" s="53"/>
      <c r="L1257" s="53"/>
      <c r="M1257" s="53"/>
    </row>
    <row r="1258" spans="8:13" ht="18" customHeight="1">
      <c r="H1258" s="53"/>
      <c r="I1258" s="53"/>
      <c r="J1258" s="53"/>
      <c r="K1258" s="53"/>
      <c r="L1258" s="53"/>
      <c r="M1258" s="53"/>
    </row>
    <row r="1259" spans="8:13" ht="18" customHeight="1">
      <c r="H1259" s="53"/>
      <c r="I1259" s="53"/>
      <c r="J1259" s="53"/>
      <c r="K1259" s="53"/>
      <c r="L1259" s="53"/>
      <c r="M1259" s="53"/>
    </row>
    <row r="1260" spans="8:13" ht="18" customHeight="1">
      <c r="H1260" s="53"/>
      <c r="I1260" s="53"/>
      <c r="J1260" s="53"/>
      <c r="K1260" s="53"/>
      <c r="L1260" s="53"/>
      <c r="M1260" s="53"/>
    </row>
    <row r="1261" spans="8:13" ht="18" customHeight="1">
      <c r="H1261" s="53"/>
      <c r="I1261" s="53"/>
      <c r="J1261" s="53"/>
      <c r="K1261" s="53"/>
      <c r="L1261" s="53"/>
      <c r="M1261" s="53"/>
    </row>
    <row r="1262" spans="8:13" ht="18" customHeight="1">
      <c r="H1262" s="53"/>
      <c r="I1262" s="53"/>
      <c r="J1262" s="53"/>
      <c r="K1262" s="53"/>
      <c r="L1262" s="53"/>
      <c r="M1262" s="53"/>
    </row>
    <row r="1263" spans="8:13" ht="18" customHeight="1">
      <c r="H1263" s="53"/>
      <c r="I1263" s="53"/>
      <c r="J1263" s="53"/>
      <c r="K1263" s="53"/>
      <c r="L1263" s="53"/>
      <c r="M1263" s="53"/>
    </row>
    <row r="1264" spans="8:13" ht="18" customHeight="1">
      <c r="H1264" s="53"/>
      <c r="I1264" s="53"/>
      <c r="J1264" s="53"/>
      <c r="K1264" s="53"/>
      <c r="L1264" s="53"/>
      <c r="M1264" s="53"/>
    </row>
    <row r="1265" spans="8:13" ht="18" customHeight="1">
      <c r="H1265" s="53"/>
      <c r="I1265" s="53"/>
      <c r="J1265" s="53"/>
      <c r="K1265" s="53"/>
      <c r="L1265" s="53"/>
      <c r="M1265" s="53"/>
    </row>
    <row r="1266" spans="8:13" ht="18" customHeight="1">
      <c r="H1266" s="53"/>
      <c r="I1266" s="53"/>
      <c r="J1266" s="53"/>
      <c r="K1266" s="53"/>
      <c r="L1266" s="53"/>
      <c r="M1266" s="53"/>
    </row>
    <row r="1267" spans="8:13" ht="18" customHeight="1">
      <c r="H1267" s="53"/>
      <c r="I1267" s="53"/>
      <c r="J1267" s="53"/>
      <c r="K1267" s="53"/>
      <c r="L1267" s="53"/>
      <c r="M1267" s="53"/>
    </row>
    <row r="1268" spans="8:13" ht="18" customHeight="1">
      <c r="H1268" s="53"/>
      <c r="I1268" s="53"/>
      <c r="J1268" s="53"/>
      <c r="K1268" s="53"/>
      <c r="L1268" s="53"/>
      <c r="M1268" s="53"/>
    </row>
    <row r="1269" spans="8:13" ht="18" customHeight="1">
      <c r="H1269" s="53"/>
      <c r="I1269" s="53"/>
      <c r="J1269" s="53"/>
      <c r="K1269" s="53"/>
      <c r="L1269" s="53"/>
      <c r="M1269" s="53"/>
    </row>
    <row r="1270" spans="8:13" ht="18" customHeight="1">
      <c r="H1270" s="53"/>
      <c r="I1270" s="53"/>
      <c r="J1270" s="53"/>
      <c r="K1270" s="53"/>
      <c r="L1270" s="53"/>
      <c r="M1270" s="53"/>
    </row>
    <row r="1271" spans="8:13" ht="18" customHeight="1">
      <c r="H1271" s="53"/>
      <c r="I1271" s="53"/>
      <c r="J1271" s="53"/>
      <c r="K1271" s="53"/>
      <c r="L1271" s="53"/>
      <c r="M1271" s="53"/>
    </row>
    <row r="1272" spans="8:13" ht="18" customHeight="1">
      <c r="H1272" s="53"/>
      <c r="I1272" s="53"/>
      <c r="J1272" s="53"/>
      <c r="K1272" s="53"/>
      <c r="L1272" s="53"/>
      <c r="M1272" s="53"/>
    </row>
    <row r="1273" spans="8:13" ht="18" customHeight="1">
      <c r="H1273" s="53"/>
      <c r="I1273" s="53"/>
      <c r="J1273" s="53"/>
      <c r="K1273" s="53"/>
      <c r="L1273" s="53"/>
      <c r="M1273" s="53"/>
    </row>
    <row r="1274" spans="8:13" ht="18" customHeight="1">
      <c r="H1274" s="53"/>
      <c r="I1274" s="53"/>
      <c r="J1274" s="53"/>
      <c r="K1274" s="53"/>
      <c r="L1274" s="53"/>
      <c r="M1274" s="53"/>
    </row>
    <row r="1275" spans="8:13" ht="18" customHeight="1">
      <c r="H1275" s="53"/>
      <c r="I1275" s="53"/>
      <c r="J1275" s="53"/>
      <c r="K1275" s="53"/>
      <c r="L1275" s="53"/>
      <c r="M1275" s="53"/>
    </row>
    <row r="1276" spans="8:13" ht="18" customHeight="1">
      <c r="H1276" s="53"/>
      <c r="I1276" s="53"/>
      <c r="J1276" s="53"/>
      <c r="K1276" s="53"/>
      <c r="L1276" s="53"/>
      <c r="M1276" s="53"/>
    </row>
    <row r="1277" spans="8:13" ht="18" customHeight="1">
      <c r="H1277" s="53"/>
      <c r="I1277" s="53"/>
      <c r="J1277" s="53"/>
      <c r="K1277" s="53"/>
      <c r="L1277" s="53"/>
      <c r="M1277" s="53"/>
    </row>
    <row r="1278" spans="8:13" ht="18" customHeight="1">
      <c r="H1278" s="53"/>
      <c r="I1278" s="53"/>
      <c r="J1278" s="53"/>
      <c r="K1278" s="53"/>
      <c r="L1278" s="53"/>
      <c r="M1278" s="53"/>
    </row>
    <row r="1279" spans="8:13" ht="18" customHeight="1">
      <c r="H1279" s="53"/>
      <c r="I1279" s="53"/>
      <c r="J1279" s="53"/>
      <c r="K1279" s="53"/>
      <c r="L1279" s="53"/>
      <c r="M1279" s="53"/>
    </row>
    <row r="1280" spans="8:13" ht="18" customHeight="1">
      <c r="H1280" s="53"/>
      <c r="I1280" s="53"/>
      <c r="J1280" s="53"/>
      <c r="K1280" s="53"/>
      <c r="L1280" s="53"/>
      <c r="M1280" s="53"/>
    </row>
    <row r="1281" spans="8:13" ht="18" customHeight="1">
      <c r="H1281" s="53"/>
      <c r="I1281" s="53"/>
      <c r="J1281" s="53"/>
      <c r="K1281" s="53"/>
      <c r="L1281" s="53"/>
      <c r="M1281" s="53"/>
    </row>
    <row r="1282" spans="8:13" ht="18" customHeight="1">
      <c r="H1282" s="53"/>
      <c r="I1282" s="53"/>
      <c r="J1282" s="53"/>
      <c r="K1282" s="53"/>
      <c r="L1282" s="53"/>
      <c r="M1282" s="53"/>
    </row>
    <row r="1283" spans="8:13" ht="18" customHeight="1">
      <c r="H1283" s="53"/>
      <c r="I1283" s="53"/>
      <c r="J1283" s="53"/>
      <c r="K1283" s="53"/>
      <c r="L1283" s="53"/>
      <c r="M1283" s="53"/>
    </row>
    <row r="1284" spans="8:13" ht="18" customHeight="1">
      <c r="H1284" s="53"/>
      <c r="I1284" s="53"/>
      <c r="J1284" s="53"/>
      <c r="K1284" s="53"/>
      <c r="L1284" s="53"/>
      <c r="M1284" s="53"/>
    </row>
    <row r="1285" spans="8:13" ht="18" customHeight="1">
      <c r="H1285" s="53"/>
      <c r="I1285" s="53"/>
      <c r="J1285" s="53"/>
      <c r="K1285" s="53"/>
      <c r="L1285" s="53"/>
      <c r="M1285" s="53"/>
    </row>
    <row r="1286" spans="8:13" ht="18" customHeight="1">
      <c r="H1286" s="53"/>
      <c r="I1286" s="53"/>
      <c r="J1286" s="53"/>
      <c r="K1286" s="53"/>
      <c r="L1286" s="53"/>
      <c r="M1286" s="53"/>
    </row>
    <row r="1287" spans="8:13" ht="18" customHeight="1">
      <c r="H1287" s="53"/>
      <c r="I1287" s="53"/>
      <c r="J1287" s="53"/>
      <c r="K1287" s="53"/>
      <c r="L1287" s="53"/>
      <c r="M1287" s="53"/>
    </row>
    <row r="1288" spans="8:13" ht="18" customHeight="1">
      <c r="H1288" s="53"/>
      <c r="I1288" s="53"/>
      <c r="J1288" s="53"/>
      <c r="K1288" s="53"/>
      <c r="L1288" s="53"/>
      <c r="M1288" s="53"/>
    </row>
    <row r="1289" spans="8:13" ht="18" customHeight="1">
      <c r="H1289" s="53"/>
      <c r="I1289" s="53"/>
      <c r="J1289" s="53"/>
      <c r="K1289" s="53"/>
      <c r="L1289" s="53"/>
      <c r="M1289" s="53"/>
    </row>
    <row r="1290" spans="8:13" ht="18" customHeight="1">
      <c r="H1290" s="53"/>
      <c r="I1290" s="53"/>
      <c r="J1290" s="53"/>
      <c r="K1290" s="53"/>
      <c r="L1290" s="53"/>
      <c r="M1290" s="53"/>
    </row>
    <row r="1291" spans="8:13" ht="18" customHeight="1">
      <c r="H1291" s="53"/>
      <c r="I1291" s="53"/>
      <c r="J1291" s="53"/>
      <c r="K1291" s="53"/>
      <c r="L1291" s="53"/>
      <c r="M1291" s="53"/>
    </row>
    <row r="1292" spans="8:13" ht="18" customHeight="1">
      <c r="H1292" s="53"/>
      <c r="I1292" s="53"/>
      <c r="J1292" s="53"/>
      <c r="K1292" s="53"/>
      <c r="L1292" s="53"/>
      <c r="M1292" s="53"/>
    </row>
    <row r="1293" spans="8:13" ht="18" customHeight="1">
      <c r="H1293" s="53"/>
      <c r="I1293" s="53"/>
      <c r="J1293" s="53"/>
      <c r="K1293" s="53"/>
      <c r="L1293" s="53"/>
      <c r="M1293" s="53"/>
    </row>
    <row r="1294" spans="8:13" ht="18" customHeight="1">
      <c r="H1294" s="53"/>
      <c r="I1294" s="53"/>
      <c r="J1294" s="53"/>
      <c r="K1294" s="53"/>
      <c r="L1294" s="53"/>
      <c r="M1294" s="53"/>
    </row>
    <row r="1295" spans="8:13" ht="18" customHeight="1">
      <c r="H1295" s="53"/>
      <c r="I1295" s="53"/>
      <c r="J1295" s="53"/>
      <c r="K1295" s="53"/>
      <c r="L1295" s="53"/>
      <c r="M1295" s="53"/>
    </row>
    <row r="1296" spans="8:13" ht="18" customHeight="1">
      <c r="H1296" s="53"/>
      <c r="I1296" s="53"/>
      <c r="J1296" s="53"/>
      <c r="K1296" s="53"/>
      <c r="L1296" s="53"/>
      <c r="M1296" s="53"/>
    </row>
    <row r="1297" spans="8:13" ht="18" customHeight="1">
      <c r="H1297" s="53"/>
      <c r="I1297" s="53"/>
      <c r="J1297" s="53"/>
      <c r="K1297" s="53"/>
      <c r="L1297" s="53"/>
      <c r="M1297" s="53"/>
    </row>
    <row r="1298" spans="8:13" ht="18" customHeight="1">
      <c r="H1298" s="53"/>
      <c r="I1298" s="53"/>
      <c r="J1298" s="53"/>
      <c r="K1298" s="53"/>
      <c r="L1298" s="53"/>
      <c r="M1298" s="53"/>
    </row>
    <row r="1299" spans="8:13" ht="18" customHeight="1">
      <c r="H1299" s="53"/>
      <c r="I1299" s="53"/>
      <c r="J1299" s="53"/>
      <c r="K1299" s="53"/>
      <c r="L1299" s="53"/>
      <c r="M1299" s="53"/>
    </row>
    <row r="1300" spans="8:13" ht="18" customHeight="1">
      <c r="H1300" s="53"/>
      <c r="I1300" s="53"/>
      <c r="J1300" s="53"/>
      <c r="K1300" s="53"/>
      <c r="L1300" s="53"/>
      <c r="M1300" s="53"/>
    </row>
    <row r="1301" spans="8:13" ht="18" customHeight="1">
      <c r="H1301" s="53"/>
      <c r="I1301" s="53"/>
      <c r="J1301" s="53"/>
      <c r="K1301" s="53"/>
      <c r="L1301" s="53"/>
      <c r="M1301" s="53"/>
    </row>
    <row r="1302" spans="8:13" ht="18" customHeight="1">
      <c r="H1302" s="53"/>
      <c r="I1302" s="53"/>
      <c r="J1302" s="53"/>
      <c r="K1302" s="53"/>
      <c r="L1302" s="53"/>
      <c r="M1302" s="53"/>
    </row>
    <row r="1303" spans="8:13" ht="18" customHeight="1">
      <c r="H1303" s="53"/>
      <c r="I1303" s="53"/>
      <c r="J1303" s="53"/>
      <c r="K1303" s="53"/>
      <c r="L1303" s="53"/>
      <c r="M1303" s="53"/>
    </row>
    <row r="1304" spans="8:13" ht="18" customHeight="1">
      <c r="H1304" s="53"/>
      <c r="I1304" s="53"/>
      <c r="J1304" s="53"/>
      <c r="K1304" s="53"/>
      <c r="L1304" s="53"/>
      <c r="M1304" s="53"/>
    </row>
    <row r="1305" spans="8:13" ht="18" customHeight="1">
      <c r="H1305" s="53"/>
      <c r="I1305" s="53"/>
      <c r="J1305" s="53"/>
      <c r="K1305" s="53"/>
      <c r="L1305" s="53"/>
      <c r="M1305" s="53"/>
    </row>
    <row r="1306" spans="8:13" ht="18" customHeight="1">
      <c r="H1306" s="53"/>
      <c r="I1306" s="53"/>
      <c r="J1306" s="53"/>
      <c r="K1306" s="53"/>
      <c r="L1306" s="53"/>
      <c r="M1306" s="53"/>
    </row>
    <row r="1307" spans="8:13" ht="18" customHeight="1">
      <c r="H1307" s="53"/>
      <c r="I1307" s="53"/>
      <c r="J1307" s="53"/>
      <c r="K1307" s="53"/>
      <c r="L1307" s="53"/>
      <c r="M1307" s="53"/>
    </row>
    <row r="1308" spans="8:13" ht="18" customHeight="1">
      <c r="H1308" s="53"/>
      <c r="I1308" s="53"/>
      <c r="J1308" s="53"/>
      <c r="K1308" s="53"/>
      <c r="L1308" s="53"/>
      <c r="M1308" s="53"/>
    </row>
    <row r="1309" spans="8:13" ht="18" customHeight="1">
      <c r="H1309" s="53"/>
      <c r="I1309" s="53"/>
      <c r="J1309" s="53"/>
      <c r="K1309" s="53"/>
      <c r="L1309" s="53"/>
      <c r="M1309" s="53"/>
    </row>
    <row r="1310" spans="8:13" ht="18" customHeight="1">
      <c r="H1310" s="53"/>
      <c r="I1310" s="53"/>
      <c r="J1310" s="53"/>
      <c r="K1310" s="53"/>
      <c r="L1310" s="53"/>
      <c r="M1310" s="53"/>
    </row>
    <row r="1311" spans="8:13" ht="18" customHeight="1">
      <c r="H1311" s="53"/>
      <c r="I1311" s="53"/>
      <c r="J1311" s="53"/>
      <c r="K1311" s="53"/>
      <c r="L1311" s="53"/>
      <c r="M1311" s="53"/>
    </row>
    <row r="1312" spans="8:13" ht="18" customHeight="1">
      <c r="H1312" s="53"/>
      <c r="I1312" s="53"/>
      <c r="J1312" s="53"/>
      <c r="K1312" s="53"/>
      <c r="L1312" s="53"/>
      <c r="M1312" s="53"/>
    </row>
    <row r="1313" spans="8:13" ht="18" customHeight="1">
      <c r="H1313" s="53"/>
      <c r="I1313" s="53"/>
      <c r="J1313" s="53"/>
      <c r="K1313" s="53"/>
      <c r="L1313" s="53"/>
      <c r="M1313" s="53"/>
    </row>
    <row r="1314" spans="8:13" ht="18" customHeight="1">
      <c r="H1314" s="53"/>
      <c r="I1314" s="53"/>
      <c r="J1314" s="53"/>
      <c r="K1314" s="53"/>
      <c r="L1314" s="53"/>
      <c r="M1314" s="53"/>
    </row>
    <row r="1315" spans="8:13" ht="18" customHeight="1">
      <c r="H1315" s="53"/>
      <c r="I1315" s="53"/>
      <c r="J1315" s="53"/>
      <c r="K1315" s="53"/>
      <c r="L1315" s="53"/>
      <c r="M1315" s="53"/>
    </row>
    <row r="1316" spans="8:13" ht="18" customHeight="1">
      <c r="H1316" s="53"/>
      <c r="I1316" s="53"/>
      <c r="J1316" s="53"/>
      <c r="K1316" s="53"/>
      <c r="L1316" s="53"/>
      <c r="M1316" s="53"/>
    </row>
    <row r="1317" spans="8:13" ht="18" customHeight="1">
      <c r="H1317" s="53"/>
      <c r="I1317" s="53"/>
      <c r="J1317" s="53"/>
      <c r="K1317" s="53"/>
      <c r="L1317" s="53"/>
      <c r="M1317" s="53"/>
    </row>
    <row r="1318" spans="8:13" ht="18" customHeight="1">
      <c r="H1318" s="53"/>
      <c r="I1318" s="53"/>
      <c r="J1318" s="53"/>
      <c r="K1318" s="53"/>
      <c r="L1318" s="53"/>
      <c r="M1318" s="53"/>
    </row>
    <row r="1319" spans="8:13" ht="18" customHeight="1">
      <c r="H1319" s="53"/>
      <c r="I1319" s="53"/>
      <c r="J1319" s="53"/>
      <c r="K1319" s="53"/>
      <c r="L1319" s="53"/>
      <c r="M1319" s="53"/>
    </row>
    <row r="1320" spans="8:13" ht="18" customHeight="1">
      <c r="H1320" s="53"/>
      <c r="I1320" s="53"/>
      <c r="J1320" s="53"/>
      <c r="K1320" s="53"/>
      <c r="L1320" s="53"/>
      <c r="M1320" s="53"/>
    </row>
    <row r="1321" spans="8:13" ht="18" customHeight="1">
      <c r="H1321" s="53"/>
      <c r="I1321" s="53"/>
      <c r="J1321" s="53"/>
      <c r="K1321" s="53"/>
      <c r="L1321" s="53"/>
      <c r="M1321" s="53"/>
    </row>
    <row r="1322" spans="8:13" ht="18" customHeight="1">
      <c r="H1322" s="53"/>
      <c r="I1322" s="53"/>
      <c r="J1322" s="53"/>
      <c r="K1322" s="53"/>
      <c r="L1322" s="53"/>
      <c r="M1322" s="53"/>
    </row>
    <row r="1323" spans="8:13" ht="18" customHeight="1">
      <c r="H1323" s="53"/>
      <c r="I1323" s="53"/>
      <c r="J1323" s="53"/>
      <c r="K1323" s="53"/>
      <c r="L1323" s="53"/>
      <c r="M1323" s="53"/>
    </row>
    <row r="1324" spans="8:13" ht="18" customHeight="1">
      <c r="H1324" s="53"/>
      <c r="I1324" s="53"/>
      <c r="J1324" s="53"/>
      <c r="K1324" s="53"/>
      <c r="L1324" s="53"/>
      <c r="M1324" s="53"/>
    </row>
    <row r="1325" spans="8:13" ht="18" customHeight="1">
      <c r="H1325" s="53"/>
      <c r="I1325" s="53"/>
      <c r="J1325" s="53"/>
      <c r="K1325" s="53"/>
      <c r="L1325" s="53"/>
      <c r="M1325" s="53"/>
    </row>
    <row r="1326" spans="8:13" ht="18" customHeight="1">
      <c r="H1326" s="53"/>
      <c r="I1326" s="53"/>
      <c r="J1326" s="53"/>
      <c r="K1326" s="53"/>
      <c r="L1326" s="53"/>
      <c r="M1326" s="53"/>
    </row>
    <row r="1327" spans="8:13" ht="18" customHeight="1">
      <c r="H1327" s="53"/>
      <c r="I1327" s="53"/>
      <c r="J1327" s="53"/>
      <c r="K1327" s="53"/>
      <c r="L1327" s="53"/>
      <c r="M1327" s="53"/>
    </row>
    <row r="1328" spans="8:13" ht="18" customHeight="1">
      <c r="H1328" s="53"/>
      <c r="I1328" s="53"/>
      <c r="J1328" s="53"/>
      <c r="K1328" s="53"/>
      <c r="L1328" s="53"/>
      <c r="M1328" s="53"/>
    </row>
    <row r="1329" spans="8:13" ht="18" customHeight="1">
      <c r="H1329" s="53"/>
      <c r="I1329" s="53"/>
      <c r="J1329" s="53"/>
      <c r="K1329" s="53"/>
      <c r="L1329" s="53"/>
      <c r="M1329" s="53"/>
    </row>
    <row r="1330" spans="8:13" ht="18" customHeight="1">
      <c r="H1330" s="53"/>
      <c r="I1330" s="53"/>
      <c r="J1330" s="53"/>
      <c r="K1330" s="53"/>
      <c r="L1330" s="53"/>
      <c r="M1330" s="53"/>
    </row>
    <row r="1331" spans="8:13" ht="18" customHeight="1">
      <c r="H1331" s="53"/>
      <c r="I1331" s="53"/>
      <c r="J1331" s="53"/>
      <c r="K1331" s="53"/>
      <c r="L1331" s="53"/>
      <c r="M1331" s="53"/>
    </row>
    <row r="1332" spans="8:13" ht="18" customHeight="1">
      <c r="H1332" s="53"/>
      <c r="I1332" s="53"/>
      <c r="J1332" s="53"/>
      <c r="K1332" s="53"/>
      <c r="L1332" s="53"/>
      <c r="M1332" s="53"/>
    </row>
    <row r="1333" spans="8:13" ht="18" customHeight="1">
      <c r="H1333" s="53"/>
      <c r="I1333" s="53"/>
      <c r="J1333" s="53"/>
      <c r="K1333" s="53"/>
      <c r="L1333" s="53"/>
      <c r="M1333" s="53"/>
    </row>
    <row r="1334" spans="8:13" ht="18" customHeight="1">
      <c r="H1334" s="53"/>
      <c r="I1334" s="53"/>
      <c r="J1334" s="53"/>
      <c r="K1334" s="53"/>
      <c r="L1334" s="53"/>
      <c r="M1334" s="53"/>
    </row>
    <row r="1335" spans="8:13" ht="18" customHeight="1">
      <c r="H1335" s="53"/>
      <c r="I1335" s="53"/>
      <c r="J1335" s="53"/>
      <c r="K1335" s="53"/>
      <c r="L1335" s="53"/>
      <c r="M1335" s="53"/>
    </row>
    <row r="1336" spans="8:13" ht="18" customHeight="1">
      <c r="H1336" s="53"/>
      <c r="I1336" s="53"/>
      <c r="J1336" s="53"/>
      <c r="K1336" s="53"/>
      <c r="L1336" s="53"/>
      <c r="M1336" s="53"/>
    </row>
    <row r="1337" spans="8:13" ht="18" customHeight="1">
      <c r="H1337" s="53"/>
      <c r="I1337" s="53"/>
      <c r="J1337" s="53"/>
      <c r="K1337" s="53"/>
      <c r="L1337" s="53"/>
      <c r="M1337" s="53"/>
    </row>
    <row r="1338" spans="8:13" ht="18" customHeight="1">
      <c r="H1338" s="53"/>
      <c r="I1338" s="53"/>
      <c r="J1338" s="53"/>
      <c r="K1338" s="53"/>
      <c r="L1338" s="53"/>
      <c r="M1338" s="53"/>
    </row>
    <row r="1339" spans="8:13" ht="18" customHeight="1">
      <c r="H1339" s="53"/>
      <c r="I1339" s="53"/>
      <c r="J1339" s="53"/>
      <c r="K1339" s="53"/>
      <c r="L1339" s="53"/>
      <c r="M1339" s="53"/>
    </row>
    <row r="1340" spans="8:13" ht="18" customHeight="1">
      <c r="H1340" s="53"/>
      <c r="I1340" s="53"/>
      <c r="J1340" s="53"/>
      <c r="K1340" s="53"/>
      <c r="L1340" s="53"/>
      <c r="M1340" s="53"/>
    </row>
    <row r="1341" spans="8:13" ht="18" customHeight="1">
      <c r="H1341" s="53"/>
      <c r="I1341" s="53"/>
      <c r="J1341" s="53"/>
      <c r="K1341" s="53"/>
      <c r="L1341" s="53"/>
      <c r="M1341" s="53"/>
    </row>
    <row r="1342" spans="8:13" ht="18" customHeight="1">
      <c r="H1342" s="53"/>
      <c r="I1342" s="53"/>
      <c r="J1342" s="53"/>
      <c r="K1342" s="53"/>
      <c r="L1342" s="53"/>
      <c r="M1342" s="53"/>
    </row>
    <row r="1343" spans="8:13" ht="18" customHeight="1">
      <c r="H1343" s="53"/>
      <c r="I1343" s="53"/>
      <c r="J1343" s="53"/>
      <c r="K1343" s="53"/>
      <c r="L1343" s="53"/>
      <c r="M1343" s="53"/>
    </row>
    <row r="1344" spans="8:13" ht="18" customHeight="1">
      <c r="H1344" s="53"/>
      <c r="I1344" s="53"/>
      <c r="J1344" s="53"/>
      <c r="K1344" s="53"/>
      <c r="L1344" s="53"/>
      <c r="M1344" s="53"/>
    </row>
    <row r="1345" spans="8:13" ht="18" customHeight="1">
      <c r="H1345" s="53"/>
      <c r="I1345" s="53"/>
      <c r="J1345" s="53"/>
      <c r="K1345" s="53"/>
      <c r="L1345" s="53"/>
      <c r="M1345" s="53"/>
    </row>
    <row r="1346" spans="8:13" ht="18" customHeight="1">
      <c r="H1346" s="53"/>
      <c r="I1346" s="53"/>
      <c r="J1346" s="53"/>
      <c r="K1346" s="53"/>
      <c r="L1346" s="53"/>
      <c r="M1346" s="53"/>
    </row>
    <row r="1347" spans="8:13" ht="18" customHeight="1">
      <c r="H1347" s="53"/>
      <c r="I1347" s="53"/>
      <c r="J1347" s="53"/>
      <c r="K1347" s="53"/>
      <c r="L1347" s="53"/>
      <c r="M1347" s="53"/>
    </row>
    <row r="1348" spans="8:13" ht="18" customHeight="1">
      <c r="H1348" s="53"/>
      <c r="I1348" s="53"/>
      <c r="J1348" s="53"/>
      <c r="K1348" s="53"/>
      <c r="L1348" s="53"/>
      <c r="M1348" s="53"/>
    </row>
    <row r="1349" spans="8:13" ht="18" customHeight="1">
      <c r="H1349" s="53"/>
      <c r="I1349" s="53"/>
      <c r="J1349" s="53"/>
      <c r="K1349" s="53"/>
      <c r="L1349" s="53"/>
      <c r="M1349" s="53"/>
    </row>
    <row r="1350" spans="8:13" ht="18" customHeight="1">
      <c r="H1350" s="53"/>
      <c r="I1350" s="53"/>
      <c r="J1350" s="53"/>
      <c r="K1350" s="53"/>
      <c r="L1350" s="53"/>
      <c r="M1350" s="53"/>
    </row>
    <row r="1351" spans="8:13" ht="18" customHeight="1">
      <c r="H1351" s="53"/>
      <c r="I1351" s="53"/>
      <c r="J1351" s="53"/>
      <c r="K1351" s="53"/>
      <c r="L1351" s="53"/>
      <c r="M1351" s="53"/>
    </row>
    <row r="1352" spans="8:13" ht="18" customHeight="1">
      <c r="H1352" s="53"/>
      <c r="I1352" s="53"/>
      <c r="J1352" s="53"/>
      <c r="K1352" s="53"/>
      <c r="L1352" s="53"/>
      <c r="M1352" s="53"/>
    </row>
    <row r="1353" spans="8:13" ht="18" customHeight="1">
      <c r="H1353" s="53"/>
      <c r="I1353" s="53"/>
      <c r="J1353" s="53"/>
      <c r="K1353" s="53"/>
      <c r="L1353" s="53"/>
      <c r="M1353" s="53"/>
    </row>
    <row r="1354" spans="8:13" ht="18" customHeight="1">
      <c r="H1354" s="53"/>
      <c r="I1354" s="53"/>
      <c r="J1354" s="53"/>
      <c r="K1354" s="53"/>
      <c r="L1354" s="53"/>
      <c r="M1354" s="53"/>
    </row>
    <row r="1355" spans="8:13" ht="18" customHeight="1">
      <c r="H1355" s="53"/>
      <c r="I1355" s="53"/>
      <c r="J1355" s="53"/>
      <c r="K1355" s="53"/>
      <c r="L1355" s="53"/>
      <c r="M1355" s="53"/>
    </row>
    <row r="1356" spans="8:13" ht="18" customHeight="1">
      <c r="H1356" s="53"/>
      <c r="I1356" s="53"/>
      <c r="J1356" s="53"/>
      <c r="K1356" s="53"/>
      <c r="L1356" s="53"/>
      <c r="M1356" s="53"/>
    </row>
    <row r="1357" spans="8:13" ht="18" customHeight="1">
      <c r="H1357" s="53"/>
      <c r="I1357" s="53"/>
      <c r="J1357" s="53"/>
      <c r="K1357" s="53"/>
      <c r="L1357" s="53"/>
      <c r="M1357" s="53"/>
    </row>
    <row r="1358" spans="8:13" ht="18" customHeight="1">
      <c r="H1358" s="53"/>
      <c r="I1358" s="53"/>
      <c r="J1358" s="53"/>
      <c r="K1358" s="53"/>
      <c r="L1358" s="53"/>
      <c r="M1358" s="53"/>
    </row>
    <row r="1359" spans="8:13" ht="18" customHeight="1">
      <c r="H1359" s="53"/>
      <c r="I1359" s="53"/>
      <c r="J1359" s="53"/>
      <c r="K1359" s="53"/>
      <c r="L1359" s="53"/>
      <c r="M1359" s="53"/>
    </row>
    <row r="1360" spans="8:13" ht="18" customHeight="1">
      <c r="H1360" s="53"/>
      <c r="I1360" s="53"/>
      <c r="J1360" s="53"/>
      <c r="K1360" s="53"/>
      <c r="L1360" s="53"/>
      <c r="M1360" s="53"/>
    </row>
    <row r="1361" spans="8:13" ht="18" customHeight="1">
      <c r="H1361" s="53"/>
      <c r="I1361" s="53"/>
      <c r="J1361" s="53"/>
      <c r="K1361" s="53"/>
      <c r="L1361" s="53"/>
      <c r="M1361" s="53"/>
    </row>
    <row r="1362" spans="8:13" ht="18" customHeight="1">
      <c r="H1362" s="53"/>
      <c r="I1362" s="53"/>
      <c r="J1362" s="53"/>
      <c r="K1362" s="53"/>
      <c r="L1362" s="53"/>
      <c r="M1362" s="53"/>
    </row>
    <row r="1363" spans="8:13" ht="18" customHeight="1">
      <c r="H1363" s="53"/>
      <c r="I1363" s="53"/>
      <c r="J1363" s="53"/>
      <c r="K1363" s="53"/>
      <c r="L1363" s="53"/>
      <c r="M1363" s="53"/>
    </row>
    <row r="1364" spans="8:13" ht="18" customHeight="1">
      <c r="H1364" s="53"/>
      <c r="I1364" s="53"/>
      <c r="J1364" s="53"/>
      <c r="K1364" s="53"/>
      <c r="L1364" s="53"/>
      <c r="M1364" s="53"/>
    </row>
    <row r="1365" spans="8:13" ht="18" customHeight="1">
      <c r="H1365" s="53"/>
      <c r="I1365" s="53"/>
      <c r="J1365" s="53"/>
      <c r="K1365" s="53"/>
      <c r="L1365" s="53"/>
      <c r="M1365" s="53"/>
    </row>
    <row r="1366" spans="8:13" ht="18" customHeight="1">
      <c r="H1366" s="53"/>
      <c r="I1366" s="53"/>
      <c r="J1366" s="53"/>
      <c r="K1366" s="53"/>
      <c r="L1366" s="53"/>
      <c r="M1366" s="53"/>
    </row>
    <row r="1367" spans="8:13" ht="18" customHeight="1">
      <c r="H1367" s="53"/>
      <c r="I1367" s="53"/>
      <c r="J1367" s="53"/>
      <c r="K1367" s="53"/>
      <c r="L1367" s="53"/>
      <c r="M1367" s="53"/>
    </row>
    <row r="1368" spans="8:13" ht="18" customHeight="1">
      <c r="H1368" s="53"/>
      <c r="I1368" s="53"/>
      <c r="J1368" s="53"/>
      <c r="K1368" s="53"/>
      <c r="L1368" s="53"/>
      <c r="M1368" s="53"/>
    </row>
    <row r="1369" spans="8:13" ht="18" customHeight="1">
      <c r="H1369" s="53"/>
      <c r="I1369" s="53"/>
      <c r="J1369" s="53"/>
      <c r="K1369" s="53"/>
      <c r="L1369" s="53"/>
      <c r="M1369" s="53"/>
    </row>
    <row r="1370" spans="8:13" ht="18" customHeight="1">
      <c r="H1370" s="53"/>
      <c r="I1370" s="53"/>
      <c r="J1370" s="53"/>
      <c r="K1370" s="53"/>
      <c r="L1370" s="53"/>
      <c r="M1370" s="53"/>
    </row>
    <row r="1371" spans="8:13" ht="18" customHeight="1">
      <c r="H1371" s="53"/>
      <c r="I1371" s="53"/>
      <c r="J1371" s="53"/>
      <c r="K1371" s="53"/>
      <c r="L1371" s="53"/>
      <c r="M1371" s="53"/>
    </row>
    <row r="1372" spans="8:13" ht="18" customHeight="1">
      <c r="H1372" s="53"/>
      <c r="I1372" s="53"/>
      <c r="J1372" s="53"/>
      <c r="K1372" s="53"/>
      <c r="L1372" s="53"/>
      <c r="M1372" s="53"/>
    </row>
    <row r="1373" spans="8:13" ht="18" customHeight="1">
      <c r="H1373" s="53"/>
      <c r="I1373" s="53"/>
      <c r="J1373" s="53"/>
      <c r="K1373" s="53"/>
      <c r="L1373" s="53"/>
      <c r="M1373" s="53"/>
    </row>
    <row r="1374" spans="8:13" ht="18" customHeight="1">
      <c r="H1374" s="53"/>
      <c r="I1374" s="53"/>
      <c r="J1374" s="53"/>
      <c r="K1374" s="53"/>
      <c r="L1374" s="53"/>
      <c r="M1374" s="53"/>
    </row>
    <row r="1375" spans="8:13" ht="18" customHeight="1">
      <c r="H1375" s="53"/>
      <c r="I1375" s="53"/>
      <c r="J1375" s="53"/>
      <c r="K1375" s="53"/>
      <c r="L1375" s="53"/>
      <c r="M1375" s="53"/>
    </row>
    <row r="1376" spans="8:13" ht="18" customHeight="1">
      <c r="H1376" s="53"/>
      <c r="I1376" s="53"/>
      <c r="J1376" s="53"/>
      <c r="K1376" s="53"/>
      <c r="L1376" s="53"/>
      <c r="M1376" s="53"/>
    </row>
    <row r="1377" spans="8:13" ht="18" customHeight="1">
      <c r="H1377" s="53"/>
      <c r="I1377" s="53"/>
      <c r="J1377" s="53"/>
      <c r="K1377" s="53"/>
      <c r="L1377" s="53"/>
      <c r="M1377" s="53"/>
    </row>
    <row r="1378" spans="8:13" ht="18" customHeight="1">
      <c r="H1378" s="53"/>
      <c r="I1378" s="53"/>
      <c r="J1378" s="53"/>
      <c r="K1378" s="53"/>
      <c r="L1378" s="53"/>
      <c r="M1378" s="53"/>
    </row>
    <row r="1379" spans="8:13" ht="18" customHeight="1">
      <c r="H1379" s="53"/>
      <c r="I1379" s="53"/>
      <c r="J1379" s="53"/>
      <c r="K1379" s="53"/>
      <c r="L1379" s="53"/>
      <c r="M1379" s="53"/>
    </row>
    <row r="1380" spans="8:13" ht="18" customHeight="1">
      <c r="H1380" s="53"/>
      <c r="I1380" s="53"/>
      <c r="J1380" s="53"/>
      <c r="K1380" s="53"/>
      <c r="L1380" s="53"/>
      <c r="M1380" s="53"/>
    </row>
    <row r="1381" spans="8:13" ht="18" customHeight="1">
      <c r="H1381" s="53"/>
      <c r="I1381" s="53"/>
      <c r="J1381" s="53"/>
      <c r="K1381" s="53"/>
      <c r="L1381" s="53"/>
      <c r="M1381" s="53"/>
    </row>
    <row r="1382" spans="8:13" ht="18" customHeight="1">
      <c r="H1382" s="53"/>
      <c r="I1382" s="53"/>
      <c r="J1382" s="53"/>
      <c r="K1382" s="53"/>
      <c r="L1382" s="53"/>
      <c r="M1382" s="53"/>
    </row>
    <row r="1383" spans="8:13" ht="18" customHeight="1">
      <c r="H1383" s="53"/>
      <c r="I1383" s="53"/>
      <c r="J1383" s="53"/>
      <c r="K1383" s="53"/>
      <c r="L1383" s="53"/>
      <c r="M1383" s="53"/>
    </row>
    <row r="1384" spans="8:13" ht="18" customHeight="1">
      <c r="H1384" s="53"/>
      <c r="I1384" s="53"/>
      <c r="J1384" s="53"/>
      <c r="K1384" s="53"/>
      <c r="L1384" s="53"/>
      <c r="M1384" s="53"/>
    </row>
    <row r="1385" spans="8:13" ht="18" customHeight="1">
      <c r="H1385" s="53"/>
      <c r="I1385" s="53"/>
      <c r="J1385" s="53"/>
      <c r="K1385" s="53"/>
      <c r="L1385" s="53"/>
      <c r="M1385" s="53"/>
    </row>
    <row r="1386" spans="8:13" ht="18" customHeight="1">
      <c r="H1386" s="53"/>
      <c r="I1386" s="53"/>
      <c r="J1386" s="53"/>
      <c r="K1386" s="53"/>
      <c r="L1386" s="53"/>
      <c r="M1386" s="53"/>
    </row>
    <row r="1387" spans="8:13" ht="18" customHeight="1">
      <c r="H1387" s="53"/>
      <c r="I1387" s="53"/>
      <c r="J1387" s="53"/>
      <c r="K1387" s="53"/>
      <c r="L1387" s="53"/>
      <c r="M1387" s="53"/>
    </row>
    <row r="1388" spans="8:13" ht="18" customHeight="1">
      <c r="H1388" s="53"/>
      <c r="I1388" s="53"/>
      <c r="J1388" s="53"/>
      <c r="K1388" s="53"/>
      <c r="L1388" s="53"/>
      <c r="M1388" s="53"/>
    </row>
    <row r="1389" spans="8:13" ht="18" customHeight="1">
      <c r="H1389" s="53"/>
      <c r="I1389" s="53"/>
      <c r="J1389" s="53"/>
      <c r="K1389" s="53"/>
      <c r="L1389" s="53"/>
      <c r="M1389" s="53"/>
    </row>
    <row r="1390" spans="8:13" ht="18" customHeight="1">
      <c r="H1390" s="53"/>
      <c r="I1390" s="53"/>
      <c r="J1390" s="53"/>
      <c r="K1390" s="53"/>
      <c r="L1390" s="53"/>
      <c r="M1390" s="53"/>
    </row>
    <row r="1391" spans="8:13" ht="18" customHeight="1">
      <c r="H1391" s="53"/>
      <c r="I1391" s="53"/>
      <c r="J1391" s="53"/>
      <c r="K1391" s="53"/>
      <c r="L1391" s="53"/>
      <c r="M1391" s="53"/>
    </row>
    <row r="1392" spans="8:13" ht="18" customHeight="1">
      <c r="H1392" s="53"/>
      <c r="I1392" s="53"/>
      <c r="J1392" s="53"/>
      <c r="K1392" s="53"/>
      <c r="L1392" s="53"/>
      <c r="M1392" s="53"/>
    </row>
    <row r="1393" spans="8:13" ht="18" customHeight="1">
      <c r="H1393" s="53"/>
      <c r="I1393" s="53"/>
      <c r="J1393" s="53"/>
      <c r="K1393" s="53"/>
      <c r="L1393" s="53"/>
      <c r="M1393" s="53"/>
    </row>
    <row r="1394" spans="8:13" ht="18" customHeight="1">
      <c r="H1394" s="53"/>
      <c r="I1394" s="53"/>
      <c r="J1394" s="53"/>
      <c r="K1394" s="53"/>
      <c r="L1394" s="53"/>
      <c r="M1394" s="53"/>
    </row>
    <row r="1395" spans="8:13" ht="18" customHeight="1">
      <c r="H1395" s="53"/>
      <c r="I1395" s="53"/>
      <c r="J1395" s="53"/>
      <c r="K1395" s="53"/>
      <c r="L1395" s="53"/>
      <c r="M1395" s="53"/>
    </row>
    <row r="1396" spans="8:13" ht="18" customHeight="1">
      <c r="H1396" s="53"/>
      <c r="I1396" s="53"/>
      <c r="J1396" s="53"/>
      <c r="K1396" s="53"/>
      <c r="L1396" s="53"/>
      <c r="M1396" s="53"/>
    </row>
    <row r="1397" spans="8:13" ht="18" customHeight="1">
      <c r="H1397" s="53"/>
      <c r="I1397" s="53"/>
      <c r="J1397" s="53"/>
      <c r="K1397" s="53"/>
      <c r="L1397" s="53"/>
      <c r="M1397" s="53"/>
    </row>
    <row r="1398" spans="8:13" ht="18" customHeight="1">
      <c r="H1398" s="53"/>
      <c r="I1398" s="53"/>
      <c r="J1398" s="53"/>
      <c r="K1398" s="53"/>
      <c r="L1398" s="53"/>
      <c r="M1398" s="53"/>
    </row>
    <row r="1399" spans="8:13" ht="18" customHeight="1">
      <c r="H1399" s="53"/>
      <c r="I1399" s="53"/>
      <c r="J1399" s="53"/>
      <c r="K1399" s="53"/>
      <c r="L1399" s="53"/>
      <c r="M1399" s="53"/>
    </row>
    <row r="1400" spans="8:13" ht="18" customHeight="1">
      <c r="H1400" s="53"/>
      <c r="I1400" s="53"/>
      <c r="J1400" s="53"/>
      <c r="K1400" s="53"/>
      <c r="L1400" s="53"/>
      <c r="M1400" s="53"/>
    </row>
    <row r="1401" spans="8:13" ht="18" customHeight="1">
      <c r="H1401" s="53"/>
      <c r="I1401" s="53"/>
      <c r="J1401" s="53"/>
      <c r="K1401" s="53"/>
      <c r="L1401" s="53"/>
      <c r="M1401" s="53"/>
    </row>
    <row r="1402" spans="8:13" ht="18" customHeight="1">
      <c r="H1402" s="53"/>
      <c r="I1402" s="53"/>
      <c r="J1402" s="53"/>
      <c r="K1402" s="53"/>
      <c r="L1402" s="53"/>
      <c r="M1402" s="53"/>
    </row>
    <row r="1403" spans="8:13" ht="18" customHeight="1">
      <c r="H1403" s="53"/>
      <c r="I1403" s="53"/>
      <c r="J1403" s="53"/>
      <c r="K1403" s="53"/>
      <c r="L1403" s="53"/>
      <c r="M1403" s="53"/>
    </row>
    <row r="1404" spans="8:13" ht="18" customHeight="1">
      <c r="H1404" s="53"/>
      <c r="I1404" s="53"/>
      <c r="J1404" s="53"/>
      <c r="K1404" s="53"/>
      <c r="L1404" s="53"/>
      <c r="M1404" s="53"/>
    </row>
    <row r="1405" spans="8:13" ht="18" customHeight="1">
      <c r="H1405" s="53"/>
      <c r="I1405" s="53"/>
      <c r="J1405" s="53"/>
      <c r="K1405" s="53"/>
      <c r="L1405" s="53"/>
      <c r="M1405" s="53"/>
    </row>
    <row r="1406" spans="8:13" ht="18" customHeight="1">
      <c r="H1406" s="53"/>
      <c r="I1406" s="53"/>
      <c r="J1406" s="53"/>
      <c r="K1406" s="53"/>
      <c r="L1406" s="53"/>
      <c r="M1406" s="53"/>
    </row>
    <row r="1407" spans="8:13" ht="18" customHeight="1">
      <c r="H1407" s="53"/>
      <c r="I1407" s="53"/>
      <c r="J1407" s="53"/>
      <c r="K1407" s="53"/>
      <c r="L1407" s="53"/>
      <c r="M1407" s="53"/>
    </row>
    <row r="1408" spans="8:13" ht="18" customHeight="1">
      <c r="H1408" s="53"/>
      <c r="I1408" s="53"/>
      <c r="J1408" s="53"/>
      <c r="K1408" s="53"/>
      <c r="L1408" s="53"/>
      <c r="M1408" s="53"/>
    </row>
    <row r="1409" spans="8:13" ht="18" customHeight="1">
      <c r="H1409" s="53"/>
      <c r="I1409" s="53"/>
      <c r="J1409" s="53"/>
      <c r="K1409" s="53"/>
      <c r="L1409" s="53"/>
      <c r="M1409" s="53"/>
    </row>
    <row r="1410" spans="8:13" ht="18" customHeight="1">
      <c r="H1410" s="53"/>
      <c r="I1410" s="53"/>
      <c r="J1410" s="53"/>
      <c r="K1410" s="53"/>
      <c r="L1410" s="53"/>
      <c r="M1410" s="53"/>
    </row>
    <row r="1411" spans="8:13" ht="18" customHeight="1">
      <c r="H1411" s="53"/>
      <c r="I1411" s="53"/>
      <c r="J1411" s="53"/>
      <c r="K1411" s="53"/>
      <c r="L1411" s="53"/>
      <c r="M1411" s="53"/>
    </row>
    <row r="1412" spans="8:13" ht="18" customHeight="1">
      <c r="H1412" s="53"/>
      <c r="I1412" s="53"/>
      <c r="J1412" s="53"/>
      <c r="K1412" s="53"/>
      <c r="L1412" s="53"/>
      <c r="M1412" s="53"/>
    </row>
    <row r="1413" spans="8:13" ht="18" customHeight="1">
      <c r="H1413" s="53"/>
      <c r="I1413" s="53"/>
      <c r="J1413" s="53"/>
      <c r="K1413" s="53"/>
      <c r="L1413" s="53"/>
      <c r="M1413" s="53"/>
    </row>
    <row r="1414" spans="8:13" ht="18" customHeight="1">
      <c r="H1414" s="53"/>
      <c r="I1414" s="53"/>
      <c r="J1414" s="53"/>
      <c r="K1414" s="53"/>
      <c r="L1414" s="53"/>
      <c r="M1414" s="53"/>
    </row>
    <row r="1415" spans="8:13" ht="18" customHeight="1">
      <c r="H1415" s="53"/>
      <c r="I1415" s="53"/>
      <c r="J1415" s="53"/>
      <c r="K1415" s="53"/>
      <c r="L1415" s="53"/>
      <c r="M1415" s="53"/>
    </row>
    <row r="1416" spans="8:13" ht="18" customHeight="1">
      <c r="H1416" s="53"/>
      <c r="I1416" s="53"/>
      <c r="J1416" s="53"/>
      <c r="K1416" s="53"/>
      <c r="L1416" s="53"/>
      <c r="M1416" s="53"/>
    </row>
    <row r="1417" spans="8:13" ht="18" customHeight="1">
      <c r="H1417" s="53"/>
      <c r="I1417" s="53"/>
      <c r="J1417" s="53"/>
      <c r="K1417" s="53"/>
      <c r="L1417" s="53"/>
      <c r="M1417" s="53"/>
    </row>
    <row r="1418" spans="8:13" ht="18" customHeight="1">
      <c r="H1418" s="53"/>
      <c r="I1418" s="53"/>
      <c r="J1418" s="53"/>
      <c r="K1418" s="53"/>
      <c r="L1418" s="53"/>
      <c r="M1418" s="53"/>
    </row>
    <row r="1419" spans="8:13" ht="18" customHeight="1">
      <c r="H1419" s="53"/>
      <c r="I1419" s="53"/>
      <c r="J1419" s="53"/>
      <c r="K1419" s="53"/>
      <c r="L1419" s="53"/>
      <c r="M1419" s="53"/>
    </row>
    <row r="1420" spans="8:13" ht="18" customHeight="1">
      <c r="H1420" s="53"/>
      <c r="I1420" s="53"/>
      <c r="J1420" s="53"/>
      <c r="K1420" s="53"/>
      <c r="L1420" s="53"/>
      <c r="M1420" s="53"/>
    </row>
    <row r="1421" spans="8:13" ht="18" customHeight="1">
      <c r="H1421" s="53"/>
      <c r="I1421" s="53"/>
      <c r="J1421" s="53"/>
      <c r="K1421" s="53"/>
      <c r="L1421" s="53"/>
      <c r="M1421" s="53"/>
    </row>
    <row r="1422" spans="8:13" ht="18" customHeight="1">
      <c r="H1422" s="53"/>
      <c r="I1422" s="53"/>
      <c r="J1422" s="53"/>
      <c r="K1422" s="53"/>
      <c r="L1422" s="53"/>
      <c r="M1422" s="53"/>
    </row>
    <row r="1423" spans="8:13" ht="18" customHeight="1">
      <c r="H1423" s="53"/>
      <c r="I1423" s="53"/>
      <c r="J1423" s="53"/>
      <c r="K1423" s="53"/>
      <c r="L1423" s="53"/>
      <c r="M1423" s="53"/>
    </row>
    <row r="1424" spans="8:13" ht="18" customHeight="1">
      <c r="H1424" s="53"/>
      <c r="I1424" s="53"/>
      <c r="J1424" s="53"/>
      <c r="K1424" s="53"/>
      <c r="L1424" s="53"/>
      <c r="M1424" s="53"/>
    </row>
    <row r="1425" spans="8:13" ht="18" customHeight="1">
      <c r="H1425" s="53"/>
      <c r="I1425" s="53"/>
      <c r="J1425" s="53"/>
      <c r="K1425" s="53"/>
      <c r="L1425" s="53"/>
      <c r="M1425" s="53"/>
    </row>
    <row r="1426" spans="8:13" ht="18" customHeight="1">
      <c r="H1426" s="53"/>
      <c r="I1426" s="53"/>
      <c r="J1426" s="53"/>
      <c r="K1426" s="53"/>
      <c r="L1426" s="53"/>
      <c r="M1426" s="53"/>
    </row>
    <row r="1427" spans="8:13" ht="18" customHeight="1">
      <c r="H1427" s="53"/>
      <c r="I1427" s="53"/>
      <c r="J1427" s="53"/>
      <c r="K1427" s="53"/>
      <c r="L1427" s="53"/>
      <c r="M1427" s="53"/>
    </row>
    <row r="1428" spans="8:13" ht="18" customHeight="1">
      <c r="H1428" s="53"/>
      <c r="I1428" s="53"/>
      <c r="J1428" s="53"/>
      <c r="K1428" s="53"/>
      <c r="L1428" s="53"/>
      <c r="M1428" s="53"/>
    </row>
    <row r="1429" spans="8:13" ht="18" customHeight="1">
      <c r="H1429" s="53"/>
      <c r="I1429" s="53"/>
      <c r="J1429" s="53"/>
      <c r="K1429" s="53"/>
      <c r="L1429" s="53"/>
      <c r="M1429" s="53"/>
    </row>
    <row r="1430" spans="8:13" ht="18" customHeight="1">
      <c r="H1430" s="53"/>
      <c r="I1430" s="53"/>
      <c r="J1430" s="53"/>
      <c r="K1430" s="53"/>
      <c r="L1430" s="53"/>
      <c r="M1430" s="53"/>
    </row>
    <row r="1431" spans="8:13" ht="18" customHeight="1">
      <c r="H1431" s="53"/>
      <c r="I1431" s="53"/>
      <c r="J1431" s="53"/>
      <c r="K1431" s="53"/>
      <c r="L1431" s="53"/>
      <c r="M1431" s="53"/>
    </row>
    <row r="1432" spans="8:13" ht="18" customHeight="1">
      <c r="H1432" s="53"/>
      <c r="I1432" s="53"/>
      <c r="J1432" s="53"/>
      <c r="K1432" s="53"/>
      <c r="L1432" s="53"/>
      <c r="M1432" s="53"/>
    </row>
    <row r="1433" spans="8:13" ht="18" customHeight="1">
      <c r="H1433" s="53"/>
      <c r="I1433" s="53"/>
      <c r="J1433" s="53"/>
      <c r="K1433" s="53"/>
      <c r="L1433" s="53"/>
      <c r="M1433" s="53"/>
    </row>
    <row r="1434" spans="8:13" ht="18" customHeight="1">
      <c r="H1434" s="53"/>
      <c r="I1434" s="53"/>
      <c r="J1434" s="53"/>
      <c r="K1434" s="53"/>
      <c r="L1434" s="53"/>
      <c r="M1434" s="53"/>
    </row>
    <row r="1435" spans="8:13" ht="18" customHeight="1">
      <c r="H1435" s="53"/>
      <c r="I1435" s="53"/>
      <c r="J1435" s="53"/>
      <c r="K1435" s="53"/>
      <c r="L1435" s="53"/>
      <c r="M1435" s="53"/>
    </row>
    <row r="1436" spans="8:13" ht="18" customHeight="1">
      <c r="H1436" s="53"/>
      <c r="I1436" s="53"/>
      <c r="J1436" s="53"/>
      <c r="K1436" s="53"/>
      <c r="L1436" s="53"/>
      <c r="M1436" s="53"/>
    </row>
    <row r="1437" spans="8:13" ht="18" customHeight="1">
      <c r="H1437" s="53"/>
      <c r="I1437" s="53"/>
      <c r="J1437" s="53"/>
      <c r="K1437" s="53"/>
      <c r="L1437" s="53"/>
      <c r="M1437" s="53"/>
    </row>
    <row r="1438" spans="8:13" ht="18" customHeight="1">
      <c r="H1438" s="53"/>
      <c r="I1438" s="53"/>
      <c r="J1438" s="53"/>
      <c r="K1438" s="53"/>
      <c r="L1438" s="53"/>
      <c r="M1438" s="53"/>
    </row>
    <row r="1439" spans="8:13" ht="18" customHeight="1">
      <c r="H1439" s="53"/>
      <c r="I1439" s="53"/>
      <c r="J1439" s="53"/>
      <c r="K1439" s="53"/>
      <c r="L1439" s="53"/>
      <c r="M1439" s="53"/>
    </row>
    <row r="1440" spans="8:13" ht="18" customHeight="1">
      <c r="H1440" s="53"/>
      <c r="I1440" s="53"/>
      <c r="J1440" s="53"/>
      <c r="K1440" s="53"/>
      <c r="L1440" s="53"/>
      <c r="M1440" s="53"/>
    </row>
    <row r="1441" spans="8:13" ht="18" customHeight="1">
      <c r="H1441" s="53"/>
      <c r="I1441" s="53"/>
      <c r="J1441" s="53"/>
      <c r="K1441" s="53"/>
      <c r="L1441" s="53"/>
      <c r="M1441" s="53"/>
    </row>
    <row r="1442" spans="8:13" ht="18" customHeight="1">
      <c r="H1442" s="53"/>
      <c r="I1442" s="53"/>
      <c r="J1442" s="53"/>
      <c r="K1442" s="53"/>
      <c r="L1442" s="53"/>
      <c r="M1442" s="53"/>
    </row>
    <row r="1443" spans="8:13" ht="18" customHeight="1">
      <c r="H1443" s="53"/>
      <c r="I1443" s="53"/>
      <c r="J1443" s="53"/>
      <c r="K1443" s="53"/>
      <c r="L1443" s="53"/>
      <c r="M1443" s="53"/>
    </row>
    <row r="1444" spans="8:13" ht="18" customHeight="1">
      <c r="H1444" s="53"/>
      <c r="I1444" s="53"/>
      <c r="J1444" s="53"/>
      <c r="K1444" s="53"/>
      <c r="L1444" s="53"/>
      <c r="M1444" s="53"/>
    </row>
    <row r="1445" spans="8:13" ht="18" customHeight="1">
      <c r="H1445" s="53"/>
      <c r="I1445" s="53"/>
      <c r="J1445" s="53"/>
      <c r="K1445" s="53"/>
      <c r="L1445" s="53"/>
      <c r="M1445" s="53"/>
    </row>
    <row r="1446" spans="8:13" ht="18" customHeight="1">
      <c r="H1446" s="53"/>
      <c r="I1446" s="53"/>
      <c r="J1446" s="53"/>
      <c r="K1446" s="53"/>
      <c r="L1446" s="53"/>
      <c r="M1446" s="53"/>
    </row>
    <row r="1447" spans="8:13" ht="18" customHeight="1">
      <c r="H1447" s="53"/>
      <c r="I1447" s="53"/>
      <c r="J1447" s="53"/>
      <c r="K1447" s="53"/>
      <c r="L1447" s="53"/>
      <c r="M1447" s="53"/>
    </row>
    <row r="1448" spans="8:13" ht="18" customHeight="1">
      <c r="H1448" s="53"/>
      <c r="I1448" s="53"/>
      <c r="J1448" s="53"/>
      <c r="K1448" s="53"/>
      <c r="L1448" s="53"/>
      <c r="M1448" s="53"/>
    </row>
    <row r="1449" spans="8:13" ht="18" customHeight="1">
      <c r="H1449" s="53"/>
      <c r="I1449" s="53"/>
      <c r="J1449" s="53"/>
      <c r="K1449" s="53"/>
      <c r="L1449" s="53"/>
      <c r="M1449" s="53"/>
    </row>
    <row r="1450" spans="8:13" ht="18" customHeight="1">
      <c r="H1450" s="53"/>
      <c r="I1450" s="53"/>
      <c r="J1450" s="53"/>
      <c r="K1450" s="53"/>
      <c r="L1450" s="53"/>
      <c r="M1450" s="53"/>
    </row>
    <row r="1451" spans="8:13" ht="18" customHeight="1">
      <c r="H1451" s="53"/>
      <c r="I1451" s="53"/>
      <c r="J1451" s="53"/>
      <c r="K1451" s="53"/>
      <c r="L1451" s="53"/>
      <c r="M1451" s="53"/>
    </row>
    <row r="1452" spans="8:13" ht="18" customHeight="1">
      <c r="H1452" s="53"/>
      <c r="I1452" s="53"/>
      <c r="J1452" s="53"/>
      <c r="K1452" s="53"/>
      <c r="L1452" s="53"/>
      <c r="M1452" s="53"/>
    </row>
    <row r="1453" spans="8:13" ht="18" customHeight="1">
      <c r="H1453" s="53"/>
      <c r="I1453" s="53"/>
      <c r="J1453" s="53"/>
      <c r="K1453" s="53"/>
      <c r="L1453" s="53"/>
      <c r="M1453" s="53"/>
    </row>
    <row r="1454" spans="8:13" ht="18" customHeight="1">
      <c r="H1454" s="53"/>
      <c r="I1454" s="53"/>
      <c r="J1454" s="53"/>
      <c r="K1454" s="53"/>
      <c r="L1454" s="53"/>
      <c r="M1454" s="53"/>
    </row>
    <row r="1455" spans="8:13" ht="18" customHeight="1">
      <c r="H1455" s="53"/>
      <c r="I1455" s="53"/>
      <c r="J1455" s="53"/>
      <c r="K1455" s="53"/>
      <c r="L1455" s="53"/>
      <c r="M1455" s="53"/>
    </row>
    <row r="1456" spans="8:13" ht="18" customHeight="1">
      <c r="H1456" s="53"/>
      <c r="I1456" s="53"/>
      <c r="J1456" s="53"/>
      <c r="K1456" s="53"/>
      <c r="L1456" s="53"/>
      <c r="M1456" s="53"/>
    </row>
    <row r="1457" spans="8:13" ht="18" customHeight="1">
      <c r="H1457" s="53"/>
      <c r="I1457" s="53"/>
      <c r="J1457" s="53"/>
      <c r="K1457" s="53"/>
      <c r="L1457" s="53"/>
      <c r="M1457" s="53"/>
    </row>
    <row r="1458" spans="8:13" ht="18" customHeight="1">
      <c r="H1458" s="53"/>
      <c r="I1458" s="53"/>
      <c r="J1458" s="53"/>
      <c r="K1458" s="53"/>
      <c r="L1458" s="53"/>
      <c r="M1458" s="53"/>
    </row>
    <row r="1459" spans="8:13" ht="18" customHeight="1">
      <c r="H1459" s="53"/>
      <c r="I1459" s="53"/>
      <c r="J1459" s="53"/>
      <c r="K1459" s="53"/>
      <c r="L1459" s="53"/>
      <c r="M1459" s="53"/>
    </row>
    <row r="1460" spans="8:13" ht="18" customHeight="1">
      <c r="H1460" s="53"/>
      <c r="I1460" s="53"/>
      <c r="J1460" s="53"/>
      <c r="K1460" s="53"/>
      <c r="L1460" s="53"/>
      <c r="M1460" s="53"/>
    </row>
    <row r="1461" spans="8:13" ht="18" customHeight="1">
      <c r="H1461" s="53"/>
      <c r="I1461" s="53"/>
      <c r="J1461" s="53"/>
      <c r="K1461" s="53"/>
      <c r="L1461" s="53"/>
      <c r="M1461" s="53"/>
    </row>
    <row r="1462" spans="8:13" ht="18" customHeight="1">
      <c r="H1462" s="53"/>
      <c r="I1462" s="53"/>
      <c r="J1462" s="53"/>
      <c r="K1462" s="53"/>
      <c r="L1462" s="53"/>
      <c r="M1462" s="53"/>
    </row>
    <row r="1463" spans="8:13" ht="18" customHeight="1">
      <c r="H1463" s="53"/>
      <c r="I1463" s="53"/>
      <c r="J1463" s="53"/>
      <c r="K1463" s="53"/>
      <c r="L1463" s="53"/>
      <c r="M1463" s="53"/>
    </row>
    <row r="1464" spans="8:13" ht="18" customHeight="1">
      <c r="H1464" s="53"/>
      <c r="I1464" s="53"/>
      <c r="J1464" s="53"/>
      <c r="K1464" s="53"/>
      <c r="L1464" s="53"/>
      <c r="M1464" s="53"/>
    </row>
    <row r="1465" spans="8:13" ht="18" customHeight="1">
      <c r="H1465" s="53"/>
      <c r="I1465" s="53"/>
      <c r="J1465" s="53"/>
      <c r="K1465" s="53"/>
      <c r="L1465" s="53"/>
      <c r="M1465" s="53"/>
    </row>
    <row r="1466" spans="8:13" ht="18" customHeight="1">
      <c r="H1466" s="53"/>
      <c r="I1466" s="53"/>
      <c r="J1466" s="53"/>
      <c r="K1466" s="53"/>
      <c r="L1466" s="53"/>
      <c r="M1466" s="53"/>
    </row>
    <row r="1467" spans="8:13" ht="18" customHeight="1">
      <c r="H1467" s="53"/>
      <c r="I1467" s="53"/>
      <c r="J1467" s="53"/>
      <c r="K1467" s="53"/>
      <c r="L1467" s="53"/>
      <c r="M1467" s="53"/>
    </row>
    <row r="1468" spans="8:13" ht="18" customHeight="1">
      <c r="H1468" s="53"/>
      <c r="I1468" s="53"/>
      <c r="J1468" s="53"/>
      <c r="K1468" s="53"/>
      <c r="L1468" s="53"/>
      <c r="M1468" s="53"/>
    </row>
    <row r="1469" spans="8:13" ht="18" customHeight="1">
      <c r="H1469" s="53"/>
      <c r="I1469" s="53"/>
      <c r="J1469" s="53"/>
      <c r="K1469" s="53"/>
      <c r="L1469" s="53"/>
      <c r="M1469" s="53"/>
    </row>
    <row r="1470" spans="8:13" ht="18" customHeight="1">
      <c r="H1470" s="53"/>
      <c r="I1470" s="53"/>
      <c r="J1470" s="53"/>
      <c r="K1470" s="53"/>
      <c r="L1470" s="53"/>
      <c r="M1470" s="53"/>
    </row>
    <row r="1471" spans="8:13" ht="18" customHeight="1">
      <c r="H1471" s="53"/>
      <c r="I1471" s="53"/>
      <c r="J1471" s="53"/>
      <c r="K1471" s="53"/>
      <c r="L1471" s="53"/>
      <c r="M1471" s="53"/>
    </row>
    <row r="1472" spans="8:13" ht="18" customHeight="1">
      <c r="H1472" s="53"/>
      <c r="I1472" s="53"/>
      <c r="J1472" s="53"/>
      <c r="K1472" s="53"/>
      <c r="L1472" s="53"/>
      <c r="M1472" s="53"/>
    </row>
    <row r="1473" spans="8:13" ht="18" customHeight="1">
      <c r="H1473" s="53"/>
      <c r="I1473" s="53"/>
      <c r="J1473" s="53"/>
      <c r="K1473" s="53"/>
      <c r="L1473" s="53"/>
      <c r="M1473" s="53"/>
    </row>
    <row r="1474" spans="8:13" ht="18" customHeight="1">
      <c r="H1474" s="53"/>
      <c r="I1474" s="53"/>
      <c r="J1474" s="53"/>
      <c r="K1474" s="53"/>
      <c r="L1474" s="53"/>
      <c r="M1474" s="53"/>
    </row>
    <row r="1475" spans="8:13" ht="18" customHeight="1">
      <c r="H1475" s="53"/>
      <c r="I1475" s="53"/>
      <c r="J1475" s="53"/>
      <c r="K1475" s="53"/>
      <c r="L1475" s="53"/>
      <c r="M1475" s="53"/>
    </row>
    <row r="1476" spans="8:13" ht="18" customHeight="1">
      <c r="H1476" s="53"/>
      <c r="I1476" s="53"/>
      <c r="J1476" s="53"/>
      <c r="K1476" s="53"/>
      <c r="L1476" s="53"/>
      <c r="M1476" s="53"/>
    </row>
    <row r="1477" spans="8:13" ht="18" customHeight="1">
      <c r="H1477" s="53"/>
      <c r="I1477" s="53"/>
      <c r="J1477" s="53"/>
      <c r="K1477" s="53"/>
      <c r="L1477" s="53"/>
      <c r="M1477" s="53"/>
    </row>
    <row r="1478" spans="8:13" ht="18" customHeight="1">
      <c r="H1478" s="53"/>
      <c r="I1478" s="53"/>
      <c r="J1478" s="53"/>
      <c r="K1478" s="53"/>
      <c r="L1478" s="53"/>
      <c r="M1478" s="53"/>
    </row>
    <row r="1479" spans="8:13" ht="18" customHeight="1">
      <c r="H1479" s="53"/>
      <c r="I1479" s="53"/>
      <c r="J1479" s="53"/>
      <c r="K1479" s="53"/>
      <c r="L1479" s="53"/>
      <c r="M1479" s="53"/>
    </row>
    <row r="1480" spans="8:13" ht="18" customHeight="1">
      <c r="H1480" s="53"/>
      <c r="I1480" s="53"/>
      <c r="J1480" s="53"/>
      <c r="K1480" s="53"/>
      <c r="L1480" s="53"/>
      <c r="M1480" s="53"/>
    </row>
    <row r="1481" spans="8:13" ht="18" customHeight="1">
      <c r="H1481" s="53"/>
      <c r="I1481" s="53"/>
      <c r="J1481" s="53"/>
      <c r="K1481" s="53"/>
      <c r="L1481" s="53"/>
      <c r="M1481" s="53"/>
    </row>
    <row r="1482" spans="8:13" ht="18" customHeight="1">
      <c r="H1482" s="53"/>
      <c r="I1482" s="53"/>
      <c r="J1482" s="53"/>
      <c r="K1482" s="53"/>
      <c r="L1482" s="53"/>
      <c r="M1482" s="53"/>
    </row>
    <row r="1483" spans="8:13" ht="18" customHeight="1">
      <c r="H1483" s="53"/>
      <c r="I1483" s="53"/>
      <c r="J1483" s="53"/>
      <c r="K1483" s="53"/>
      <c r="L1483" s="53"/>
      <c r="M1483" s="53"/>
    </row>
    <row r="1484" spans="8:13" ht="18" customHeight="1">
      <c r="H1484" s="53"/>
      <c r="I1484" s="53"/>
      <c r="J1484" s="53"/>
      <c r="K1484" s="53"/>
      <c r="L1484" s="53"/>
      <c r="M1484" s="53"/>
    </row>
    <row r="1485" spans="8:13" ht="18" customHeight="1">
      <c r="H1485" s="53"/>
      <c r="I1485" s="53"/>
      <c r="J1485" s="53"/>
      <c r="K1485" s="53"/>
      <c r="L1485" s="53"/>
      <c r="M1485" s="53"/>
    </row>
    <row r="1486" spans="8:13" ht="18" customHeight="1">
      <c r="H1486" s="53"/>
      <c r="I1486" s="53"/>
      <c r="J1486" s="53"/>
      <c r="K1486" s="53"/>
      <c r="L1486" s="53"/>
      <c r="M1486" s="53"/>
    </row>
    <row r="1487" spans="8:13" ht="18" customHeight="1">
      <c r="H1487" s="53"/>
      <c r="I1487" s="53"/>
      <c r="J1487" s="53"/>
      <c r="K1487" s="53"/>
      <c r="L1487" s="53"/>
      <c r="M1487" s="53"/>
    </row>
    <row r="1488" spans="8:13" ht="18" customHeight="1">
      <c r="H1488" s="53"/>
      <c r="I1488" s="53"/>
      <c r="J1488" s="53"/>
      <c r="K1488" s="53"/>
      <c r="L1488" s="53"/>
      <c r="M1488" s="53"/>
    </row>
    <row r="1489" spans="8:13" ht="18" customHeight="1">
      <c r="H1489" s="53"/>
      <c r="I1489" s="53"/>
      <c r="J1489" s="53"/>
      <c r="K1489" s="53"/>
      <c r="L1489" s="53"/>
      <c r="M1489" s="53"/>
    </row>
    <row r="1490" spans="8:13" ht="18" customHeight="1">
      <c r="H1490" s="53"/>
      <c r="I1490" s="53"/>
      <c r="J1490" s="53"/>
      <c r="K1490" s="53"/>
      <c r="L1490" s="53"/>
      <c r="M1490" s="53"/>
    </row>
    <row r="1491" spans="8:13" ht="18" customHeight="1">
      <c r="H1491" s="53"/>
      <c r="I1491" s="53"/>
      <c r="J1491" s="53"/>
      <c r="K1491" s="53"/>
      <c r="L1491" s="53"/>
      <c r="M1491" s="53"/>
    </row>
    <row r="1492" spans="8:13" ht="18" customHeight="1">
      <c r="H1492" s="53"/>
      <c r="I1492" s="53"/>
      <c r="J1492" s="53"/>
      <c r="K1492" s="53"/>
      <c r="L1492" s="53"/>
      <c r="M1492" s="53"/>
    </row>
    <row r="1493" spans="8:13" ht="18" customHeight="1">
      <c r="H1493" s="53"/>
      <c r="I1493" s="53"/>
      <c r="J1493" s="53"/>
      <c r="K1493" s="53"/>
      <c r="L1493" s="53"/>
      <c r="M1493" s="53"/>
    </row>
    <row r="1494" spans="8:13" ht="18" customHeight="1">
      <c r="H1494" s="53"/>
      <c r="I1494" s="53"/>
      <c r="J1494" s="53"/>
      <c r="K1494" s="53"/>
      <c r="L1494" s="53"/>
      <c r="M1494" s="53"/>
    </row>
    <row r="1495" spans="8:13" ht="18" customHeight="1">
      <c r="H1495" s="53"/>
      <c r="I1495" s="53"/>
      <c r="J1495" s="53"/>
      <c r="K1495" s="53"/>
      <c r="L1495" s="53"/>
      <c r="M1495" s="53"/>
    </row>
    <row r="1496" spans="8:13" ht="18" customHeight="1">
      <c r="H1496" s="53"/>
      <c r="I1496" s="53"/>
      <c r="J1496" s="53"/>
      <c r="K1496" s="53"/>
      <c r="L1496" s="53"/>
      <c r="M1496" s="53"/>
    </row>
    <row r="1497" spans="8:13" ht="18" customHeight="1">
      <c r="H1497" s="53"/>
      <c r="I1497" s="53"/>
      <c r="J1497" s="53"/>
      <c r="K1497" s="53"/>
      <c r="L1497" s="53"/>
      <c r="M1497" s="53"/>
    </row>
    <row r="1498" spans="8:13" ht="18" customHeight="1">
      <c r="H1498" s="53"/>
      <c r="I1498" s="53"/>
      <c r="J1498" s="53"/>
      <c r="K1498" s="53"/>
      <c r="L1498" s="53"/>
      <c r="M1498" s="53"/>
    </row>
    <row r="1499" spans="8:13" ht="18" customHeight="1">
      <c r="H1499" s="53"/>
      <c r="I1499" s="53"/>
      <c r="J1499" s="53"/>
      <c r="K1499" s="53"/>
      <c r="L1499" s="53"/>
      <c r="M1499" s="53"/>
    </row>
    <row r="1500" spans="8:13" ht="18" customHeight="1">
      <c r="H1500" s="53"/>
      <c r="I1500" s="53"/>
      <c r="J1500" s="53"/>
      <c r="K1500" s="53"/>
      <c r="L1500" s="53"/>
      <c r="M1500" s="53"/>
    </row>
    <row r="1501" spans="8:13" ht="18" customHeight="1">
      <c r="H1501" s="53"/>
      <c r="I1501" s="53"/>
      <c r="J1501" s="53"/>
      <c r="K1501" s="53"/>
      <c r="L1501" s="53"/>
      <c r="M1501" s="53"/>
    </row>
    <row r="1502" spans="8:13" ht="18" customHeight="1">
      <c r="H1502" s="53"/>
      <c r="I1502" s="53"/>
      <c r="J1502" s="53"/>
      <c r="K1502" s="53"/>
      <c r="L1502" s="53"/>
      <c r="M1502" s="53"/>
    </row>
    <row r="1503" spans="8:13" ht="18" customHeight="1">
      <c r="H1503" s="53"/>
      <c r="I1503" s="53"/>
      <c r="J1503" s="53"/>
      <c r="K1503" s="53"/>
      <c r="L1503" s="53"/>
      <c r="M1503" s="53"/>
    </row>
    <row r="1504" spans="8:13" ht="18" customHeight="1">
      <c r="H1504" s="53"/>
      <c r="I1504" s="53"/>
      <c r="J1504" s="53"/>
      <c r="K1504" s="53"/>
      <c r="L1504" s="53"/>
      <c r="M1504" s="53"/>
    </row>
    <row r="1505" spans="8:13" ht="18" customHeight="1">
      <c r="H1505" s="53"/>
      <c r="I1505" s="53"/>
      <c r="J1505" s="53"/>
      <c r="K1505" s="53"/>
      <c r="L1505" s="53"/>
      <c r="M1505" s="53"/>
    </row>
    <row r="1506" spans="8:13" ht="18" customHeight="1">
      <c r="H1506" s="53"/>
      <c r="I1506" s="53"/>
      <c r="J1506" s="53"/>
      <c r="K1506" s="53"/>
      <c r="L1506" s="53"/>
      <c r="M1506" s="53"/>
    </row>
    <row r="1507" spans="8:13" ht="18" customHeight="1">
      <c r="H1507" s="53"/>
      <c r="I1507" s="53"/>
      <c r="J1507" s="53"/>
      <c r="K1507" s="53"/>
      <c r="L1507" s="53"/>
      <c r="M1507" s="53"/>
    </row>
    <row r="1508" spans="8:13" ht="18" customHeight="1">
      <c r="H1508" s="53"/>
      <c r="I1508" s="53"/>
      <c r="J1508" s="53"/>
      <c r="K1508" s="53"/>
      <c r="L1508" s="53"/>
      <c r="M1508" s="53"/>
    </row>
    <row r="1509" spans="8:13" ht="18" customHeight="1">
      <c r="H1509" s="53"/>
      <c r="I1509" s="53"/>
      <c r="J1509" s="53"/>
      <c r="K1509" s="53"/>
      <c r="L1509" s="53"/>
      <c r="M1509" s="53"/>
    </row>
    <row r="1510" spans="8:13" ht="18" customHeight="1">
      <c r="H1510" s="53"/>
      <c r="I1510" s="53"/>
      <c r="J1510" s="53"/>
      <c r="K1510" s="53"/>
      <c r="L1510" s="53"/>
      <c r="M1510" s="53"/>
    </row>
    <row r="1511" spans="8:13" ht="18" customHeight="1">
      <c r="H1511" s="53"/>
      <c r="I1511" s="53"/>
      <c r="J1511" s="53"/>
      <c r="K1511" s="53"/>
      <c r="L1511" s="53"/>
      <c r="M1511" s="53"/>
    </row>
    <row r="1512" spans="8:13" ht="18" customHeight="1">
      <c r="H1512" s="53"/>
      <c r="I1512" s="53"/>
      <c r="J1512" s="53"/>
      <c r="K1512" s="53"/>
      <c r="L1512" s="53"/>
      <c r="M1512" s="53"/>
    </row>
    <row r="1513" spans="8:13" ht="18" customHeight="1">
      <c r="H1513" s="53"/>
      <c r="I1513" s="53"/>
      <c r="J1513" s="53"/>
      <c r="K1513" s="53"/>
      <c r="L1513" s="53"/>
      <c r="M1513" s="53"/>
    </row>
    <row r="1514" spans="8:13" ht="18" customHeight="1">
      <c r="H1514" s="53"/>
      <c r="I1514" s="53"/>
      <c r="J1514" s="53"/>
      <c r="K1514" s="53"/>
      <c r="L1514" s="53"/>
      <c r="M1514" s="53"/>
    </row>
    <row r="1515" spans="8:13" ht="18" customHeight="1">
      <c r="H1515" s="53"/>
      <c r="I1515" s="53"/>
      <c r="J1515" s="53"/>
      <c r="K1515" s="53"/>
      <c r="L1515" s="53"/>
      <c r="M1515" s="53"/>
    </row>
    <row r="1516" spans="8:13" ht="18" customHeight="1">
      <c r="H1516" s="53"/>
      <c r="I1516" s="53"/>
      <c r="J1516" s="53"/>
      <c r="K1516" s="53"/>
      <c r="L1516" s="53"/>
      <c r="M1516" s="53"/>
    </row>
    <row r="1517" spans="8:13" ht="18" customHeight="1">
      <c r="H1517" s="53"/>
      <c r="I1517" s="53"/>
      <c r="J1517" s="53"/>
      <c r="K1517" s="53"/>
      <c r="L1517" s="53"/>
      <c r="M1517" s="53"/>
    </row>
    <row r="1518" spans="8:13" ht="18" customHeight="1">
      <c r="H1518" s="53"/>
      <c r="I1518" s="53"/>
      <c r="J1518" s="53"/>
      <c r="K1518" s="53"/>
      <c r="L1518" s="53"/>
      <c r="M1518" s="53"/>
    </row>
    <row r="1519" spans="8:13" ht="18" customHeight="1">
      <c r="H1519" s="53"/>
      <c r="I1519" s="53"/>
      <c r="J1519" s="53"/>
      <c r="K1519" s="53"/>
      <c r="L1519" s="53"/>
      <c r="M1519" s="53"/>
    </row>
    <row r="1520" spans="8:13" ht="18" customHeight="1">
      <c r="H1520" s="53"/>
      <c r="I1520" s="53"/>
      <c r="J1520" s="53"/>
      <c r="K1520" s="53"/>
      <c r="L1520" s="53"/>
      <c r="M1520" s="53"/>
    </row>
    <row r="1521" spans="8:13" ht="18" customHeight="1">
      <c r="H1521" s="53"/>
      <c r="I1521" s="53"/>
      <c r="J1521" s="53"/>
      <c r="K1521" s="53"/>
      <c r="L1521" s="53"/>
      <c r="M1521" s="53"/>
    </row>
    <row r="1522" spans="8:13" ht="18" customHeight="1">
      <c r="H1522" s="53"/>
      <c r="I1522" s="53"/>
      <c r="J1522" s="53"/>
      <c r="K1522" s="53"/>
      <c r="L1522" s="53"/>
      <c r="M1522" s="53"/>
    </row>
    <row r="1523" spans="8:13" ht="18" customHeight="1">
      <c r="H1523" s="53"/>
      <c r="I1523" s="53"/>
      <c r="J1523" s="53"/>
      <c r="K1523" s="53"/>
      <c r="L1523" s="53"/>
      <c r="M1523" s="53"/>
    </row>
    <row r="1524" spans="8:13" ht="18" customHeight="1">
      <c r="H1524" s="53"/>
      <c r="I1524" s="53"/>
      <c r="J1524" s="53"/>
      <c r="K1524" s="53"/>
      <c r="L1524" s="53"/>
      <c r="M1524" s="53"/>
    </row>
    <row r="1525" spans="8:13" ht="18" customHeight="1">
      <c r="H1525" s="53"/>
      <c r="I1525" s="53"/>
      <c r="J1525" s="53"/>
      <c r="K1525" s="53"/>
      <c r="L1525" s="53"/>
      <c r="M1525" s="53"/>
    </row>
    <row r="1526" spans="8:13" ht="18" customHeight="1">
      <c r="H1526" s="53"/>
      <c r="I1526" s="53"/>
      <c r="J1526" s="53"/>
      <c r="K1526" s="53"/>
      <c r="L1526" s="53"/>
      <c r="M1526" s="53"/>
    </row>
    <row r="1527" spans="8:13" ht="18" customHeight="1">
      <c r="H1527" s="53"/>
      <c r="I1527" s="53"/>
      <c r="J1527" s="53"/>
      <c r="K1527" s="53"/>
      <c r="L1527" s="53"/>
      <c r="M1527" s="53"/>
    </row>
    <row r="1528" spans="8:13" ht="18" customHeight="1">
      <c r="H1528" s="53"/>
      <c r="I1528" s="53"/>
      <c r="J1528" s="53"/>
      <c r="K1528" s="53"/>
      <c r="L1528" s="53"/>
      <c r="M1528" s="53"/>
    </row>
    <row r="1529" spans="8:13" ht="18" customHeight="1">
      <c r="H1529" s="53"/>
      <c r="I1529" s="53"/>
      <c r="J1529" s="53"/>
      <c r="K1529" s="53"/>
      <c r="L1529" s="53"/>
      <c r="M1529" s="53"/>
    </row>
    <row r="1530" spans="8:13" ht="18" customHeight="1">
      <c r="H1530" s="53"/>
      <c r="I1530" s="53"/>
      <c r="J1530" s="53"/>
      <c r="K1530" s="53"/>
      <c r="L1530" s="53"/>
      <c r="M1530" s="53"/>
    </row>
    <row r="1531" spans="8:13" ht="18" customHeight="1">
      <c r="H1531" s="53"/>
      <c r="I1531" s="53"/>
      <c r="J1531" s="53"/>
      <c r="K1531" s="53"/>
      <c r="L1531" s="53"/>
      <c r="M1531" s="53"/>
    </row>
    <row r="1532" spans="8:13" ht="18" customHeight="1">
      <c r="H1532" s="53"/>
      <c r="I1532" s="53"/>
      <c r="J1532" s="53"/>
      <c r="K1532" s="53"/>
      <c r="L1532" s="53"/>
      <c r="M1532" s="53"/>
    </row>
    <row r="1533" spans="8:13" ht="18" customHeight="1">
      <c r="H1533" s="53"/>
      <c r="I1533" s="53"/>
      <c r="J1533" s="53"/>
      <c r="K1533" s="53"/>
      <c r="L1533" s="53"/>
      <c r="M1533" s="53"/>
    </row>
    <row r="1534" spans="8:13" ht="18" customHeight="1">
      <c r="H1534" s="53"/>
      <c r="I1534" s="53"/>
      <c r="J1534" s="53"/>
      <c r="K1534" s="53"/>
      <c r="L1534" s="53"/>
      <c r="M1534" s="53"/>
    </row>
    <row r="1535" spans="8:13" ht="18" customHeight="1">
      <c r="H1535" s="53"/>
      <c r="I1535" s="53"/>
      <c r="J1535" s="53"/>
      <c r="K1535" s="53"/>
      <c r="L1535" s="53"/>
      <c r="M1535" s="53"/>
    </row>
    <row r="1536" spans="8:13" ht="18" customHeight="1">
      <c r="H1536" s="53"/>
      <c r="I1536" s="53"/>
      <c r="J1536" s="53"/>
      <c r="K1536" s="53"/>
      <c r="L1536" s="53"/>
      <c r="M1536" s="53"/>
    </row>
    <row r="1537" spans="8:13" ht="18" customHeight="1">
      <c r="H1537" s="53"/>
      <c r="I1537" s="53"/>
      <c r="J1537" s="53"/>
      <c r="K1537" s="53"/>
      <c r="L1537" s="53"/>
      <c r="M1537" s="53"/>
    </row>
    <row r="1538" spans="8:13" ht="18" customHeight="1">
      <c r="H1538" s="53"/>
      <c r="I1538" s="53"/>
      <c r="J1538" s="53"/>
      <c r="K1538" s="53"/>
      <c r="L1538" s="53"/>
      <c r="M1538" s="53"/>
    </row>
    <row r="1539" spans="8:13" ht="18" customHeight="1">
      <c r="H1539" s="53"/>
      <c r="I1539" s="53"/>
      <c r="J1539" s="53"/>
      <c r="K1539" s="53"/>
      <c r="L1539" s="53"/>
      <c r="M1539" s="53"/>
    </row>
    <row r="1540" spans="8:13" ht="18" customHeight="1">
      <c r="H1540" s="53"/>
      <c r="I1540" s="53"/>
      <c r="J1540" s="53"/>
      <c r="K1540" s="53"/>
      <c r="L1540" s="53"/>
      <c r="M1540" s="53"/>
    </row>
    <row r="1541" spans="8:13" ht="18" customHeight="1">
      <c r="H1541" s="53"/>
      <c r="I1541" s="53"/>
      <c r="J1541" s="53"/>
      <c r="K1541" s="53"/>
      <c r="L1541" s="53"/>
      <c r="M1541" s="53"/>
    </row>
    <row r="1542" spans="8:13" ht="18" customHeight="1">
      <c r="H1542" s="53"/>
      <c r="I1542" s="53"/>
      <c r="J1542" s="53"/>
      <c r="K1542" s="53"/>
      <c r="L1542" s="53"/>
      <c r="M1542" s="53"/>
    </row>
    <row r="1543" spans="8:13" ht="18" customHeight="1">
      <c r="H1543" s="53"/>
      <c r="I1543" s="53"/>
      <c r="J1543" s="53"/>
      <c r="K1543" s="53"/>
      <c r="L1543" s="53"/>
      <c r="M1543" s="53"/>
    </row>
    <row r="1544" spans="8:13" ht="18" customHeight="1">
      <c r="H1544" s="53"/>
      <c r="I1544" s="53"/>
      <c r="J1544" s="53"/>
      <c r="K1544" s="53"/>
      <c r="L1544" s="53"/>
      <c r="M1544" s="53"/>
    </row>
    <row r="1545" spans="8:13" ht="18" customHeight="1">
      <c r="H1545" s="53"/>
      <c r="I1545" s="53"/>
      <c r="J1545" s="53"/>
      <c r="K1545" s="53"/>
      <c r="L1545" s="53"/>
      <c r="M1545" s="53"/>
    </row>
    <row r="1546" spans="8:13" ht="18" customHeight="1">
      <c r="H1546" s="53"/>
      <c r="I1546" s="53"/>
      <c r="J1546" s="53"/>
      <c r="K1546" s="53"/>
      <c r="L1546" s="53"/>
      <c r="M1546" s="53"/>
    </row>
    <row r="1547" spans="8:13" ht="18" customHeight="1">
      <c r="H1547" s="53"/>
      <c r="I1547" s="53"/>
      <c r="J1547" s="53"/>
      <c r="K1547" s="53"/>
      <c r="L1547" s="53"/>
      <c r="M1547" s="53"/>
    </row>
    <row r="1548" spans="8:13" ht="18" customHeight="1">
      <c r="H1548" s="53"/>
      <c r="I1548" s="53"/>
      <c r="J1548" s="53"/>
      <c r="K1548" s="53"/>
      <c r="L1548" s="53"/>
      <c r="M1548" s="53"/>
    </row>
    <row r="1549" spans="8:13" ht="18" customHeight="1">
      <c r="H1549" s="53"/>
      <c r="I1549" s="53"/>
      <c r="J1549" s="53"/>
      <c r="K1549" s="53"/>
      <c r="L1549" s="53"/>
      <c r="M1549" s="53"/>
    </row>
    <row r="1550" spans="8:13" ht="18" customHeight="1">
      <c r="H1550" s="53"/>
      <c r="I1550" s="53"/>
      <c r="J1550" s="53"/>
      <c r="K1550" s="53"/>
      <c r="L1550" s="53"/>
      <c r="M1550" s="53"/>
    </row>
    <row r="1551" spans="8:13" ht="18" customHeight="1">
      <c r="H1551" s="53"/>
      <c r="I1551" s="53"/>
      <c r="J1551" s="53"/>
      <c r="K1551" s="53"/>
      <c r="L1551" s="53"/>
      <c r="M1551" s="53"/>
    </row>
    <row r="1552" spans="8:13" ht="18" customHeight="1">
      <c r="H1552" s="53"/>
      <c r="I1552" s="53"/>
      <c r="J1552" s="53"/>
      <c r="K1552" s="53"/>
      <c r="L1552" s="53"/>
      <c r="M1552" s="53"/>
    </row>
    <row r="1553" spans="8:13" ht="18" customHeight="1">
      <c r="H1553" s="53"/>
      <c r="I1553" s="53"/>
      <c r="J1553" s="53"/>
      <c r="K1553" s="53"/>
      <c r="L1553" s="53"/>
      <c r="M1553" s="53"/>
    </row>
    <row r="1554" spans="8:13" ht="18" customHeight="1">
      <c r="H1554" s="53"/>
      <c r="I1554" s="53"/>
      <c r="J1554" s="53"/>
      <c r="K1554" s="53"/>
      <c r="L1554" s="53"/>
      <c r="M1554" s="53"/>
    </row>
    <row r="1555" spans="8:13" ht="18" customHeight="1">
      <c r="H1555" s="53"/>
      <c r="I1555" s="53"/>
      <c r="J1555" s="53"/>
      <c r="K1555" s="53"/>
      <c r="L1555" s="53"/>
      <c r="M1555" s="53"/>
    </row>
    <row r="1556" spans="8:13" ht="18" customHeight="1">
      <c r="H1556" s="53"/>
      <c r="I1556" s="53"/>
      <c r="J1556" s="53"/>
      <c r="K1556" s="53"/>
      <c r="L1556" s="53"/>
      <c r="M1556" s="53"/>
    </row>
    <row r="1557" spans="8:13" ht="18" customHeight="1">
      <c r="H1557" s="53"/>
      <c r="I1557" s="53"/>
      <c r="J1557" s="53"/>
      <c r="K1557" s="53"/>
      <c r="L1557" s="53"/>
      <c r="M1557" s="53"/>
    </row>
    <row r="1558" spans="8:13" ht="18" customHeight="1">
      <c r="H1558" s="53"/>
      <c r="I1558" s="53"/>
      <c r="J1558" s="53"/>
      <c r="K1558" s="53"/>
      <c r="L1558" s="53"/>
      <c r="M1558" s="53"/>
    </row>
    <row r="1559" spans="8:13" ht="18" customHeight="1">
      <c r="H1559" s="53"/>
      <c r="I1559" s="53"/>
      <c r="J1559" s="53"/>
      <c r="K1559" s="53"/>
      <c r="L1559" s="53"/>
      <c r="M1559" s="53"/>
    </row>
    <row r="1560" spans="8:13" ht="18" customHeight="1">
      <c r="H1560" s="53"/>
      <c r="I1560" s="53"/>
      <c r="J1560" s="53"/>
      <c r="K1560" s="53"/>
      <c r="L1560" s="53"/>
      <c r="M1560" s="53"/>
    </row>
    <row r="1561" spans="8:13" ht="18" customHeight="1">
      <c r="H1561" s="53"/>
      <c r="I1561" s="53"/>
      <c r="J1561" s="53"/>
      <c r="K1561" s="53"/>
      <c r="L1561" s="53"/>
      <c r="M1561" s="53"/>
    </row>
    <row r="1562" spans="8:13" ht="18" customHeight="1">
      <c r="H1562" s="53"/>
      <c r="I1562" s="53"/>
      <c r="J1562" s="53"/>
      <c r="K1562" s="53"/>
      <c r="L1562" s="53"/>
      <c r="M1562" s="53"/>
    </row>
    <row r="1563" spans="8:13" ht="18" customHeight="1">
      <c r="H1563" s="53"/>
      <c r="I1563" s="53"/>
      <c r="J1563" s="53"/>
      <c r="K1563" s="53"/>
      <c r="L1563" s="53"/>
      <c r="M1563" s="53"/>
    </row>
    <row r="1564" spans="8:13" ht="18" customHeight="1">
      <c r="H1564" s="53"/>
      <c r="I1564" s="53"/>
      <c r="J1564" s="53"/>
      <c r="K1564" s="53"/>
      <c r="L1564" s="53"/>
      <c r="M1564" s="53"/>
    </row>
    <row r="1565" spans="8:13" ht="18" customHeight="1">
      <c r="H1565" s="53"/>
      <c r="I1565" s="53"/>
      <c r="J1565" s="53"/>
      <c r="K1565" s="53"/>
      <c r="L1565" s="53"/>
      <c r="M1565" s="53"/>
    </row>
    <row r="1566" spans="8:13" ht="18" customHeight="1">
      <c r="H1566" s="53"/>
      <c r="I1566" s="53"/>
      <c r="J1566" s="53"/>
      <c r="K1566" s="53"/>
      <c r="L1566" s="53"/>
      <c r="M1566" s="53"/>
    </row>
    <row r="1567" spans="8:13" ht="18" customHeight="1">
      <c r="H1567" s="53"/>
      <c r="I1567" s="53"/>
      <c r="J1567" s="53"/>
      <c r="K1567" s="53"/>
      <c r="L1567" s="53"/>
      <c r="M1567" s="53"/>
    </row>
    <row r="1568" spans="8:13" ht="18" customHeight="1">
      <c r="H1568" s="53"/>
      <c r="I1568" s="53"/>
      <c r="J1568" s="53"/>
      <c r="K1568" s="53"/>
      <c r="L1568" s="53"/>
      <c r="M1568" s="53"/>
    </row>
    <row r="1569" spans="8:13" ht="18" customHeight="1">
      <c r="H1569" s="53"/>
      <c r="I1569" s="53"/>
      <c r="J1569" s="53"/>
      <c r="K1569" s="53"/>
      <c r="L1569" s="53"/>
      <c r="M1569" s="53"/>
    </row>
    <row r="1570" spans="8:13" ht="18" customHeight="1">
      <c r="H1570" s="53"/>
      <c r="I1570" s="53"/>
      <c r="J1570" s="53"/>
      <c r="K1570" s="53"/>
      <c r="L1570" s="53"/>
      <c r="M1570" s="53"/>
    </row>
    <row r="1571" spans="8:13" ht="18" customHeight="1">
      <c r="H1571" s="53"/>
      <c r="I1571" s="53"/>
      <c r="J1571" s="53"/>
      <c r="K1571" s="53"/>
      <c r="L1571" s="53"/>
      <c r="M1571" s="53"/>
    </row>
    <row r="1572" spans="8:13" ht="18" customHeight="1">
      <c r="H1572" s="53"/>
      <c r="I1572" s="53"/>
      <c r="J1572" s="53"/>
      <c r="K1572" s="53"/>
      <c r="L1572" s="53"/>
      <c r="M1572" s="53"/>
    </row>
    <row r="1573" spans="8:13" ht="18" customHeight="1">
      <c r="H1573" s="53"/>
      <c r="I1573" s="53"/>
      <c r="J1573" s="53"/>
      <c r="K1573" s="53"/>
      <c r="L1573" s="53"/>
      <c r="M1573" s="53"/>
    </row>
    <row r="1574" spans="8:13" ht="18" customHeight="1">
      <c r="H1574" s="53"/>
      <c r="I1574" s="53"/>
      <c r="J1574" s="53"/>
      <c r="K1574" s="53"/>
      <c r="L1574" s="53"/>
      <c r="M1574" s="53"/>
    </row>
    <row r="1575" spans="8:13" ht="18" customHeight="1">
      <c r="H1575" s="53"/>
      <c r="I1575" s="53"/>
      <c r="J1575" s="53"/>
      <c r="K1575" s="53"/>
      <c r="L1575" s="53"/>
      <c r="M1575" s="53"/>
    </row>
    <row r="1576" spans="8:13" ht="18" customHeight="1">
      <c r="H1576" s="53"/>
      <c r="I1576" s="53"/>
      <c r="J1576" s="53"/>
      <c r="K1576" s="53"/>
      <c r="L1576" s="53"/>
      <c r="M1576" s="53"/>
    </row>
    <row r="1577" spans="8:13" ht="18" customHeight="1">
      <c r="H1577" s="53"/>
      <c r="I1577" s="53"/>
      <c r="J1577" s="53"/>
      <c r="K1577" s="53"/>
      <c r="L1577" s="53"/>
      <c r="M1577" s="53"/>
    </row>
    <row r="1578" spans="8:13" ht="18" customHeight="1">
      <c r="H1578" s="53"/>
      <c r="I1578" s="53"/>
      <c r="J1578" s="53"/>
      <c r="K1578" s="53"/>
      <c r="L1578" s="53"/>
      <c r="M1578" s="53"/>
    </row>
    <row r="1579" spans="8:13" ht="18" customHeight="1">
      <c r="H1579" s="53"/>
      <c r="I1579" s="53"/>
      <c r="J1579" s="53"/>
      <c r="K1579" s="53"/>
      <c r="L1579" s="53"/>
      <c r="M1579" s="53"/>
    </row>
    <row r="1580" spans="8:13" ht="18" customHeight="1">
      <c r="H1580" s="53"/>
      <c r="I1580" s="53"/>
      <c r="J1580" s="53"/>
      <c r="K1580" s="53"/>
      <c r="L1580" s="53"/>
      <c r="M1580" s="53"/>
    </row>
    <row r="1581" spans="8:13" ht="18" customHeight="1">
      <c r="H1581" s="53"/>
      <c r="I1581" s="53"/>
      <c r="J1581" s="53"/>
      <c r="K1581" s="53"/>
      <c r="L1581" s="53"/>
      <c r="M1581" s="53"/>
    </row>
    <row r="1582" spans="8:13" ht="18" customHeight="1">
      <c r="H1582" s="53"/>
      <c r="I1582" s="53"/>
      <c r="J1582" s="53"/>
      <c r="K1582" s="53"/>
      <c r="L1582" s="53"/>
      <c r="M1582" s="53"/>
    </row>
    <row r="1583" spans="8:13" ht="18" customHeight="1">
      <c r="H1583" s="53"/>
      <c r="I1583" s="53"/>
      <c r="J1583" s="53"/>
      <c r="K1583" s="53"/>
      <c r="L1583" s="53"/>
      <c r="M1583" s="53"/>
    </row>
    <row r="1584" spans="8:13" ht="18" customHeight="1">
      <c r="H1584" s="53"/>
      <c r="I1584" s="53"/>
      <c r="J1584" s="53"/>
      <c r="K1584" s="53"/>
      <c r="L1584" s="53"/>
      <c r="M1584" s="53"/>
    </row>
    <row r="1585" spans="8:13" ht="18" customHeight="1">
      <c r="H1585" s="53"/>
      <c r="I1585" s="53"/>
      <c r="J1585" s="53"/>
      <c r="K1585" s="53"/>
      <c r="L1585" s="53"/>
      <c r="M1585" s="53"/>
    </row>
    <row r="1586" spans="8:13" ht="18" customHeight="1">
      <c r="H1586" s="53"/>
      <c r="I1586" s="53"/>
      <c r="J1586" s="53"/>
      <c r="K1586" s="53"/>
      <c r="L1586" s="53"/>
      <c r="M1586" s="53"/>
    </row>
    <row r="1587" spans="8:13" ht="18" customHeight="1">
      <c r="H1587" s="53"/>
      <c r="I1587" s="53"/>
      <c r="J1587" s="53"/>
      <c r="K1587" s="53"/>
      <c r="L1587" s="53"/>
      <c r="M1587" s="53"/>
    </row>
    <row r="1588" spans="8:13" ht="18" customHeight="1">
      <c r="H1588" s="53"/>
      <c r="I1588" s="53"/>
      <c r="J1588" s="53"/>
      <c r="K1588" s="53"/>
      <c r="L1588" s="53"/>
      <c r="M1588" s="53"/>
    </row>
    <row r="1589" spans="8:13" ht="18" customHeight="1">
      <c r="H1589" s="53"/>
      <c r="I1589" s="53"/>
      <c r="J1589" s="53"/>
      <c r="K1589" s="53"/>
      <c r="L1589" s="53"/>
      <c r="M1589" s="53"/>
    </row>
    <row r="1590" spans="8:13" ht="18" customHeight="1">
      <c r="H1590" s="53"/>
      <c r="I1590" s="53"/>
      <c r="J1590" s="53"/>
      <c r="K1590" s="53"/>
      <c r="L1590" s="53"/>
      <c r="M1590" s="53"/>
    </row>
    <row r="1591" spans="8:13" ht="18" customHeight="1">
      <c r="H1591" s="53"/>
      <c r="I1591" s="53"/>
      <c r="J1591" s="53"/>
      <c r="K1591" s="53"/>
      <c r="L1591" s="53"/>
      <c r="M1591" s="53"/>
    </row>
    <row r="1592" spans="8:13" ht="18" customHeight="1">
      <c r="H1592" s="53"/>
      <c r="I1592" s="53"/>
      <c r="J1592" s="53"/>
      <c r="K1592" s="53"/>
      <c r="L1592" s="53"/>
      <c r="M1592" s="53"/>
    </row>
    <row r="1593" spans="8:13" ht="18" customHeight="1">
      <c r="H1593" s="53"/>
      <c r="I1593" s="53"/>
      <c r="J1593" s="53"/>
      <c r="K1593" s="53"/>
      <c r="L1593" s="53"/>
      <c r="M1593" s="53"/>
    </row>
    <row r="1594" spans="8:13" ht="18" customHeight="1">
      <c r="H1594" s="53"/>
      <c r="I1594" s="53"/>
      <c r="J1594" s="53"/>
      <c r="K1594" s="53"/>
      <c r="L1594" s="53"/>
      <c r="M1594" s="53"/>
    </row>
    <row r="1595" spans="8:13" ht="18" customHeight="1">
      <c r="H1595" s="53"/>
      <c r="I1595" s="53"/>
      <c r="J1595" s="53"/>
      <c r="K1595" s="53"/>
      <c r="L1595" s="53"/>
      <c r="M1595" s="53"/>
    </row>
    <row r="1596" spans="8:13" ht="18" customHeight="1">
      <c r="H1596" s="53"/>
      <c r="I1596" s="53"/>
      <c r="J1596" s="53"/>
      <c r="K1596" s="53"/>
      <c r="L1596" s="53"/>
      <c r="M1596" s="53"/>
    </row>
    <row r="1597" spans="8:13" ht="18" customHeight="1">
      <c r="H1597" s="53"/>
      <c r="I1597" s="53"/>
      <c r="J1597" s="53"/>
      <c r="K1597" s="53"/>
      <c r="L1597" s="53"/>
      <c r="M1597" s="53"/>
    </row>
    <row r="1598" spans="8:13" ht="18" customHeight="1">
      <c r="H1598" s="53"/>
      <c r="I1598" s="53"/>
      <c r="J1598" s="53"/>
      <c r="K1598" s="53"/>
      <c r="L1598" s="53"/>
      <c r="M1598" s="53"/>
    </row>
    <row r="1599" spans="8:13" ht="18" customHeight="1">
      <c r="H1599" s="53"/>
      <c r="I1599" s="53"/>
      <c r="J1599" s="53"/>
      <c r="K1599" s="53"/>
      <c r="L1599" s="53"/>
      <c r="M1599" s="53"/>
    </row>
    <row r="1600" spans="8:13" ht="18" customHeight="1">
      <c r="H1600" s="53"/>
      <c r="I1600" s="53"/>
      <c r="J1600" s="53"/>
      <c r="K1600" s="53"/>
      <c r="L1600" s="53"/>
      <c r="M1600" s="53"/>
    </row>
    <row r="1601" spans="8:13" ht="18" customHeight="1">
      <c r="H1601" s="53"/>
      <c r="I1601" s="53"/>
      <c r="J1601" s="53"/>
      <c r="K1601" s="53"/>
      <c r="L1601" s="53"/>
      <c r="M1601" s="53"/>
    </row>
    <row r="1602" spans="8:13" ht="18" customHeight="1">
      <c r="H1602" s="53"/>
      <c r="I1602" s="53"/>
      <c r="J1602" s="53"/>
      <c r="K1602" s="53"/>
      <c r="L1602" s="53"/>
      <c r="M1602" s="53"/>
    </row>
    <row r="1603" spans="8:13" ht="18" customHeight="1">
      <c r="H1603" s="53"/>
      <c r="I1603" s="53"/>
      <c r="J1603" s="53"/>
      <c r="K1603" s="53"/>
      <c r="L1603" s="53"/>
      <c r="M1603" s="53"/>
    </row>
    <row r="1604" spans="8:13" ht="18" customHeight="1">
      <c r="H1604" s="53"/>
      <c r="I1604" s="53"/>
      <c r="J1604" s="53"/>
      <c r="K1604" s="53"/>
      <c r="L1604" s="53"/>
      <c r="M1604" s="53"/>
    </row>
    <row r="1605" spans="8:13" ht="18" customHeight="1">
      <c r="H1605" s="53"/>
      <c r="I1605" s="53"/>
      <c r="J1605" s="53"/>
      <c r="K1605" s="53"/>
      <c r="L1605" s="53"/>
      <c r="M1605" s="53"/>
    </row>
    <row r="1606" spans="8:13" ht="18" customHeight="1">
      <c r="H1606" s="53"/>
      <c r="I1606" s="53"/>
      <c r="J1606" s="53"/>
      <c r="K1606" s="53"/>
      <c r="L1606" s="53"/>
      <c r="M1606" s="53"/>
    </row>
    <row r="1607" spans="8:13" ht="18" customHeight="1">
      <c r="H1607" s="53"/>
      <c r="I1607" s="53"/>
      <c r="J1607" s="53"/>
      <c r="K1607" s="53"/>
      <c r="L1607" s="53"/>
      <c r="M1607" s="53"/>
    </row>
    <row r="1608" spans="8:13" ht="18" customHeight="1">
      <c r="H1608" s="53"/>
      <c r="I1608" s="53"/>
      <c r="J1608" s="53"/>
      <c r="K1608" s="53"/>
      <c r="L1608" s="53"/>
      <c r="M1608" s="53"/>
    </row>
    <row r="1609" spans="8:13" ht="18" customHeight="1">
      <c r="H1609" s="53"/>
      <c r="I1609" s="53"/>
      <c r="J1609" s="53"/>
      <c r="K1609" s="53"/>
      <c r="L1609" s="53"/>
      <c r="M1609" s="53"/>
    </row>
    <row r="1610" spans="8:13" ht="18" customHeight="1">
      <c r="H1610" s="53"/>
      <c r="I1610" s="53"/>
      <c r="J1610" s="53"/>
      <c r="K1610" s="53"/>
      <c r="L1610" s="53"/>
      <c r="M1610" s="53"/>
    </row>
    <row r="1611" spans="8:13" ht="18" customHeight="1">
      <c r="H1611" s="53"/>
      <c r="I1611" s="53"/>
      <c r="J1611" s="53"/>
      <c r="K1611" s="53"/>
      <c r="L1611" s="53"/>
      <c r="M1611" s="53"/>
    </row>
    <row r="1612" spans="8:13" ht="18" customHeight="1">
      <c r="H1612" s="53"/>
      <c r="I1612" s="53"/>
      <c r="J1612" s="53"/>
      <c r="K1612" s="53"/>
      <c r="L1612" s="53"/>
      <c r="M1612" s="53"/>
    </row>
    <row r="1613" spans="8:13" ht="18" customHeight="1">
      <c r="H1613" s="53"/>
      <c r="I1613" s="53"/>
      <c r="J1613" s="53"/>
      <c r="K1613" s="53"/>
      <c r="L1613" s="53"/>
      <c r="M1613" s="53"/>
    </row>
    <row r="1614" spans="8:13" ht="18" customHeight="1">
      <c r="H1614" s="53"/>
      <c r="I1614" s="53"/>
      <c r="J1614" s="53"/>
      <c r="K1614" s="53"/>
      <c r="L1614" s="53"/>
      <c r="M1614" s="53"/>
    </row>
    <row r="1615" spans="8:13" ht="18" customHeight="1">
      <c r="H1615" s="53"/>
      <c r="I1615" s="53"/>
      <c r="J1615" s="53"/>
      <c r="K1615" s="53"/>
      <c r="L1615" s="53"/>
      <c r="M1615" s="53"/>
    </row>
    <row r="1616" spans="8:13" ht="18" customHeight="1">
      <c r="H1616" s="53"/>
      <c r="I1616" s="53"/>
      <c r="J1616" s="53"/>
      <c r="K1616" s="53"/>
      <c r="L1616" s="53"/>
      <c r="M1616" s="53"/>
    </row>
    <row r="1617" spans="8:13" ht="18" customHeight="1">
      <c r="H1617" s="53"/>
      <c r="I1617" s="53"/>
      <c r="J1617" s="53"/>
      <c r="K1617" s="53"/>
      <c r="L1617" s="53"/>
      <c r="M1617" s="53"/>
    </row>
    <row r="1618" spans="8:13" ht="18" customHeight="1">
      <c r="H1618" s="53"/>
      <c r="I1618" s="53"/>
      <c r="J1618" s="53"/>
      <c r="K1618" s="53"/>
      <c r="L1618" s="53"/>
      <c r="M1618" s="53"/>
    </row>
    <row r="1619" spans="8:13" ht="18" customHeight="1">
      <c r="H1619" s="53"/>
      <c r="I1619" s="53"/>
      <c r="J1619" s="53"/>
      <c r="K1619" s="53"/>
      <c r="L1619" s="53"/>
      <c r="M1619" s="53"/>
    </row>
    <row r="1620" spans="8:13" ht="18" customHeight="1">
      <c r="H1620" s="53"/>
      <c r="I1620" s="53"/>
      <c r="J1620" s="53"/>
      <c r="K1620" s="53"/>
      <c r="L1620" s="53"/>
      <c r="M1620" s="53"/>
    </row>
    <row r="1621" spans="8:13" ht="18" customHeight="1">
      <c r="H1621" s="53"/>
      <c r="I1621" s="53"/>
      <c r="J1621" s="53"/>
      <c r="K1621" s="53"/>
      <c r="L1621" s="53"/>
      <c r="M1621" s="53"/>
    </row>
    <row r="1622" spans="8:13" ht="18" customHeight="1">
      <c r="H1622" s="53"/>
      <c r="I1622" s="53"/>
      <c r="J1622" s="53"/>
      <c r="K1622" s="53"/>
      <c r="L1622" s="53"/>
      <c r="M1622" s="53"/>
    </row>
    <row r="1623" spans="8:13" ht="18" customHeight="1">
      <c r="H1623" s="53"/>
      <c r="I1623" s="53"/>
      <c r="J1623" s="53"/>
      <c r="K1623" s="53"/>
      <c r="L1623" s="53"/>
      <c r="M1623" s="53"/>
    </row>
    <row r="1624" spans="8:13" ht="18" customHeight="1">
      <c r="H1624" s="53"/>
      <c r="I1624" s="53"/>
      <c r="J1624" s="53"/>
      <c r="K1624" s="53"/>
      <c r="L1624" s="53"/>
      <c r="M1624" s="53"/>
    </row>
    <row r="1625" spans="8:13" ht="18" customHeight="1">
      <c r="H1625" s="53"/>
      <c r="I1625" s="53"/>
      <c r="J1625" s="53"/>
      <c r="K1625" s="53"/>
      <c r="L1625" s="53"/>
      <c r="M1625" s="53"/>
    </row>
    <row r="1626" spans="8:13" ht="18" customHeight="1">
      <c r="H1626" s="53"/>
      <c r="I1626" s="53"/>
      <c r="J1626" s="53"/>
      <c r="K1626" s="53"/>
      <c r="L1626" s="53"/>
      <c r="M1626" s="53"/>
    </row>
    <row r="1627" spans="8:13" ht="18" customHeight="1">
      <c r="H1627" s="53"/>
      <c r="I1627" s="53"/>
      <c r="J1627" s="53"/>
      <c r="K1627" s="53"/>
      <c r="L1627" s="53"/>
      <c r="M1627" s="53"/>
    </row>
    <row r="1628" spans="8:13" ht="18" customHeight="1">
      <c r="H1628" s="53"/>
      <c r="I1628" s="53"/>
      <c r="J1628" s="53"/>
      <c r="K1628" s="53"/>
      <c r="L1628" s="53"/>
      <c r="M1628" s="53"/>
    </row>
    <row r="1629" spans="8:13" ht="18" customHeight="1">
      <c r="H1629" s="53"/>
      <c r="I1629" s="53"/>
      <c r="J1629" s="53"/>
      <c r="K1629" s="53"/>
      <c r="L1629" s="53"/>
      <c r="M1629" s="53"/>
    </row>
    <row r="1630" spans="8:13" ht="18" customHeight="1">
      <c r="H1630" s="53"/>
      <c r="I1630" s="53"/>
      <c r="J1630" s="53"/>
      <c r="K1630" s="53"/>
      <c r="L1630" s="53"/>
      <c r="M1630" s="53"/>
    </row>
    <row r="1631" spans="8:13" ht="18" customHeight="1">
      <c r="H1631" s="53"/>
      <c r="I1631" s="53"/>
      <c r="J1631" s="53"/>
      <c r="K1631" s="53"/>
      <c r="L1631" s="53"/>
      <c r="M1631" s="53"/>
    </row>
    <row r="1632" spans="8:13" ht="18" customHeight="1">
      <c r="H1632" s="53"/>
      <c r="I1632" s="53"/>
      <c r="J1632" s="53"/>
      <c r="K1632" s="53"/>
      <c r="L1632" s="53"/>
      <c r="M1632" s="53"/>
    </row>
    <row r="1633" spans="8:13" ht="18" customHeight="1">
      <c r="H1633" s="53"/>
      <c r="I1633" s="53"/>
      <c r="J1633" s="53"/>
      <c r="K1633" s="53"/>
      <c r="L1633" s="53"/>
      <c r="M1633" s="53"/>
    </row>
    <row r="1634" spans="8:13" ht="18" customHeight="1">
      <c r="H1634" s="53"/>
      <c r="I1634" s="53"/>
      <c r="J1634" s="53"/>
      <c r="K1634" s="53"/>
      <c r="L1634" s="53"/>
      <c r="M1634" s="53"/>
    </row>
    <row r="1635" spans="8:13" ht="18" customHeight="1">
      <c r="H1635" s="53"/>
      <c r="I1635" s="53"/>
      <c r="J1635" s="53"/>
      <c r="K1635" s="53"/>
      <c r="L1635" s="53"/>
      <c r="M1635" s="53"/>
    </row>
    <row r="1636" spans="8:13" ht="18" customHeight="1">
      <c r="H1636" s="53"/>
      <c r="I1636" s="53"/>
      <c r="J1636" s="53"/>
      <c r="K1636" s="53"/>
      <c r="L1636" s="53"/>
      <c r="M1636" s="53"/>
    </row>
    <row r="1637" spans="8:13" ht="18" customHeight="1">
      <c r="H1637" s="53"/>
      <c r="I1637" s="53"/>
      <c r="J1637" s="53"/>
      <c r="K1637" s="53"/>
      <c r="L1637" s="53"/>
      <c r="M1637" s="53"/>
    </row>
    <row r="1638" spans="8:13" ht="18" customHeight="1">
      <c r="H1638" s="53"/>
      <c r="I1638" s="53"/>
      <c r="J1638" s="53"/>
      <c r="K1638" s="53"/>
      <c r="L1638" s="53"/>
      <c r="M1638" s="53"/>
    </row>
    <row r="1639" spans="8:13" ht="18" customHeight="1">
      <c r="H1639" s="53"/>
      <c r="I1639" s="53"/>
      <c r="J1639" s="53"/>
      <c r="K1639" s="53"/>
      <c r="L1639" s="53"/>
      <c r="M1639" s="53"/>
    </row>
    <row r="1640" spans="8:13" ht="18" customHeight="1">
      <c r="H1640" s="53"/>
      <c r="I1640" s="53"/>
      <c r="J1640" s="53"/>
      <c r="K1640" s="53"/>
      <c r="L1640" s="53"/>
      <c r="M1640" s="53"/>
    </row>
    <row r="1641" spans="8:13" ht="18" customHeight="1">
      <c r="H1641" s="53"/>
      <c r="I1641" s="53"/>
      <c r="J1641" s="53"/>
      <c r="K1641" s="53"/>
      <c r="L1641" s="53"/>
      <c r="M1641" s="53"/>
    </row>
    <row r="1642" spans="8:13" ht="18" customHeight="1">
      <c r="H1642" s="53"/>
      <c r="I1642" s="53"/>
      <c r="J1642" s="53"/>
      <c r="K1642" s="53"/>
      <c r="L1642" s="53"/>
      <c r="M1642" s="53"/>
    </row>
    <row r="1643" spans="8:13" ht="18" customHeight="1">
      <c r="H1643" s="53"/>
      <c r="I1643" s="53"/>
      <c r="J1643" s="53"/>
      <c r="K1643" s="53"/>
      <c r="L1643" s="53"/>
      <c r="M1643" s="53"/>
    </row>
    <row r="1644" spans="8:13" ht="18" customHeight="1">
      <c r="H1644" s="53"/>
      <c r="I1644" s="53"/>
      <c r="J1644" s="53"/>
      <c r="K1644" s="53"/>
      <c r="L1644" s="53"/>
      <c r="M1644" s="53"/>
    </row>
    <row r="1645" spans="8:13" ht="18" customHeight="1">
      <c r="H1645" s="53"/>
      <c r="I1645" s="53"/>
      <c r="J1645" s="53"/>
      <c r="K1645" s="53"/>
      <c r="L1645" s="53"/>
      <c r="M1645" s="53"/>
    </row>
    <row r="1646" spans="8:13" ht="18" customHeight="1">
      <c r="H1646" s="53"/>
      <c r="I1646" s="53"/>
      <c r="J1646" s="53"/>
      <c r="K1646" s="53"/>
      <c r="L1646" s="53"/>
      <c r="M1646" s="53"/>
    </row>
    <row r="1647" spans="8:13" ht="18" customHeight="1">
      <c r="H1647" s="53"/>
      <c r="I1647" s="53"/>
      <c r="J1647" s="53"/>
      <c r="K1647" s="53"/>
      <c r="L1647" s="53"/>
      <c r="M1647" s="53"/>
    </row>
    <row r="1648" spans="8:13" ht="18" customHeight="1">
      <c r="H1648" s="53"/>
      <c r="I1648" s="53"/>
      <c r="J1648" s="53"/>
      <c r="K1648" s="53"/>
      <c r="L1648" s="53"/>
      <c r="M1648" s="53"/>
    </row>
    <row r="1649" spans="8:13" ht="18" customHeight="1">
      <c r="H1649" s="53"/>
      <c r="I1649" s="53"/>
      <c r="J1649" s="53"/>
      <c r="K1649" s="53"/>
      <c r="L1649" s="53"/>
      <c r="M1649" s="53"/>
    </row>
    <row r="1650" spans="8:13" ht="18" customHeight="1">
      <c r="H1650" s="53"/>
      <c r="I1650" s="53"/>
      <c r="J1650" s="53"/>
      <c r="K1650" s="53"/>
      <c r="L1650" s="53"/>
      <c r="M1650" s="53"/>
    </row>
    <row r="1651" spans="8:13" ht="18" customHeight="1">
      <c r="H1651" s="53"/>
      <c r="I1651" s="53"/>
      <c r="J1651" s="53"/>
      <c r="K1651" s="53"/>
      <c r="L1651" s="53"/>
      <c r="M1651" s="53"/>
    </row>
    <row r="1652" spans="8:13" ht="18" customHeight="1">
      <c r="H1652" s="53"/>
      <c r="I1652" s="53"/>
      <c r="J1652" s="53"/>
      <c r="K1652" s="53"/>
      <c r="L1652" s="53"/>
      <c r="M1652" s="53"/>
    </row>
    <row r="1653" spans="8:13" ht="18" customHeight="1">
      <c r="H1653" s="53"/>
      <c r="I1653" s="53"/>
      <c r="J1653" s="53"/>
      <c r="K1653" s="53"/>
      <c r="L1653" s="53"/>
      <c r="M1653" s="53"/>
    </row>
    <row r="1654" spans="8:13" ht="18" customHeight="1">
      <c r="H1654" s="53"/>
      <c r="I1654" s="53"/>
      <c r="J1654" s="53"/>
      <c r="K1654" s="53"/>
      <c r="L1654" s="53"/>
      <c r="M1654" s="53"/>
    </row>
    <row r="1655" spans="8:13" ht="18" customHeight="1">
      <c r="H1655" s="53"/>
      <c r="I1655" s="53"/>
      <c r="J1655" s="53"/>
      <c r="K1655" s="53"/>
      <c r="L1655" s="53"/>
      <c r="M1655" s="53"/>
    </row>
    <row r="1656" spans="8:13" ht="18" customHeight="1">
      <c r="H1656" s="53"/>
      <c r="I1656" s="53"/>
      <c r="J1656" s="53"/>
      <c r="K1656" s="53"/>
      <c r="L1656" s="53"/>
      <c r="M1656" s="53"/>
    </row>
    <row r="1657" spans="8:13" ht="18" customHeight="1">
      <c r="H1657" s="53"/>
      <c r="I1657" s="53"/>
      <c r="J1657" s="53"/>
      <c r="K1657" s="53"/>
      <c r="L1657" s="53"/>
      <c r="M1657" s="53"/>
    </row>
    <row r="1658" spans="8:13" ht="18" customHeight="1">
      <c r="H1658" s="53"/>
      <c r="I1658" s="53"/>
      <c r="J1658" s="53"/>
      <c r="K1658" s="53"/>
      <c r="L1658" s="53"/>
      <c r="M1658" s="53"/>
    </row>
    <row r="1659" spans="8:13" ht="18" customHeight="1">
      <c r="H1659" s="53"/>
      <c r="I1659" s="53"/>
      <c r="J1659" s="53"/>
      <c r="K1659" s="53"/>
      <c r="L1659" s="53"/>
      <c r="M1659" s="53"/>
    </row>
    <row r="1660" spans="8:13" ht="18" customHeight="1">
      <c r="H1660" s="53"/>
      <c r="I1660" s="53"/>
      <c r="J1660" s="53"/>
      <c r="K1660" s="53"/>
      <c r="L1660" s="53"/>
      <c r="M1660" s="53"/>
    </row>
    <row r="1661" spans="8:13" ht="18" customHeight="1">
      <c r="H1661" s="53"/>
      <c r="I1661" s="53"/>
      <c r="J1661" s="53"/>
      <c r="K1661" s="53"/>
      <c r="L1661" s="53"/>
      <c r="M1661" s="53"/>
    </row>
    <row r="1662" spans="8:13" ht="18" customHeight="1">
      <c r="H1662" s="53"/>
      <c r="I1662" s="53"/>
      <c r="J1662" s="53"/>
      <c r="K1662" s="53"/>
      <c r="L1662" s="53"/>
      <c r="M1662" s="53"/>
    </row>
    <row r="1663" spans="8:13" ht="18" customHeight="1">
      <c r="H1663" s="53"/>
      <c r="I1663" s="53"/>
      <c r="J1663" s="53"/>
      <c r="K1663" s="53"/>
      <c r="L1663" s="53"/>
      <c r="M1663" s="53"/>
    </row>
    <row r="1664" spans="8:13" ht="18" customHeight="1">
      <c r="H1664" s="53"/>
      <c r="I1664" s="53"/>
      <c r="J1664" s="53"/>
      <c r="K1664" s="53"/>
      <c r="L1664" s="53"/>
      <c r="M1664" s="53"/>
    </row>
    <row r="1665" spans="8:13" ht="18" customHeight="1">
      <c r="H1665" s="53"/>
      <c r="I1665" s="53"/>
      <c r="J1665" s="53"/>
      <c r="K1665" s="53"/>
      <c r="L1665" s="53"/>
      <c r="M1665" s="53"/>
    </row>
    <row r="1666" spans="8:13" ht="18" customHeight="1">
      <c r="H1666" s="53"/>
      <c r="I1666" s="53"/>
      <c r="J1666" s="53"/>
      <c r="K1666" s="53"/>
      <c r="L1666" s="53"/>
      <c r="M1666" s="53"/>
    </row>
    <row r="1667" spans="8:13" ht="18" customHeight="1">
      <c r="H1667" s="53"/>
      <c r="I1667" s="53"/>
      <c r="J1667" s="53"/>
      <c r="K1667" s="53"/>
      <c r="L1667" s="53"/>
      <c r="M1667" s="53"/>
    </row>
    <row r="1668" spans="8:13" ht="18" customHeight="1">
      <c r="H1668" s="53"/>
      <c r="I1668" s="53"/>
      <c r="J1668" s="53"/>
      <c r="K1668" s="53"/>
      <c r="L1668" s="53"/>
      <c r="M1668" s="53"/>
    </row>
    <row r="1669" spans="8:13" ht="18" customHeight="1">
      <c r="H1669" s="53"/>
      <c r="I1669" s="53"/>
      <c r="J1669" s="53"/>
      <c r="K1669" s="53"/>
      <c r="L1669" s="53"/>
      <c r="M1669" s="53"/>
    </row>
    <row r="1670" spans="8:13" ht="18" customHeight="1">
      <c r="H1670" s="53"/>
      <c r="I1670" s="53"/>
      <c r="J1670" s="53"/>
      <c r="K1670" s="53"/>
      <c r="L1670" s="53"/>
      <c r="M1670" s="53"/>
    </row>
    <row r="1671" spans="8:13" ht="18" customHeight="1">
      <c r="H1671" s="53"/>
      <c r="I1671" s="53"/>
      <c r="J1671" s="53"/>
      <c r="K1671" s="53"/>
      <c r="L1671" s="53"/>
      <c r="M1671" s="53"/>
    </row>
    <row r="1672" spans="8:13" ht="18" customHeight="1">
      <c r="H1672" s="53"/>
      <c r="I1672" s="53"/>
      <c r="J1672" s="53"/>
      <c r="K1672" s="53"/>
      <c r="L1672" s="53"/>
      <c r="M1672" s="53"/>
    </row>
    <row r="1673" spans="8:13" ht="18" customHeight="1">
      <c r="H1673" s="53"/>
      <c r="I1673" s="53"/>
      <c r="J1673" s="53"/>
      <c r="K1673" s="53"/>
      <c r="L1673" s="53"/>
      <c r="M1673" s="53"/>
    </row>
    <row r="1674" spans="8:13" ht="18" customHeight="1">
      <c r="H1674" s="53"/>
      <c r="I1674" s="53"/>
      <c r="J1674" s="53"/>
      <c r="K1674" s="53"/>
      <c r="L1674" s="53"/>
      <c r="M1674" s="53"/>
    </row>
    <row r="1675" spans="8:13" ht="18" customHeight="1">
      <c r="H1675" s="53"/>
      <c r="I1675" s="53"/>
      <c r="J1675" s="53"/>
      <c r="K1675" s="53"/>
      <c r="L1675" s="53"/>
      <c r="M1675" s="53"/>
    </row>
    <row r="1676" spans="8:13" ht="18" customHeight="1">
      <c r="H1676" s="53"/>
      <c r="I1676" s="53"/>
      <c r="J1676" s="53"/>
      <c r="K1676" s="53"/>
      <c r="L1676" s="53"/>
      <c r="M1676" s="53"/>
    </row>
    <row r="1677" spans="8:13" ht="18" customHeight="1">
      <c r="H1677" s="53"/>
      <c r="I1677" s="53"/>
      <c r="J1677" s="53"/>
      <c r="K1677" s="53"/>
      <c r="L1677" s="53"/>
      <c r="M1677" s="53"/>
    </row>
    <row r="1678" spans="8:13" ht="18" customHeight="1">
      <c r="H1678" s="53"/>
      <c r="I1678" s="53"/>
      <c r="J1678" s="53"/>
      <c r="K1678" s="53"/>
      <c r="L1678" s="53"/>
      <c r="M1678" s="53"/>
    </row>
    <row r="1679" spans="8:13" ht="18" customHeight="1">
      <c r="H1679" s="53"/>
      <c r="I1679" s="53"/>
      <c r="J1679" s="53"/>
      <c r="K1679" s="53"/>
      <c r="L1679" s="53"/>
      <c r="M1679" s="53"/>
    </row>
    <row r="1680" spans="8:13" ht="18" customHeight="1">
      <c r="H1680" s="53"/>
      <c r="I1680" s="53"/>
      <c r="J1680" s="53"/>
      <c r="K1680" s="53"/>
      <c r="L1680" s="53"/>
      <c r="M1680" s="53"/>
    </row>
    <row r="1681" spans="8:13" ht="18" customHeight="1">
      <c r="H1681" s="53"/>
      <c r="I1681" s="53"/>
      <c r="J1681" s="53"/>
      <c r="K1681" s="53"/>
      <c r="L1681" s="53"/>
      <c r="M1681" s="53"/>
    </row>
    <row r="1682" spans="8:13" ht="18" customHeight="1">
      <c r="H1682" s="53"/>
      <c r="I1682" s="53"/>
      <c r="J1682" s="53"/>
      <c r="K1682" s="53"/>
      <c r="L1682" s="53"/>
      <c r="M1682" s="53"/>
    </row>
    <row r="1683" spans="8:13" ht="18" customHeight="1">
      <c r="H1683" s="53"/>
      <c r="I1683" s="53"/>
      <c r="J1683" s="53"/>
      <c r="K1683" s="53"/>
      <c r="L1683" s="53"/>
      <c r="M1683" s="53"/>
    </row>
    <row r="1684" spans="8:13" ht="18" customHeight="1">
      <c r="H1684" s="53"/>
      <c r="I1684" s="53"/>
      <c r="J1684" s="53"/>
      <c r="K1684" s="53"/>
      <c r="L1684" s="53"/>
      <c r="M1684" s="53"/>
    </row>
    <row r="1685" spans="8:13" ht="18" customHeight="1">
      <c r="H1685" s="53"/>
      <c r="I1685" s="53"/>
      <c r="J1685" s="53"/>
      <c r="K1685" s="53"/>
      <c r="L1685" s="53"/>
      <c r="M1685" s="53"/>
    </row>
    <row r="1686" spans="8:13" ht="18" customHeight="1">
      <c r="H1686" s="53"/>
      <c r="I1686" s="53"/>
      <c r="J1686" s="53"/>
      <c r="K1686" s="53"/>
      <c r="L1686" s="53"/>
      <c r="M1686" s="53"/>
    </row>
    <row r="1687" spans="8:13" ht="18" customHeight="1">
      <c r="H1687" s="53"/>
      <c r="I1687" s="53"/>
      <c r="J1687" s="53"/>
      <c r="K1687" s="53"/>
      <c r="L1687" s="53"/>
      <c r="M1687" s="53"/>
    </row>
    <row r="1688" spans="8:13" ht="18" customHeight="1">
      <c r="H1688" s="53"/>
      <c r="I1688" s="53"/>
      <c r="J1688" s="53"/>
      <c r="K1688" s="53"/>
      <c r="L1688" s="53"/>
      <c r="M1688" s="53"/>
    </row>
    <row r="1689" spans="8:13" ht="18" customHeight="1">
      <c r="H1689" s="53"/>
      <c r="I1689" s="53"/>
      <c r="J1689" s="53"/>
      <c r="K1689" s="53"/>
      <c r="L1689" s="53"/>
      <c r="M1689" s="53"/>
    </row>
    <row r="1690" spans="8:13" ht="18" customHeight="1">
      <c r="H1690" s="53"/>
      <c r="I1690" s="53"/>
      <c r="J1690" s="53"/>
      <c r="K1690" s="53"/>
      <c r="L1690" s="53"/>
      <c r="M1690" s="53"/>
    </row>
    <row r="1691" spans="8:13" ht="18" customHeight="1">
      <c r="H1691" s="53"/>
      <c r="I1691" s="53"/>
      <c r="J1691" s="53"/>
      <c r="K1691" s="53"/>
      <c r="L1691" s="53"/>
      <c r="M1691" s="53"/>
    </row>
    <row r="1692" spans="8:13" ht="18" customHeight="1">
      <c r="H1692" s="53"/>
      <c r="I1692" s="53"/>
      <c r="J1692" s="53"/>
      <c r="K1692" s="53"/>
      <c r="L1692" s="53"/>
      <c r="M1692" s="53"/>
    </row>
    <row r="1693" spans="8:13" ht="18" customHeight="1">
      <c r="H1693" s="53"/>
      <c r="I1693" s="53"/>
      <c r="J1693" s="53"/>
      <c r="K1693" s="53"/>
      <c r="L1693" s="53"/>
      <c r="M1693" s="53"/>
    </row>
    <row r="1694" spans="8:13" ht="18" customHeight="1">
      <c r="H1694" s="53"/>
      <c r="I1694" s="53"/>
      <c r="J1694" s="53"/>
      <c r="K1694" s="53"/>
      <c r="L1694" s="53"/>
      <c r="M1694" s="53"/>
    </row>
    <row r="1695" spans="8:13" ht="18" customHeight="1">
      <c r="H1695" s="53"/>
      <c r="I1695" s="53"/>
      <c r="J1695" s="53"/>
      <c r="K1695" s="53"/>
      <c r="L1695" s="53"/>
      <c r="M1695" s="53"/>
    </row>
    <row r="1696" spans="8:13" ht="18" customHeight="1">
      <c r="H1696" s="53"/>
      <c r="I1696" s="53"/>
      <c r="J1696" s="53"/>
      <c r="K1696" s="53"/>
      <c r="L1696" s="53"/>
      <c r="M1696" s="53"/>
    </row>
    <row r="1697" spans="8:13" ht="18" customHeight="1">
      <c r="H1697" s="53"/>
      <c r="I1697" s="53"/>
      <c r="J1697" s="53"/>
      <c r="K1697" s="53"/>
      <c r="L1697" s="53"/>
      <c r="M1697" s="53"/>
    </row>
    <row r="1698" spans="8:13" ht="18" customHeight="1">
      <c r="H1698" s="53"/>
      <c r="I1698" s="53"/>
      <c r="J1698" s="53"/>
      <c r="K1698" s="53"/>
      <c r="L1698" s="53"/>
      <c r="M1698" s="53"/>
    </row>
    <row r="1699" spans="8:13" ht="18" customHeight="1">
      <c r="H1699" s="53"/>
      <c r="I1699" s="53"/>
      <c r="J1699" s="53"/>
      <c r="K1699" s="53"/>
      <c r="L1699" s="53"/>
      <c r="M1699" s="53"/>
    </row>
    <row r="1700" spans="8:13" ht="18" customHeight="1">
      <c r="H1700" s="53"/>
      <c r="I1700" s="53"/>
      <c r="J1700" s="53"/>
      <c r="K1700" s="53"/>
      <c r="L1700" s="53"/>
      <c r="M1700" s="53"/>
    </row>
    <row r="1701" spans="8:13" ht="18" customHeight="1">
      <c r="H1701" s="53"/>
      <c r="I1701" s="53"/>
      <c r="J1701" s="53"/>
      <c r="K1701" s="53"/>
      <c r="L1701" s="53"/>
      <c r="M1701" s="53"/>
    </row>
    <row r="1702" spans="8:13" ht="18" customHeight="1">
      <c r="H1702" s="53"/>
      <c r="I1702" s="53"/>
      <c r="J1702" s="53"/>
      <c r="K1702" s="53"/>
      <c r="L1702" s="53"/>
      <c r="M1702" s="53"/>
    </row>
    <row r="1703" spans="8:13" ht="18" customHeight="1">
      <c r="H1703" s="53"/>
      <c r="I1703" s="53"/>
      <c r="J1703" s="53"/>
      <c r="K1703" s="53"/>
      <c r="L1703" s="53"/>
      <c r="M1703" s="53"/>
    </row>
    <row r="1704" spans="8:13" ht="18" customHeight="1">
      <c r="H1704" s="53"/>
      <c r="I1704" s="53"/>
      <c r="J1704" s="53"/>
      <c r="K1704" s="53"/>
      <c r="L1704" s="53"/>
      <c r="M1704" s="53"/>
    </row>
    <row r="1705" spans="8:13" ht="18" customHeight="1">
      <c r="H1705" s="53"/>
      <c r="I1705" s="53"/>
      <c r="J1705" s="53"/>
      <c r="K1705" s="53"/>
      <c r="L1705" s="53"/>
      <c r="M1705" s="53"/>
    </row>
    <row r="1706" spans="8:13" ht="18" customHeight="1">
      <c r="H1706" s="53"/>
      <c r="I1706" s="53"/>
      <c r="J1706" s="53"/>
      <c r="K1706" s="53"/>
      <c r="L1706" s="53"/>
      <c r="M1706" s="53"/>
    </row>
    <row r="1707" spans="8:13" ht="18" customHeight="1">
      <c r="H1707" s="53"/>
      <c r="I1707" s="53"/>
      <c r="J1707" s="53"/>
      <c r="K1707" s="53"/>
      <c r="L1707" s="53"/>
      <c r="M1707" s="53"/>
    </row>
    <row r="1708" spans="8:13" ht="18" customHeight="1">
      <c r="H1708" s="53"/>
      <c r="I1708" s="53"/>
      <c r="J1708" s="53"/>
      <c r="K1708" s="53"/>
      <c r="L1708" s="53"/>
      <c r="M1708" s="53"/>
    </row>
    <row r="1709" spans="8:13" ht="18" customHeight="1">
      <c r="H1709" s="53"/>
      <c r="I1709" s="53"/>
      <c r="J1709" s="53"/>
      <c r="K1709" s="53"/>
      <c r="L1709" s="53"/>
      <c r="M1709" s="53"/>
    </row>
    <row r="1710" spans="8:13" ht="18" customHeight="1">
      <c r="H1710" s="53"/>
      <c r="I1710" s="53"/>
      <c r="J1710" s="53"/>
      <c r="K1710" s="53"/>
      <c r="L1710" s="53"/>
      <c r="M1710" s="53"/>
    </row>
    <row r="1711" spans="8:13" ht="18" customHeight="1">
      <c r="H1711" s="53"/>
      <c r="I1711" s="53"/>
      <c r="J1711" s="53"/>
      <c r="K1711" s="53"/>
      <c r="L1711" s="53"/>
      <c r="M1711" s="53"/>
    </row>
    <row r="1712" spans="8:13" ht="18" customHeight="1">
      <c r="H1712" s="53"/>
      <c r="I1712" s="53"/>
      <c r="J1712" s="53"/>
      <c r="K1712" s="53"/>
      <c r="L1712" s="53"/>
      <c r="M1712" s="53"/>
    </row>
    <row r="1713" spans="8:13" ht="18" customHeight="1">
      <c r="H1713" s="53"/>
      <c r="I1713" s="53"/>
      <c r="J1713" s="53"/>
      <c r="K1713" s="53"/>
      <c r="L1713" s="53"/>
      <c r="M1713" s="53"/>
    </row>
    <row r="1714" spans="8:13" ht="18" customHeight="1">
      <c r="H1714" s="53"/>
      <c r="I1714" s="53"/>
      <c r="J1714" s="53"/>
      <c r="K1714" s="53"/>
      <c r="L1714" s="53"/>
      <c r="M1714" s="53"/>
    </row>
    <row r="1715" spans="8:13" ht="18" customHeight="1">
      <c r="H1715" s="53"/>
      <c r="I1715" s="53"/>
      <c r="J1715" s="53"/>
      <c r="K1715" s="53"/>
      <c r="L1715" s="53"/>
      <c r="M1715" s="53"/>
    </row>
    <row r="1716" spans="8:13" ht="18" customHeight="1">
      <c r="H1716" s="53"/>
      <c r="I1716" s="53"/>
      <c r="J1716" s="53"/>
      <c r="K1716" s="53"/>
      <c r="L1716" s="53"/>
      <c r="M1716" s="53"/>
    </row>
    <row r="1717" spans="8:13" ht="18" customHeight="1">
      <c r="H1717" s="53"/>
      <c r="I1717" s="53"/>
      <c r="J1717" s="53"/>
      <c r="K1717" s="53"/>
      <c r="L1717" s="53"/>
      <c r="M1717" s="53"/>
    </row>
    <row r="1718" spans="8:13" ht="18" customHeight="1">
      <c r="H1718" s="53"/>
      <c r="I1718" s="53"/>
      <c r="J1718" s="53"/>
      <c r="K1718" s="53"/>
      <c r="L1718" s="53"/>
      <c r="M1718" s="53"/>
    </row>
    <row r="1719" spans="8:13" ht="18" customHeight="1">
      <c r="H1719" s="53"/>
      <c r="I1719" s="53"/>
      <c r="J1719" s="53"/>
      <c r="K1719" s="53"/>
      <c r="L1719" s="53"/>
      <c r="M1719" s="53"/>
    </row>
    <row r="1720" spans="8:13" ht="18" customHeight="1">
      <c r="H1720" s="53"/>
      <c r="I1720" s="53"/>
      <c r="J1720" s="53"/>
      <c r="K1720" s="53"/>
      <c r="L1720" s="53"/>
      <c r="M1720" s="53"/>
    </row>
    <row r="1721" spans="8:13" ht="18" customHeight="1">
      <c r="H1721" s="53"/>
      <c r="I1721" s="53"/>
      <c r="J1721" s="53"/>
      <c r="K1721" s="53"/>
      <c r="L1721" s="53"/>
      <c r="M1721" s="53"/>
    </row>
    <row r="1722" spans="8:13" ht="18" customHeight="1">
      <c r="H1722" s="53"/>
      <c r="I1722" s="53"/>
      <c r="J1722" s="53"/>
      <c r="K1722" s="53"/>
      <c r="L1722" s="53"/>
      <c r="M1722" s="53"/>
    </row>
    <row r="1723" spans="8:13" ht="18" customHeight="1">
      <c r="H1723" s="53"/>
      <c r="I1723" s="53"/>
      <c r="J1723" s="53"/>
      <c r="K1723" s="53"/>
      <c r="L1723" s="53"/>
      <c r="M1723" s="53"/>
    </row>
    <row r="1724" spans="8:13" ht="18" customHeight="1">
      <c r="H1724" s="53"/>
      <c r="I1724" s="53"/>
      <c r="J1724" s="53"/>
      <c r="K1724" s="53"/>
      <c r="L1724" s="53"/>
      <c r="M1724" s="53"/>
    </row>
    <row r="1725" spans="8:13" ht="18" customHeight="1">
      <c r="H1725" s="53"/>
      <c r="I1725" s="53"/>
      <c r="J1725" s="53"/>
      <c r="K1725" s="53"/>
      <c r="L1725" s="53"/>
      <c r="M1725" s="53"/>
    </row>
    <row r="1726" spans="8:13" ht="18" customHeight="1">
      <c r="H1726" s="53"/>
      <c r="I1726" s="53"/>
      <c r="J1726" s="53"/>
      <c r="K1726" s="53"/>
      <c r="L1726" s="53"/>
      <c r="M1726" s="53"/>
    </row>
    <row r="1727" spans="8:13" ht="18" customHeight="1">
      <c r="H1727" s="53"/>
      <c r="I1727" s="53"/>
      <c r="J1727" s="53"/>
      <c r="K1727" s="53"/>
      <c r="L1727" s="53"/>
      <c r="M1727" s="53"/>
    </row>
    <row r="1728" spans="8:13" ht="18" customHeight="1">
      <c r="H1728" s="53"/>
      <c r="I1728" s="53"/>
      <c r="J1728" s="53"/>
      <c r="K1728" s="53"/>
      <c r="L1728" s="53"/>
      <c r="M1728" s="53"/>
    </row>
    <row r="1729" spans="8:13" ht="18" customHeight="1">
      <c r="H1729" s="53"/>
      <c r="I1729" s="53"/>
      <c r="J1729" s="53"/>
      <c r="K1729" s="53"/>
      <c r="L1729" s="53"/>
      <c r="M1729" s="53"/>
    </row>
    <row r="1730" spans="8:13" ht="18" customHeight="1">
      <c r="H1730" s="53"/>
      <c r="I1730" s="53"/>
      <c r="J1730" s="53"/>
      <c r="K1730" s="53"/>
      <c r="L1730" s="53"/>
      <c r="M1730" s="53"/>
    </row>
    <row r="1731" spans="8:13" ht="18" customHeight="1">
      <c r="H1731" s="53"/>
      <c r="I1731" s="53"/>
      <c r="J1731" s="53"/>
      <c r="K1731" s="53"/>
      <c r="L1731" s="53"/>
      <c r="M1731" s="53"/>
    </row>
    <row r="1732" spans="8:13" ht="18" customHeight="1">
      <c r="H1732" s="53"/>
      <c r="I1732" s="53"/>
      <c r="J1732" s="53"/>
      <c r="K1732" s="53"/>
      <c r="L1732" s="53"/>
      <c r="M1732" s="53"/>
    </row>
    <row r="1733" spans="8:13" ht="18" customHeight="1">
      <c r="H1733" s="53"/>
      <c r="I1733" s="53"/>
      <c r="J1733" s="53"/>
      <c r="K1733" s="53"/>
      <c r="L1733" s="53"/>
      <c r="M1733" s="53"/>
    </row>
    <row r="1734" spans="8:13" ht="18" customHeight="1">
      <c r="H1734" s="53"/>
      <c r="I1734" s="53"/>
      <c r="J1734" s="53"/>
      <c r="K1734" s="53"/>
      <c r="L1734" s="53"/>
      <c r="M1734" s="53"/>
    </row>
    <row r="1735" spans="8:13" ht="18" customHeight="1">
      <c r="H1735" s="53"/>
      <c r="I1735" s="53"/>
      <c r="J1735" s="53"/>
      <c r="K1735" s="53"/>
      <c r="L1735" s="53"/>
      <c r="M1735" s="53"/>
    </row>
    <row r="1736" spans="8:13" ht="18" customHeight="1">
      <c r="H1736" s="53"/>
      <c r="I1736" s="53"/>
      <c r="J1736" s="53"/>
      <c r="K1736" s="53"/>
      <c r="L1736" s="53"/>
      <c r="M1736" s="53"/>
    </row>
    <row r="1737" spans="8:13" ht="18" customHeight="1">
      <c r="H1737" s="53"/>
      <c r="I1737" s="53"/>
      <c r="J1737" s="53"/>
      <c r="K1737" s="53"/>
      <c r="L1737" s="53"/>
      <c r="M1737" s="53"/>
    </row>
    <row r="1738" spans="8:13" ht="18" customHeight="1">
      <c r="H1738" s="53"/>
      <c r="I1738" s="53"/>
      <c r="J1738" s="53"/>
      <c r="K1738" s="53"/>
      <c r="L1738" s="53"/>
      <c r="M1738" s="53"/>
    </row>
    <row r="1739" spans="8:13" ht="18" customHeight="1">
      <c r="H1739" s="53"/>
      <c r="I1739" s="53"/>
      <c r="J1739" s="53"/>
      <c r="K1739" s="53"/>
      <c r="L1739" s="53"/>
      <c r="M1739" s="53"/>
    </row>
    <row r="1740" spans="8:13" ht="18" customHeight="1">
      <c r="H1740" s="53"/>
      <c r="I1740" s="53"/>
      <c r="J1740" s="53"/>
      <c r="K1740" s="53"/>
      <c r="L1740" s="53"/>
      <c r="M1740" s="53"/>
    </row>
    <row r="1741" spans="8:13" ht="18" customHeight="1">
      <c r="H1741" s="53"/>
      <c r="I1741" s="53"/>
      <c r="J1741" s="53"/>
      <c r="K1741" s="53"/>
      <c r="L1741" s="53"/>
      <c r="M1741" s="53"/>
    </row>
    <row r="1742" spans="8:13" ht="18" customHeight="1">
      <c r="H1742" s="53"/>
      <c r="I1742" s="53"/>
      <c r="J1742" s="53"/>
      <c r="K1742" s="53"/>
      <c r="L1742" s="53"/>
      <c r="M1742" s="53"/>
    </row>
    <row r="1743" spans="8:13" ht="18" customHeight="1">
      <c r="H1743" s="53"/>
      <c r="I1743" s="53"/>
      <c r="J1743" s="53"/>
      <c r="K1743" s="53"/>
      <c r="L1743" s="53"/>
      <c r="M1743" s="53"/>
    </row>
    <row r="1744" spans="8:13" ht="18" customHeight="1">
      <c r="H1744" s="53"/>
      <c r="I1744" s="53"/>
      <c r="J1744" s="53"/>
      <c r="K1744" s="53"/>
      <c r="L1744" s="53"/>
      <c r="M1744" s="53"/>
    </row>
    <row r="1745" spans="8:13" ht="18" customHeight="1">
      <c r="H1745" s="53"/>
      <c r="I1745" s="53"/>
      <c r="J1745" s="53"/>
      <c r="K1745" s="53"/>
      <c r="L1745" s="53"/>
      <c r="M1745" s="53"/>
    </row>
    <row r="1746" spans="8:13" ht="18" customHeight="1">
      <c r="H1746" s="53"/>
      <c r="I1746" s="53"/>
      <c r="J1746" s="53"/>
      <c r="K1746" s="53"/>
      <c r="L1746" s="53"/>
      <c r="M1746" s="53"/>
    </row>
    <row r="1747" spans="8:13" ht="18" customHeight="1">
      <c r="H1747" s="53"/>
      <c r="I1747" s="53"/>
      <c r="J1747" s="53"/>
      <c r="K1747" s="53"/>
      <c r="L1747" s="53"/>
      <c r="M1747" s="53"/>
    </row>
    <row r="1748" spans="8:13" ht="18" customHeight="1">
      <c r="H1748" s="53"/>
      <c r="I1748" s="53"/>
      <c r="J1748" s="53"/>
      <c r="K1748" s="53"/>
      <c r="L1748" s="53"/>
      <c r="M1748" s="53"/>
    </row>
    <row r="1749" spans="8:13" ht="18" customHeight="1">
      <c r="H1749" s="53"/>
      <c r="I1749" s="53"/>
      <c r="J1749" s="53"/>
      <c r="K1749" s="53"/>
      <c r="L1749" s="53"/>
      <c r="M1749" s="53"/>
    </row>
    <row r="1750" spans="8:13" ht="18" customHeight="1">
      <c r="H1750" s="53"/>
      <c r="I1750" s="53"/>
      <c r="J1750" s="53"/>
      <c r="K1750" s="53"/>
      <c r="L1750" s="53"/>
      <c r="M1750" s="53"/>
    </row>
    <row r="1751" spans="8:13" ht="18" customHeight="1">
      <c r="H1751" s="53"/>
      <c r="I1751" s="53"/>
      <c r="J1751" s="53"/>
      <c r="K1751" s="53"/>
      <c r="L1751" s="53"/>
      <c r="M1751" s="53"/>
    </row>
    <row r="1752" spans="8:13" ht="18" customHeight="1">
      <c r="H1752" s="53"/>
      <c r="I1752" s="53"/>
      <c r="J1752" s="53"/>
      <c r="K1752" s="53"/>
      <c r="L1752" s="53"/>
      <c r="M1752" s="53"/>
    </row>
    <row r="1753" spans="8:13" ht="18" customHeight="1">
      <c r="H1753" s="53"/>
      <c r="I1753" s="53"/>
      <c r="J1753" s="53"/>
      <c r="K1753" s="53"/>
      <c r="L1753" s="53"/>
      <c r="M1753" s="53"/>
    </row>
    <row r="1754" spans="8:13" ht="18" customHeight="1">
      <c r="H1754" s="53"/>
      <c r="I1754" s="53"/>
      <c r="J1754" s="53"/>
      <c r="K1754" s="53"/>
      <c r="L1754" s="53"/>
      <c r="M1754" s="53"/>
    </row>
    <row r="1755" spans="8:13" ht="18" customHeight="1">
      <c r="H1755" s="53"/>
      <c r="I1755" s="53"/>
      <c r="J1755" s="53"/>
      <c r="K1755" s="53"/>
      <c r="L1755" s="53"/>
      <c r="M1755" s="53"/>
    </row>
    <row r="1756" spans="8:13" ht="18" customHeight="1">
      <c r="H1756" s="53"/>
      <c r="I1756" s="53"/>
      <c r="J1756" s="53"/>
      <c r="K1756" s="53"/>
      <c r="L1756" s="53"/>
      <c r="M1756" s="53"/>
    </row>
    <row r="1757" spans="8:13" ht="18" customHeight="1">
      <c r="H1757" s="53"/>
      <c r="I1757" s="53"/>
      <c r="J1757" s="53"/>
      <c r="K1757" s="53"/>
      <c r="L1757" s="53"/>
      <c r="M1757" s="53"/>
    </row>
    <row r="1758" spans="8:13" ht="18" customHeight="1">
      <c r="H1758" s="53"/>
      <c r="I1758" s="53"/>
      <c r="J1758" s="53"/>
      <c r="K1758" s="53"/>
      <c r="L1758" s="53"/>
      <c r="M1758" s="53"/>
    </row>
    <row r="1759" spans="8:13" ht="18" customHeight="1">
      <c r="H1759" s="53"/>
      <c r="I1759" s="53"/>
      <c r="J1759" s="53"/>
      <c r="K1759" s="53"/>
      <c r="L1759" s="53"/>
      <c r="M1759" s="53"/>
    </row>
    <row r="1760" spans="8:13" ht="18" customHeight="1">
      <c r="H1760" s="53"/>
      <c r="I1760" s="53"/>
      <c r="J1760" s="53"/>
      <c r="K1760" s="53"/>
      <c r="L1760" s="53"/>
      <c r="M1760" s="53"/>
    </row>
    <row r="1761" spans="8:13" ht="18" customHeight="1">
      <c r="H1761" s="53"/>
      <c r="I1761" s="53"/>
      <c r="J1761" s="53"/>
      <c r="K1761" s="53"/>
      <c r="L1761" s="53"/>
      <c r="M1761" s="53"/>
    </row>
    <row r="1762" spans="8:13" ht="18" customHeight="1">
      <c r="H1762" s="53"/>
      <c r="I1762" s="53"/>
      <c r="J1762" s="53"/>
      <c r="K1762" s="53"/>
      <c r="L1762" s="53"/>
      <c r="M1762" s="53"/>
    </row>
    <row r="1763" spans="8:13" ht="18" customHeight="1">
      <c r="H1763" s="53"/>
      <c r="I1763" s="53"/>
      <c r="J1763" s="53"/>
      <c r="K1763" s="53"/>
      <c r="L1763" s="53"/>
      <c r="M1763" s="53"/>
    </row>
    <row r="1764" spans="8:13" ht="18" customHeight="1">
      <c r="H1764" s="53"/>
      <c r="I1764" s="53"/>
      <c r="J1764" s="53"/>
      <c r="K1764" s="53"/>
      <c r="L1764" s="53"/>
      <c r="M1764" s="53"/>
    </row>
    <row r="1765" spans="8:13" ht="18" customHeight="1">
      <c r="H1765" s="53"/>
      <c r="I1765" s="53"/>
      <c r="J1765" s="53"/>
      <c r="K1765" s="53"/>
      <c r="L1765" s="53"/>
      <c r="M1765" s="53"/>
    </row>
    <row r="1766" spans="8:13" ht="18" customHeight="1">
      <c r="H1766" s="53"/>
      <c r="I1766" s="53"/>
      <c r="J1766" s="53"/>
      <c r="K1766" s="53"/>
      <c r="L1766" s="53"/>
      <c r="M1766" s="53"/>
    </row>
    <row r="1767" spans="8:13" ht="18" customHeight="1">
      <c r="H1767" s="53"/>
      <c r="I1767" s="53"/>
      <c r="J1767" s="53"/>
      <c r="K1767" s="53"/>
      <c r="L1767" s="53"/>
      <c r="M1767" s="53"/>
    </row>
    <row r="1768" spans="8:13" ht="18" customHeight="1">
      <c r="H1768" s="53"/>
      <c r="I1768" s="53"/>
      <c r="J1768" s="53"/>
      <c r="K1768" s="53"/>
      <c r="L1768" s="53"/>
      <c r="M1768" s="53"/>
    </row>
    <row r="1769" spans="8:13" ht="18" customHeight="1">
      <c r="H1769" s="53"/>
      <c r="I1769" s="53"/>
      <c r="J1769" s="53"/>
      <c r="K1769" s="53"/>
      <c r="L1769" s="53"/>
      <c r="M1769" s="53"/>
    </row>
    <row r="1770" spans="8:13" ht="18" customHeight="1">
      <c r="H1770" s="53"/>
      <c r="I1770" s="53"/>
      <c r="J1770" s="53"/>
      <c r="K1770" s="53"/>
      <c r="L1770" s="53"/>
      <c r="M1770" s="53"/>
    </row>
    <row r="1771" spans="8:13" ht="18" customHeight="1">
      <c r="H1771" s="53"/>
      <c r="I1771" s="53"/>
      <c r="J1771" s="53"/>
      <c r="K1771" s="53"/>
      <c r="L1771" s="53"/>
      <c r="M1771" s="53"/>
    </row>
    <row r="1772" spans="8:13" ht="18" customHeight="1">
      <c r="H1772" s="53"/>
      <c r="I1772" s="53"/>
      <c r="J1772" s="53"/>
      <c r="K1772" s="53"/>
      <c r="L1772" s="53"/>
      <c r="M1772" s="53"/>
    </row>
    <row r="1773" spans="8:13" ht="18" customHeight="1">
      <c r="H1773" s="53"/>
      <c r="I1773" s="53"/>
      <c r="J1773" s="53"/>
      <c r="K1773" s="53"/>
      <c r="L1773" s="53"/>
      <c r="M1773" s="53"/>
    </row>
    <row r="1774" spans="8:13" ht="18" customHeight="1">
      <c r="H1774" s="53"/>
      <c r="I1774" s="53"/>
      <c r="J1774" s="53"/>
      <c r="K1774" s="53"/>
      <c r="L1774" s="53"/>
      <c r="M1774" s="53"/>
    </row>
    <row r="1775" spans="8:13" ht="18" customHeight="1">
      <c r="H1775" s="53"/>
      <c r="I1775" s="53"/>
      <c r="J1775" s="53"/>
      <c r="K1775" s="53"/>
      <c r="L1775" s="53"/>
      <c r="M1775" s="53"/>
    </row>
    <row r="1776" spans="8:13" ht="18" customHeight="1">
      <c r="H1776" s="53"/>
      <c r="I1776" s="53"/>
      <c r="J1776" s="53"/>
      <c r="K1776" s="53"/>
      <c r="L1776" s="53"/>
      <c r="M1776" s="53"/>
    </row>
    <row r="1777" spans="8:13" ht="18" customHeight="1">
      <c r="H1777" s="53"/>
      <c r="I1777" s="53"/>
      <c r="J1777" s="53"/>
      <c r="K1777" s="53"/>
      <c r="L1777" s="53"/>
      <c r="M1777" s="53"/>
    </row>
    <row r="1778" spans="8:13" ht="18" customHeight="1">
      <c r="H1778" s="53"/>
      <c r="I1778" s="53"/>
      <c r="J1778" s="53"/>
      <c r="K1778" s="53"/>
      <c r="L1778" s="53"/>
      <c r="M1778" s="53"/>
    </row>
    <row r="1779" spans="8:13" ht="18" customHeight="1">
      <c r="H1779" s="53"/>
      <c r="I1779" s="53"/>
      <c r="J1779" s="53"/>
      <c r="K1779" s="53"/>
      <c r="L1779" s="53"/>
      <c r="M1779" s="53"/>
    </row>
    <row r="1780" spans="8:13" ht="18" customHeight="1">
      <c r="H1780" s="53"/>
      <c r="I1780" s="53"/>
      <c r="J1780" s="53"/>
      <c r="K1780" s="53"/>
      <c r="L1780" s="53"/>
      <c r="M1780" s="53"/>
    </row>
    <row r="1781" spans="8:13" ht="18" customHeight="1">
      <c r="H1781" s="53"/>
      <c r="I1781" s="53"/>
      <c r="J1781" s="53"/>
      <c r="K1781" s="53"/>
      <c r="L1781" s="53"/>
      <c r="M1781" s="53"/>
    </row>
    <row r="1782" spans="8:13" ht="18" customHeight="1">
      <c r="H1782" s="53"/>
      <c r="I1782" s="53"/>
      <c r="J1782" s="53"/>
      <c r="K1782" s="53"/>
      <c r="L1782" s="53"/>
      <c r="M1782" s="53"/>
    </row>
    <row r="1783" spans="8:13" ht="18" customHeight="1">
      <c r="H1783" s="53"/>
      <c r="I1783" s="53"/>
      <c r="J1783" s="53"/>
      <c r="K1783" s="53"/>
      <c r="L1783" s="53"/>
      <c r="M1783" s="53"/>
    </row>
    <row r="1784" spans="8:13" ht="18" customHeight="1">
      <c r="H1784" s="53"/>
      <c r="I1784" s="53"/>
      <c r="J1784" s="53"/>
      <c r="K1784" s="53"/>
      <c r="L1784" s="53"/>
      <c r="M1784" s="53"/>
    </row>
    <row r="1785" spans="8:13" ht="18" customHeight="1">
      <c r="H1785" s="53"/>
      <c r="I1785" s="53"/>
      <c r="J1785" s="53"/>
      <c r="K1785" s="53"/>
      <c r="L1785" s="53"/>
      <c r="M1785" s="53"/>
    </row>
    <row r="1786" spans="8:13" ht="18" customHeight="1">
      <c r="H1786" s="53"/>
      <c r="I1786" s="53"/>
      <c r="J1786" s="53"/>
      <c r="K1786" s="53"/>
      <c r="L1786" s="53"/>
      <c r="M1786" s="53"/>
    </row>
    <row r="1787" spans="8:13" ht="18" customHeight="1">
      <c r="H1787" s="53"/>
      <c r="I1787" s="53"/>
      <c r="J1787" s="53"/>
      <c r="K1787" s="53"/>
      <c r="L1787" s="53"/>
      <c r="M1787" s="53"/>
    </row>
    <row r="1788" spans="8:13" ht="18" customHeight="1">
      <c r="H1788" s="53"/>
      <c r="I1788" s="53"/>
      <c r="J1788" s="53"/>
      <c r="K1788" s="53"/>
      <c r="L1788" s="53"/>
      <c r="M1788" s="53"/>
    </row>
    <row r="1789" spans="8:13" ht="18" customHeight="1">
      <c r="H1789" s="53"/>
      <c r="I1789" s="53"/>
      <c r="J1789" s="53"/>
      <c r="K1789" s="53"/>
      <c r="L1789" s="53"/>
      <c r="M1789" s="53"/>
    </row>
    <row r="1790" spans="8:13" ht="18" customHeight="1">
      <c r="H1790" s="53"/>
      <c r="I1790" s="53"/>
      <c r="J1790" s="53"/>
      <c r="K1790" s="53"/>
      <c r="L1790" s="53"/>
      <c r="M1790" s="53"/>
    </row>
    <row r="1791" spans="8:13" ht="18" customHeight="1">
      <c r="H1791" s="53"/>
      <c r="I1791" s="53"/>
      <c r="J1791" s="53"/>
      <c r="K1791" s="53"/>
      <c r="L1791" s="53"/>
      <c r="M1791" s="53"/>
    </row>
    <row r="1792" spans="8:13" ht="18" customHeight="1">
      <c r="H1792" s="53"/>
      <c r="I1792" s="53"/>
      <c r="J1792" s="53"/>
      <c r="K1792" s="53"/>
      <c r="L1792" s="53"/>
      <c r="M1792" s="53"/>
    </row>
    <row r="1793" spans="8:13" ht="18" customHeight="1">
      <c r="H1793" s="53"/>
      <c r="I1793" s="53"/>
      <c r="J1793" s="53"/>
      <c r="K1793" s="53"/>
      <c r="L1793" s="53"/>
      <c r="M1793" s="53"/>
    </row>
    <row r="1794" spans="8:13" ht="18" customHeight="1">
      <c r="H1794" s="53"/>
      <c r="I1794" s="53"/>
      <c r="J1794" s="53"/>
      <c r="K1794" s="53"/>
      <c r="L1794" s="53"/>
      <c r="M1794" s="53"/>
    </row>
    <row r="1795" spans="8:13" ht="18" customHeight="1">
      <c r="H1795" s="53"/>
      <c r="I1795" s="53"/>
      <c r="J1795" s="53"/>
      <c r="K1795" s="53"/>
      <c r="L1795" s="53"/>
      <c r="M1795" s="53"/>
    </row>
    <row r="1796" spans="8:13" ht="18" customHeight="1">
      <c r="H1796" s="53"/>
      <c r="I1796" s="53"/>
      <c r="J1796" s="53"/>
      <c r="K1796" s="53"/>
      <c r="L1796" s="53"/>
      <c r="M1796" s="53"/>
    </row>
    <row r="1797" spans="8:13" ht="18" customHeight="1">
      <c r="H1797" s="53"/>
      <c r="I1797" s="53"/>
      <c r="J1797" s="53"/>
      <c r="K1797" s="53"/>
      <c r="L1797" s="53"/>
      <c r="M1797" s="53"/>
    </row>
    <row r="1798" spans="8:13" ht="18" customHeight="1">
      <c r="H1798" s="53"/>
      <c r="I1798" s="53"/>
      <c r="J1798" s="53"/>
      <c r="K1798" s="53"/>
      <c r="L1798" s="53"/>
      <c r="M1798" s="53"/>
    </row>
    <row r="1799" spans="8:13" ht="18" customHeight="1">
      <c r="H1799" s="53"/>
      <c r="I1799" s="53"/>
      <c r="J1799" s="53"/>
      <c r="K1799" s="53"/>
      <c r="L1799" s="53"/>
      <c r="M1799" s="53"/>
    </row>
    <row r="1800" spans="8:13" ht="18" customHeight="1">
      <c r="H1800" s="53"/>
      <c r="I1800" s="53"/>
      <c r="J1800" s="53"/>
      <c r="K1800" s="53"/>
      <c r="L1800" s="53"/>
      <c r="M1800" s="53"/>
    </row>
    <row r="1801" spans="8:13" ht="18" customHeight="1">
      <c r="H1801" s="53"/>
      <c r="I1801" s="53"/>
      <c r="J1801" s="53"/>
      <c r="K1801" s="53"/>
      <c r="L1801" s="53"/>
      <c r="M1801" s="53"/>
    </row>
    <row r="1802" spans="8:13" ht="18" customHeight="1">
      <c r="H1802" s="53"/>
      <c r="I1802" s="53"/>
      <c r="J1802" s="53"/>
      <c r="K1802" s="53"/>
      <c r="L1802" s="53"/>
      <c r="M1802" s="53"/>
    </row>
    <row r="1803" spans="8:13" ht="18" customHeight="1">
      <c r="H1803" s="53"/>
      <c r="I1803" s="53"/>
      <c r="J1803" s="53"/>
      <c r="K1803" s="53"/>
      <c r="L1803" s="53"/>
      <c r="M1803" s="53"/>
    </row>
    <row r="1804" spans="8:13" ht="18" customHeight="1">
      <c r="H1804" s="53"/>
      <c r="I1804" s="53"/>
      <c r="J1804" s="53"/>
      <c r="K1804" s="53"/>
      <c r="L1804" s="53"/>
      <c r="M1804" s="53"/>
    </row>
    <row r="1805" spans="8:13" ht="18" customHeight="1">
      <c r="H1805" s="53"/>
      <c r="I1805" s="53"/>
      <c r="J1805" s="53"/>
      <c r="K1805" s="53"/>
      <c r="L1805" s="53"/>
      <c r="M1805" s="53"/>
    </row>
    <row r="1806" spans="8:13" ht="18" customHeight="1">
      <c r="H1806" s="53"/>
      <c r="I1806" s="53"/>
      <c r="J1806" s="53"/>
      <c r="K1806" s="53"/>
      <c r="L1806" s="53"/>
      <c r="M1806" s="53"/>
    </row>
    <row r="1807" spans="8:13" ht="18" customHeight="1">
      <c r="H1807" s="53"/>
      <c r="I1807" s="53"/>
      <c r="J1807" s="53"/>
      <c r="K1807" s="53"/>
      <c r="L1807" s="53"/>
      <c r="M1807" s="53"/>
    </row>
    <row r="1808" spans="8:13" ht="18" customHeight="1">
      <c r="H1808" s="53"/>
      <c r="I1808" s="53"/>
      <c r="J1808" s="53"/>
      <c r="K1808" s="53"/>
      <c r="L1808" s="53"/>
      <c r="M1808" s="53"/>
    </row>
    <row r="1809" spans="8:13" ht="18" customHeight="1">
      <c r="H1809" s="53"/>
      <c r="I1809" s="53"/>
      <c r="J1809" s="53"/>
      <c r="K1809" s="53"/>
      <c r="L1809" s="53"/>
      <c r="M1809" s="53"/>
    </row>
    <row r="1810" spans="8:13" ht="18" customHeight="1">
      <c r="H1810" s="53"/>
      <c r="I1810" s="53"/>
      <c r="J1810" s="53"/>
      <c r="K1810" s="53"/>
      <c r="L1810" s="53"/>
      <c r="M1810" s="53"/>
    </row>
    <row r="1811" spans="8:13" ht="18" customHeight="1">
      <c r="H1811" s="53"/>
      <c r="I1811" s="53"/>
      <c r="J1811" s="53"/>
      <c r="K1811" s="53"/>
      <c r="L1811" s="53"/>
      <c r="M1811" s="53"/>
    </row>
    <row r="1812" spans="8:13" ht="18" customHeight="1">
      <c r="H1812" s="53"/>
      <c r="I1812" s="53"/>
      <c r="J1812" s="53"/>
      <c r="K1812" s="53"/>
      <c r="L1812" s="53"/>
      <c r="M1812" s="53"/>
    </row>
    <row r="1813" spans="8:13" ht="18" customHeight="1">
      <c r="H1813" s="53"/>
      <c r="I1813" s="53"/>
      <c r="J1813" s="53"/>
      <c r="K1813" s="53"/>
      <c r="L1813" s="53"/>
      <c r="M1813" s="53"/>
    </row>
    <row r="1814" spans="8:13" ht="18" customHeight="1">
      <c r="H1814" s="53"/>
      <c r="I1814" s="53"/>
      <c r="J1814" s="53"/>
      <c r="K1814" s="53"/>
      <c r="L1814" s="53"/>
      <c r="M1814" s="53"/>
    </row>
    <row r="1815" spans="8:13" ht="18" customHeight="1">
      <c r="H1815" s="53"/>
      <c r="I1815" s="53"/>
      <c r="J1815" s="53"/>
      <c r="K1815" s="53"/>
      <c r="L1815" s="53"/>
      <c r="M1815" s="53"/>
    </row>
    <row r="1816" spans="8:13" ht="18" customHeight="1">
      <c r="H1816" s="53"/>
      <c r="I1816" s="53"/>
      <c r="J1816" s="53"/>
      <c r="K1816" s="53"/>
      <c r="L1816" s="53"/>
      <c r="M1816" s="53"/>
    </row>
    <row r="1817" spans="8:13" ht="18" customHeight="1">
      <c r="H1817" s="53"/>
      <c r="I1817" s="53"/>
      <c r="J1817" s="53"/>
      <c r="K1817" s="53"/>
      <c r="L1817" s="53"/>
      <c r="M1817" s="53"/>
    </row>
    <row r="1818" spans="8:13" ht="18" customHeight="1">
      <c r="H1818" s="53"/>
      <c r="I1818" s="53"/>
      <c r="J1818" s="53"/>
      <c r="K1818" s="53"/>
      <c r="L1818" s="53"/>
      <c r="M1818" s="53"/>
    </row>
    <row r="1819" spans="8:13" ht="18" customHeight="1">
      <c r="H1819" s="53"/>
      <c r="I1819" s="53"/>
      <c r="J1819" s="53"/>
      <c r="K1819" s="53"/>
      <c r="L1819" s="53"/>
      <c r="M1819" s="53"/>
    </row>
    <row r="1820" spans="8:13" ht="18" customHeight="1">
      <c r="H1820" s="53"/>
      <c r="I1820" s="53"/>
      <c r="J1820" s="53"/>
      <c r="K1820" s="53"/>
      <c r="L1820" s="53"/>
      <c r="M1820" s="53"/>
    </row>
    <row r="1821" spans="8:13" ht="18" customHeight="1">
      <c r="H1821" s="53"/>
      <c r="I1821" s="53"/>
      <c r="J1821" s="53"/>
      <c r="K1821" s="53"/>
      <c r="L1821" s="53"/>
      <c r="M1821" s="53"/>
    </row>
    <row r="1822" spans="8:13" ht="18" customHeight="1">
      <c r="H1822" s="53"/>
      <c r="I1822" s="53"/>
      <c r="J1822" s="53"/>
      <c r="K1822" s="53"/>
      <c r="L1822" s="53"/>
      <c r="M1822" s="53"/>
    </row>
    <row r="1823" spans="8:13" ht="18" customHeight="1">
      <c r="H1823" s="53"/>
      <c r="I1823" s="53"/>
      <c r="J1823" s="53"/>
      <c r="K1823" s="53"/>
      <c r="L1823" s="53"/>
      <c r="M1823" s="53"/>
    </row>
    <row r="1824" spans="8:13" ht="18" customHeight="1">
      <c r="H1824" s="53"/>
      <c r="I1824" s="53"/>
      <c r="J1824" s="53"/>
      <c r="K1824" s="53"/>
      <c r="L1824" s="53"/>
      <c r="M1824" s="53"/>
    </row>
    <row r="1825" spans="8:13" ht="18" customHeight="1">
      <c r="H1825" s="53"/>
      <c r="I1825" s="53"/>
      <c r="J1825" s="53"/>
      <c r="K1825" s="53"/>
      <c r="L1825" s="53"/>
      <c r="M1825" s="53"/>
    </row>
    <row r="1826" spans="8:13" ht="18" customHeight="1">
      <c r="H1826" s="53"/>
      <c r="I1826" s="53"/>
      <c r="J1826" s="53"/>
      <c r="K1826" s="53"/>
      <c r="L1826" s="53"/>
      <c r="M1826" s="53"/>
    </row>
    <row r="1827" spans="8:13" ht="18" customHeight="1">
      <c r="H1827" s="53"/>
      <c r="I1827" s="53"/>
      <c r="J1827" s="53"/>
      <c r="K1827" s="53"/>
      <c r="L1827" s="53"/>
      <c r="M1827" s="53"/>
    </row>
    <row r="1828" spans="8:13" ht="18" customHeight="1">
      <c r="H1828" s="53"/>
      <c r="I1828" s="53"/>
      <c r="J1828" s="53"/>
      <c r="K1828" s="53"/>
      <c r="L1828" s="53"/>
      <c r="M1828" s="53"/>
    </row>
    <row r="1829" spans="8:13" ht="18" customHeight="1">
      <c r="H1829" s="53"/>
      <c r="I1829" s="53"/>
      <c r="J1829" s="53"/>
      <c r="K1829" s="53"/>
      <c r="L1829" s="53"/>
      <c r="M1829" s="53"/>
    </row>
    <row r="1830" spans="8:13" ht="18" customHeight="1">
      <c r="H1830" s="53"/>
      <c r="I1830" s="53"/>
      <c r="J1830" s="53"/>
      <c r="K1830" s="53"/>
      <c r="L1830" s="53"/>
      <c r="M1830" s="53"/>
    </row>
    <row r="1831" spans="8:13" ht="18" customHeight="1">
      <c r="H1831" s="53"/>
      <c r="I1831" s="53"/>
      <c r="J1831" s="53"/>
      <c r="K1831" s="53"/>
      <c r="L1831" s="53"/>
      <c r="M1831" s="53"/>
    </row>
    <row r="1832" spans="8:13" ht="18" customHeight="1">
      <c r="H1832" s="53"/>
      <c r="I1832" s="53"/>
      <c r="J1832" s="53"/>
      <c r="K1832" s="53"/>
      <c r="L1832" s="53"/>
      <c r="M1832" s="53"/>
    </row>
    <row r="1833" spans="8:13" ht="18" customHeight="1">
      <c r="H1833" s="53"/>
      <c r="I1833" s="53"/>
      <c r="J1833" s="53"/>
      <c r="K1833" s="53"/>
      <c r="L1833" s="53"/>
      <c r="M1833" s="53"/>
    </row>
    <row r="1834" spans="8:13" ht="18" customHeight="1">
      <c r="H1834" s="53"/>
      <c r="I1834" s="53"/>
      <c r="J1834" s="53"/>
      <c r="K1834" s="53"/>
      <c r="L1834" s="53"/>
      <c r="M1834" s="53"/>
    </row>
    <row r="1835" spans="8:13" ht="18" customHeight="1">
      <c r="H1835" s="53"/>
      <c r="I1835" s="53"/>
      <c r="J1835" s="53"/>
      <c r="K1835" s="53"/>
      <c r="L1835" s="53"/>
      <c r="M1835" s="53"/>
    </row>
    <row r="1836" spans="8:13" ht="18" customHeight="1">
      <c r="H1836" s="53"/>
      <c r="I1836" s="53"/>
      <c r="J1836" s="53"/>
      <c r="K1836" s="53"/>
      <c r="L1836" s="53"/>
      <c r="M1836" s="53"/>
    </row>
    <row r="1837" spans="8:13" ht="18" customHeight="1">
      <c r="H1837" s="53"/>
      <c r="I1837" s="53"/>
      <c r="J1837" s="53"/>
      <c r="K1837" s="53"/>
      <c r="L1837" s="53"/>
      <c r="M1837" s="53"/>
    </row>
    <row r="1838" spans="8:13" ht="18" customHeight="1">
      <c r="H1838" s="53"/>
      <c r="I1838" s="53"/>
      <c r="J1838" s="53"/>
      <c r="K1838" s="53"/>
      <c r="L1838" s="53"/>
      <c r="M1838" s="53"/>
    </row>
    <row r="1839" spans="8:13" ht="18" customHeight="1">
      <c r="H1839" s="53"/>
      <c r="I1839" s="53"/>
      <c r="J1839" s="53"/>
      <c r="K1839" s="53"/>
      <c r="L1839" s="53"/>
      <c r="M1839" s="53"/>
    </row>
    <row r="1840" spans="8:13" ht="18" customHeight="1">
      <c r="H1840" s="53"/>
      <c r="I1840" s="53"/>
      <c r="J1840" s="53"/>
      <c r="K1840" s="53"/>
      <c r="L1840" s="53"/>
      <c r="M1840" s="53"/>
    </row>
    <row r="1841" spans="8:13" ht="18" customHeight="1">
      <c r="H1841" s="53"/>
      <c r="I1841" s="53"/>
      <c r="J1841" s="53"/>
      <c r="K1841" s="53"/>
      <c r="L1841" s="53"/>
      <c r="M1841" s="53"/>
    </row>
    <row r="1842" spans="8:13" ht="18" customHeight="1">
      <c r="H1842" s="53"/>
      <c r="I1842" s="53"/>
      <c r="J1842" s="53"/>
      <c r="K1842" s="53"/>
      <c r="L1842" s="53"/>
      <c r="M1842" s="53"/>
    </row>
    <row r="1843" spans="8:13" ht="18" customHeight="1">
      <c r="H1843" s="53"/>
      <c r="I1843" s="53"/>
      <c r="J1843" s="53"/>
      <c r="K1843" s="53"/>
      <c r="L1843" s="53"/>
      <c r="M1843" s="53"/>
    </row>
    <row r="1844" spans="8:13" ht="18" customHeight="1">
      <c r="H1844" s="53"/>
      <c r="I1844" s="53"/>
      <c r="J1844" s="53"/>
      <c r="K1844" s="53"/>
      <c r="L1844" s="53"/>
      <c r="M1844" s="53"/>
    </row>
    <row r="1845" spans="8:13" ht="18" customHeight="1">
      <c r="H1845" s="53"/>
      <c r="I1845" s="53"/>
      <c r="J1845" s="53"/>
      <c r="K1845" s="53"/>
      <c r="L1845" s="53"/>
      <c r="M1845" s="53"/>
    </row>
    <row r="1846" spans="8:13" ht="18" customHeight="1">
      <c r="H1846" s="53"/>
      <c r="I1846" s="53"/>
      <c r="J1846" s="53"/>
      <c r="K1846" s="53"/>
      <c r="L1846" s="53"/>
      <c r="M1846" s="53"/>
    </row>
    <row r="1847" spans="8:13" ht="18" customHeight="1">
      <c r="H1847" s="53"/>
      <c r="I1847" s="53"/>
      <c r="J1847" s="53"/>
      <c r="K1847" s="53"/>
      <c r="L1847" s="53"/>
      <c r="M1847" s="53"/>
    </row>
    <row r="1848" spans="8:13" ht="18" customHeight="1">
      <c r="H1848" s="53"/>
      <c r="I1848" s="53"/>
      <c r="J1848" s="53"/>
      <c r="K1848" s="53"/>
      <c r="L1848" s="53"/>
      <c r="M1848" s="53"/>
    </row>
    <row r="1849" spans="8:13" ht="18" customHeight="1">
      <c r="H1849" s="53"/>
      <c r="I1849" s="53"/>
      <c r="J1849" s="53"/>
      <c r="K1849" s="53"/>
      <c r="L1849" s="53"/>
      <c r="M1849" s="53"/>
    </row>
    <row r="1850" spans="8:13" ht="18" customHeight="1">
      <c r="H1850" s="53"/>
      <c r="I1850" s="53"/>
      <c r="J1850" s="53"/>
      <c r="K1850" s="53"/>
      <c r="L1850" s="53"/>
      <c r="M1850" s="53"/>
    </row>
    <row r="1851" spans="8:13" ht="18" customHeight="1">
      <c r="H1851" s="53"/>
      <c r="I1851" s="53"/>
      <c r="J1851" s="53"/>
      <c r="K1851" s="53"/>
      <c r="L1851" s="53"/>
      <c r="M1851" s="53"/>
    </row>
    <row r="1852" spans="8:13" ht="18" customHeight="1">
      <c r="H1852" s="53"/>
      <c r="I1852" s="53"/>
      <c r="J1852" s="53"/>
      <c r="K1852" s="53"/>
      <c r="L1852" s="53"/>
      <c r="M1852" s="53"/>
    </row>
    <row r="1853" spans="8:13" ht="18" customHeight="1">
      <c r="H1853" s="53"/>
      <c r="I1853" s="53"/>
      <c r="J1853" s="53"/>
      <c r="K1853" s="53"/>
      <c r="L1853" s="53"/>
      <c r="M1853" s="53"/>
    </row>
    <row r="1854" spans="8:13" ht="18" customHeight="1">
      <c r="H1854" s="53"/>
      <c r="I1854" s="53"/>
      <c r="J1854" s="53"/>
      <c r="K1854" s="53"/>
      <c r="L1854" s="53"/>
      <c r="M1854" s="53"/>
    </row>
    <row r="1855" spans="8:13" ht="18" customHeight="1">
      <c r="H1855" s="53"/>
      <c r="I1855" s="53"/>
      <c r="J1855" s="53"/>
      <c r="K1855" s="53"/>
      <c r="L1855" s="53"/>
      <c r="M1855" s="53"/>
    </row>
    <row r="1856" spans="8:13" ht="18" customHeight="1">
      <c r="H1856" s="53"/>
      <c r="I1856" s="53"/>
      <c r="J1856" s="53"/>
      <c r="K1856" s="53"/>
      <c r="L1856" s="53"/>
      <c r="M1856" s="53"/>
    </row>
    <row r="1857" spans="8:13" ht="18" customHeight="1">
      <c r="H1857" s="53"/>
      <c r="I1857" s="53"/>
      <c r="J1857" s="53"/>
      <c r="K1857" s="53"/>
      <c r="L1857" s="53"/>
      <c r="M1857" s="53"/>
    </row>
    <row r="1858" spans="8:13" ht="18" customHeight="1">
      <c r="H1858" s="53"/>
      <c r="I1858" s="53"/>
      <c r="J1858" s="53"/>
      <c r="K1858" s="53"/>
      <c r="L1858" s="53"/>
      <c r="M1858" s="53"/>
    </row>
    <row r="1859" spans="8:13" ht="18" customHeight="1">
      <c r="H1859" s="53"/>
      <c r="I1859" s="53"/>
      <c r="J1859" s="53"/>
      <c r="K1859" s="53"/>
      <c r="L1859" s="53"/>
      <c r="M1859" s="53"/>
    </row>
    <row r="1860" spans="8:13" ht="18" customHeight="1">
      <c r="H1860" s="53"/>
      <c r="I1860" s="53"/>
      <c r="J1860" s="53"/>
      <c r="K1860" s="53"/>
      <c r="L1860" s="53"/>
      <c r="M1860" s="53"/>
    </row>
    <row r="1861" spans="8:13" ht="18" customHeight="1">
      <c r="H1861" s="53"/>
      <c r="I1861" s="53"/>
      <c r="J1861" s="53"/>
      <c r="K1861" s="53"/>
      <c r="L1861" s="53"/>
      <c r="M1861" s="53"/>
    </row>
    <row r="1862" spans="8:13" ht="18" customHeight="1">
      <c r="H1862" s="53"/>
      <c r="I1862" s="53"/>
      <c r="J1862" s="53"/>
      <c r="K1862" s="53"/>
      <c r="L1862" s="53"/>
      <c r="M1862" s="53"/>
    </row>
    <row r="1863" spans="8:13" ht="18" customHeight="1">
      <c r="H1863" s="53"/>
      <c r="I1863" s="53"/>
      <c r="J1863" s="53"/>
      <c r="K1863" s="53"/>
      <c r="L1863" s="53"/>
      <c r="M1863" s="53"/>
    </row>
    <row r="1864" spans="8:13" ht="18" customHeight="1">
      <c r="H1864" s="53"/>
      <c r="I1864" s="53"/>
      <c r="J1864" s="53"/>
      <c r="K1864" s="53"/>
      <c r="L1864" s="53"/>
      <c r="M1864" s="53"/>
    </row>
    <row r="1865" spans="8:13" ht="18" customHeight="1">
      <c r="H1865" s="53"/>
      <c r="I1865" s="53"/>
      <c r="J1865" s="53"/>
      <c r="K1865" s="53"/>
      <c r="L1865" s="53"/>
      <c r="M1865" s="53"/>
    </row>
    <row r="1866" spans="8:13" ht="18" customHeight="1">
      <c r="H1866" s="53"/>
      <c r="I1866" s="53"/>
      <c r="J1866" s="53"/>
      <c r="K1866" s="53"/>
      <c r="L1866" s="53"/>
      <c r="M1866" s="53"/>
    </row>
    <row r="1867" spans="8:13" ht="18" customHeight="1">
      <c r="H1867" s="53"/>
      <c r="I1867" s="53"/>
      <c r="J1867" s="53"/>
      <c r="K1867" s="53"/>
      <c r="L1867" s="53"/>
      <c r="M1867" s="53"/>
    </row>
    <row r="1868" spans="8:13" ht="18" customHeight="1">
      <c r="H1868" s="53"/>
      <c r="I1868" s="53"/>
      <c r="J1868" s="53"/>
      <c r="K1868" s="53"/>
      <c r="L1868" s="53"/>
      <c r="M1868" s="53"/>
    </row>
    <row r="1869" spans="8:13" ht="18" customHeight="1">
      <c r="H1869" s="53"/>
      <c r="I1869" s="53"/>
      <c r="J1869" s="53"/>
      <c r="K1869" s="53"/>
      <c r="L1869" s="53"/>
      <c r="M1869" s="53"/>
    </row>
    <row r="1870" spans="8:13" ht="18" customHeight="1">
      <c r="H1870" s="53"/>
      <c r="I1870" s="53"/>
      <c r="J1870" s="53"/>
      <c r="K1870" s="53"/>
      <c r="L1870" s="53"/>
      <c r="M1870" s="53"/>
    </row>
    <row r="1871" spans="8:13" ht="18" customHeight="1">
      <c r="H1871" s="53"/>
      <c r="I1871" s="53"/>
      <c r="J1871" s="53"/>
      <c r="K1871" s="53"/>
      <c r="L1871" s="53"/>
      <c r="M1871" s="53"/>
    </row>
    <row r="1872" spans="8:13" ht="18" customHeight="1">
      <c r="H1872" s="53"/>
      <c r="I1872" s="53"/>
      <c r="J1872" s="53"/>
      <c r="K1872" s="53"/>
      <c r="L1872" s="53"/>
      <c r="M1872" s="53"/>
    </row>
    <row r="1873" spans="8:13" ht="18" customHeight="1">
      <c r="H1873" s="53"/>
      <c r="I1873" s="53"/>
      <c r="J1873" s="53"/>
      <c r="K1873" s="53"/>
      <c r="L1873" s="53"/>
      <c r="M1873" s="53"/>
    </row>
    <row r="1874" spans="8:13" ht="18" customHeight="1">
      <c r="H1874" s="53"/>
      <c r="I1874" s="53"/>
      <c r="J1874" s="53"/>
      <c r="K1874" s="53"/>
      <c r="L1874" s="53"/>
      <c r="M1874" s="53"/>
    </row>
    <row r="1875" spans="8:13" ht="18" customHeight="1">
      <c r="H1875" s="53"/>
      <c r="I1875" s="53"/>
      <c r="J1875" s="53"/>
      <c r="K1875" s="53"/>
      <c r="L1875" s="53"/>
      <c r="M1875" s="53"/>
    </row>
    <row r="1876" spans="8:13" ht="18" customHeight="1">
      <c r="H1876" s="53"/>
      <c r="I1876" s="53"/>
      <c r="J1876" s="53"/>
      <c r="K1876" s="53"/>
      <c r="L1876" s="53"/>
      <c r="M1876" s="53"/>
    </row>
    <row r="1877" spans="8:13" ht="18" customHeight="1">
      <c r="H1877" s="53"/>
      <c r="I1877" s="53"/>
      <c r="J1877" s="53"/>
      <c r="K1877" s="53"/>
      <c r="L1877" s="53"/>
      <c r="M1877" s="53"/>
    </row>
    <row r="1878" spans="8:13" ht="18" customHeight="1">
      <c r="H1878" s="53"/>
      <c r="I1878" s="53"/>
      <c r="J1878" s="53"/>
      <c r="K1878" s="53"/>
      <c r="L1878" s="53"/>
      <c r="M1878" s="53"/>
    </row>
    <row r="1879" spans="8:13" ht="18" customHeight="1">
      <c r="H1879" s="53"/>
      <c r="I1879" s="53"/>
      <c r="J1879" s="53"/>
      <c r="K1879" s="53"/>
      <c r="L1879" s="53"/>
      <c r="M1879" s="53"/>
    </row>
    <row r="1880" spans="8:13" ht="18" customHeight="1">
      <c r="H1880" s="53"/>
      <c r="I1880" s="53"/>
      <c r="J1880" s="53"/>
      <c r="K1880" s="53"/>
      <c r="L1880" s="53"/>
      <c r="M1880" s="53"/>
    </row>
    <row r="1881" spans="8:13" ht="18" customHeight="1">
      <c r="H1881" s="53"/>
      <c r="I1881" s="53"/>
      <c r="J1881" s="53"/>
      <c r="K1881" s="53"/>
      <c r="L1881" s="53"/>
      <c r="M1881" s="53"/>
    </row>
    <row r="1882" spans="8:13" ht="18" customHeight="1">
      <c r="H1882" s="53"/>
      <c r="I1882" s="53"/>
      <c r="J1882" s="53"/>
      <c r="K1882" s="53"/>
      <c r="L1882" s="53"/>
      <c r="M1882" s="53"/>
    </row>
    <row r="1883" spans="8:13" ht="18" customHeight="1">
      <c r="H1883" s="53"/>
      <c r="I1883" s="53"/>
      <c r="J1883" s="53"/>
      <c r="K1883" s="53"/>
      <c r="L1883" s="53"/>
      <c r="M1883" s="53"/>
    </row>
    <row r="1884" spans="8:13" ht="18" customHeight="1">
      <c r="H1884" s="53"/>
      <c r="I1884" s="53"/>
      <c r="J1884" s="53"/>
      <c r="K1884" s="53"/>
      <c r="L1884" s="53"/>
      <c r="M1884" s="53"/>
    </row>
    <row r="1885" spans="8:13" ht="18" customHeight="1">
      <c r="H1885" s="53"/>
      <c r="I1885" s="53"/>
      <c r="J1885" s="53"/>
      <c r="K1885" s="53"/>
      <c r="L1885" s="53"/>
      <c r="M1885" s="53"/>
    </row>
    <row r="1886" spans="8:13" ht="18" customHeight="1">
      <c r="H1886" s="53"/>
      <c r="I1886" s="53"/>
      <c r="J1886" s="53"/>
      <c r="K1886" s="53"/>
      <c r="L1886" s="53"/>
      <c r="M1886" s="53"/>
    </row>
    <row r="1887" spans="8:13" ht="18" customHeight="1">
      <c r="H1887" s="53"/>
      <c r="I1887" s="53"/>
      <c r="J1887" s="53"/>
      <c r="K1887" s="53"/>
      <c r="L1887" s="53"/>
      <c r="M1887" s="53"/>
    </row>
    <row r="1888" spans="8:13" ht="18" customHeight="1">
      <c r="H1888" s="53"/>
      <c r="I1888" s="53"/>
      <c r="J1888" s="53"/>
      <c r="K1888" s="53"/>
      <c r="L1888" s="53"/>
      <c r="M1888" s="53"/>
    </row>
    <row r="1889" spans="8:13" ht="18" customHeight="1">
      <c r="H1889" s="53"/>
      <c r="I1889" s="53"/>
      <c r="J1889" s="53"/>
      <c r="K1889" s="53"/>
      <c r="L1889" s="53"/>
      <c r="M1889" s="53"/>
    </row>
    <row r="1890" spans="8:13" ht="18" customHeight="1">
      <c r="H1890" s="53"/>
      <c r="I1890" s="53"/>
      <c r="J1890" s="53"/>
      <c r="K1890" s="53"/>
      <c r="L1890" s="53"/>
      <c r="M1890" s="53"/>
    </row>
    <row r="1891" spans="8:13" ht="18" customHeight="1">
      <c r="H1891" s="53"/>
      <c r="I1891" s="53"/>
      <c r="J1891" s="53"/>
      <c r="K1891" s="53"/>
      <c r="L1891" s="53"/>
      <c r="M1891" s="53"/>
    </row>
    <row r="1892" spans="8:13" ht="18" customHeight="1">
      <c r="H1892" s="53"/>
      <c r="I1892" s="53"/>
      <c r="J1892" s="53"/>
      <c r="K1892" s="53"/>
      <c r="L1892" s="53"/>
      <c r="M1892" s="53"/>
    </row>
    <row r="1893" spans="8:13" ht="18" customHeight="1">
      <c r="H1893" s="53"/>
      <c r="I1893" s="53"/>
      <c r="J1893" s="53"/>
      <c r="K1893" s="53"/>
      <c r="L1893" s="53"/>
      <c r="M1893" s="53"/>
    </row>
    <row r="1894" spans="8:13" ht="18" customHeight="1">
      <c r="H1894" s="53"/>
      <c r="I1894" s="53"/>
      <c r="J1894" s="53"/>
      <c r="K1894" s="53"/>
      <c r="L1894" s="53"/>
      <c r="M1894" s="53"/>
    </row>
    <row r="1895" spans="8:13" ht="18" customHeight="1">
      <c r="H1895" s="53"/>
      <c r="I1895" s="53"/>
      <c r="J1895" s="53"/>
      <c r="K1895" s="53"/>
      <c r="L1895" s="53"/>
      <c r="M1895" s="53"/>
    </row>
    <row r="1896" spans="8:13" ht="18" customHeight="1">
      <c r="H1896" s="53"/>
      <c r="I1896" s="53"/>
      <c r="J1896" s="53"/>
      <c r="K1896" s="53"/>
      <c r="L1896" s="53"/>
      <c r="M1896" s="53"/>
    </row>
    <row r="1897" spans="8:13" ht="18" customHeight="1">
      <c r="H1897" s="53"/>
      <c r="I1897" s="53"/>
      <c r="J1897" s="53"/>
      <c r="K1897" s="53"/>
      <c r="L1897" s="53"/>
      <c r="M1897" s="53"/>
    </row>
    <row r="1898" spans="8:13" ht="18" customHeight="1">
      <c r="H1898" s="53"/>
      <c r="I1898" s="53"/>
      <c r="J1898" s="53"/>
      <c r="K1898" s="53"/>
      <c r="L1898" s="53"/>
      <c r="M1898" s="53"/>
    </row>
    <row r="1899" spans="8:13" ht="18" customHeight="1">
      <c r="H1899" s="53"/>
      <c r="I1899" s="53"/>
      <c r="J1899" s="53"/>
      <c r="K1899" s="53"/>
      <c r="L1899" s="53"/>
      <c r="M1899" s="53"/>
    </row>
    <row r="1900" spans="8:13" ht="18" customHeight="1">
      <c r="H1900" s="53"/>
      <c r="I1900" s="53"/>
      <c r="J1900" s="53"/>
      <c r="K1900" s="53"/>
      <c r="L1900" s="53"/>
      <c r="M1900" s="53"/>
    </row>
    <row r="1901" spans="8:13" ht="18" customHeight="1">
      <c r="H1901" s="53"/>
      <c r="I1901" s="53"/>
      <c r="J1901" s="53"/>
      <c r="K1901" s="53"/>
      <c r="L1901" s="53"/>
      <c r="M1901" s="53"/>
    </row>
    <row r="1902" spans="8:13" ht="18" customHeight="1">
      <c r="H1902" s="53"/>
      <c r="I1902" s="53"/>
      <c r="J1902" s="53"/>
      <c r="K1902" s="53"/>
      <c r="L1902" s="53"/>
      <c r="M1902" s="53"/>
    </row>
    <row r="1903" spans="8:13" ht="18" customHeight="1">
      <c r="H1903" s="53"/>
      <c r="I1903" s="53"/>
      <c r="J1903" s="53"/>
      <c r="K1903" s="53"/>
      <c r="L1903" s="53"/>
      <c r="M1903" s="53"/>
    </row>
    <row r="1904" spans="8:13" ht="18" customHeight="1">
      <c r="H1904" s="53"/>
      <c r="I1904" s="53"/>
      <c r="J1904" s="53"/>
      <c r="K1904" s="53"/>
      <c r="L1904" s="53"/>
      <c r="M1904" s="53"/>
    </row>
    <row r="1905" spans="8:13" ht="18" customHeight="1">
      <c r="H1905" s="53"/>
      <c r="I1905" s="53"/>
      <c r="J1905" s="53"/>
      <c r="K1905" s="53"/>
      <c r="L1905" s="53"/>
      <c r="M1905" s="53"/>
    </row>
    <row r="1906" spans="8:13" ht="18" customHeight="1">
      <c r="H1906" s="53"/>
      <c r="I1906" s="53"/>
      <c r="J1906" s="53"/>
      <c r="K1906" s="53"/>
      <c r="L1906" s="53"/>
      <c r="M1906" s="53"/>
    </row>
    <row r="1907" spans="8:13" ht="18" customHeight="1">
      <c r="H1907" s="53"/>
      <c r="I1907" s="53"/>
      <c r="J1907" s="53"/>
      <c r="K1907" s="53"/>
      <c r="L1907" s="53"/>
      <c r="M1907" s="53"/>
    </row>
    <row r="1908" spans="8:13" ht="18" customHeight="1">
      <c r="H1908" s="53"/>
      <c r="I1908" s="53"/>
      <c r="J1908" s="53"/>
      <c r="K1908" s="53"/>
      <c r="L1908" s="53"/>
      <c r="M1908" s="53"/>
    </row>
    <row r="1909" spans="8:13" ht="18" customHeight="1">
      <c r="H1909" s="53"/>
      <c r="I1909" s="53"/>
      <c r="J1909" s="53"/>
      <c r="K1909" s="53"/>
      <c r="L1909" s="53"/>
      <c r="M1909" s="53"/>
    </row>
    <row r="1910" spans="8:13" ht="18" customHeight="1">
      <c r="H1910" s="53"/>
      <c r="I1910" s="53"/>
      <c r="J1910" s="53"/>
      <c r="K1910" s="53"/>
      <c r="L1910" s="53"/>
      <c r="M1910" s="53"/>
    </row>
  </sheetData>
  <sheetProtection algorithmName="SHA-512" hashValue="5qcKKUAGpM4vZk7DtCUaRop0qHJ8FYZ7BmKq7B53XrCRotCrCOURgtqxdQLVI7Cl7o4kt2zfOhPm9Wkv/EJFGA==" saltValue="9xr78dG9FOi/rLgrv3zO+Q==" spinCount="100000" sheet="1" objects="1" scenarios="1"/>
  <mergeCells count="242">
    <mergeCell ref="A1019:M1019"/>
    <mergeCell ref="A273:M273"/>
    <mergeCell ref="A333:M333"/>
    <mergeCell ref="A395:M395"/>
    <mergeCell ref="A454:M454"/>
    <mergeCell ref="A516:M516"/>
    <mergeCell ref="A579:M579"/>
    <mergeCell ref="A640:M640"/>
    <mergeCell ref="A703:M703"/>
    <mergeCell ref="A769:M769"/>
    <mergeCell ref="L576:M576"/>
    <mergeCell ref="A577:F577"/>
    <mergeCell ref="I577:J577"/>
    <mergeCell ref="L577:M577"/>
    <mergeCell ref="A828:M828"/>
    <mergeCell ref="A767:F767"/>
    <mergeCell ref="I767:J767"/>
    <mergeCell ref="A637:F637"/>
    <mergeCell ref="A464:F464"/>
    <mergeCell ref="A403:F403"/>
    <mergeCell ref="A405:F405"/>
    <mergeCell ref="A400:M400"/>
    <mergeCell ref="I392:J392"/>
    <mergeCell ref="L392:M392"/>
    <mergeCell ref="D184:F184"/>
    <mergeCell ref="D185:F185"/>
    <mergeCell ref="D186:F186"/>
    <mergeCell ref="D187:F187"/>
    <mergeCell ref="A902:M902"/>
    <mergeCell ref="L766:M766"/>
    <mergeCell ref="A700:F700"/>
    <mergeCell ref="I700:J700"/>
    <mergeCell ref="L700:M700"/>
    <mergeCell ref="A701:F701"/>
    <mergeCell ref="A338:M338"/>
    <mergeCell ref="J339:L339"/>
    <mergeCell ref="A340:F340"/>
    <mergeCell ref="L330:M330"/>
    <mergeCell ref="A331:F331"/>
    <mergeCell ref="I331:J331"/>
    <mergeCell ref="L331:M331"/>
    <mergeCell ref="A283:F283"/>
    <mergeCell ref="J401:L401"/>
    <mergeCell ref="A402:F402"/>
    <mergeCell ref="A393:F393"/>
    <mergeCell ref="I393:J393"/>
    <mergeCell ref="L393:M393"/>
    <mergeCell ref="A392:F392"/>
    <mergeCell ref="J13:L13"/>
    <mergeCell ref="A14:F14"/>
    <mergeCell ref="A15:F15"/>
    <mergeCell ref="A17:F17"/>
    <mergeCell ref="A203:M203"/>
    <mergeCell ref="I701:J701"/>
    <mergeCell ref="L701:M701"/>
    <mergeCell ref="J585:L585"/>
    <mergeCell ref="A586:F586"/>
    <mergeCell ref="A576:F576"/>
    <mergeCell ref="I576:J576"/>
    <mergeCell ref="A341:F341"/>
    <mergeCell ref="A343:F343"/>
    <mergeCell ref="J460:L460"/>
    <mergeCell ref="A461:F461"/>
    <mergeCell ref="A462:F462"/>
    <mergeCell ref="A452:F452"/>
    <mergeCell ref="I452:J452"/>
    <mergeCell ref="L452:M452"/>
    <mergeCell ref="J279:L279"/>
    <mergeCell ref="A280:F280"/>
    <mergeCell ref="A281:F281"/>
    <mergeCell ref="A330:F330"/>
    <mergeCell ref="I330:J330"/>
    <mergeCell ref="A7:M7"/>
    <mergeCell ref="A278:M278"/>
    <mergeCell ref="A211:F211"/>
    <mergeCell ref="A213:F213"/>
    <mergeCell ref="J209:L209"/>
    <mergeCell ref="A210:F210"/>
    <mergeCell ref="A272:M272"/>
    <mergeCell ref="A76:F76"/>
    <mergeCell ref="I76:J76"/>
    <mergeCell ref="L76:M76"/>
    <mergeCell ref="A75:F75"/>
    <mergeCell ref="I75:J75"/>
    <mergeCell ref="L75:M75"/>
    <mergeCell ref="A270:F270"/>
    <mergeCell ref="I270:J270"/>
    <mergeCell ref="L270:M270"/>
    <mergeCell ref="A271:F271"/>
    <mergeCell ref="I271:J271"/>
    <mergeCell ref="L271:M271"/>
    <mergeCell ref="A78:M78"/>
    <mergeCell ref="D183:F183"/>
    <mergeCell ref="D188:F188"/>
    <mergeCell ref="D189:F189"/>
    <mergeCell ref="J84:L84"/>
    <mergeCell ref="J1025:L1025"/>
    <mergeCell ref="A1026:F1026"/>
    <mergeCell ref="A1027:F1027"/>
    <mergeCell ref="A1029:F1029"/>
    <mergeCell ref="A1086:F1086"/>
    <mergeCell ref="I1086:J1086"/>
    <mergeCell ref="L1086:M1086"/>
    <mergeCell ref="A1087:F1087"/>
    <mergeCell ref="I1087:J1087"/>
    <mergeCell ref="L1087:M1087"/>
    <mergeCell ref="A451:F451"/>
    <mergeCell ref="I451:J451"/>
    <mergeCell ref="L451:M451"/>
    <mergeCell ref="A513:F513"/>
    <mergeCell ref="I513:J513"/>
    <mergeCell ref="L513:M513"/>
    <mergeCell ref="A514:F514"/>
    <mergeCell ref="I514:J514"/>
    <mergeCell ref="L514:M514"/>
    <mergeCell ref="I637:J637"/>
    <mergeCell ref="L637:M637"/>
    <mergeCell ref="A638:F638"/>
    <mergeCell ref="I638:J638"/>
    <mergeCell ref="L638:M638"/>
    <mergeCell ref="J646:L646"/>
    <mergeCell ref="A632:M632"/>
    <mergeCell ref="J522:L522"/>
    <mergeCell ref="A523:F523"/>
    <mergeCell ref="A524:F524"/>
    <mergeCell ref="A526:F526"/>
    <mergeCell ref="A587:F587"/>
    <mergeCell ref="A589:F589"/>
    <mergeCell ref="J775:L775"/>
    <mergeCell ref="L767:M767"/>
    <mergeCell ref="A647:F647"/>
    <mergeCell ref="A648:F648"/>
    <mergeCell ref="A650:F650"/>
    <mergeCell ref="A695:M695"/>
    <mergeCell ref="J709:L709"/>
    <mergeCell ref="A710:F710"/>
    <mergeCell ref="A711:F711"/>
    <mergeCell ref="A713:F713"/>
    <mergeCell ref="A761:M761"/>
    <mergeCell ref="A766:F766"/>
    <mergeCell ref="I766:J766"/>
    <mergeCell ref="A900:F900"/>
    <mergeCell ref="I900:J900"/>
    <mergeCell ref="L900:M900"/>
    <mergeCell ref="A894:M894"/>
    <mergeCell ref="A777:F777"/>
    <mergeCell ref="A779:F779"/>
    <mergeCell ref="I834:J834"/>
    <mergeCell ref="L834:M834"/>
    <mergeCell ref="A776:F776"/>
    <mergeCell ref="J842:L842"/>
    <mergeCell ref="A843:F843"/>
    <mergeCell ref="A844:F844"/>
    <mergeCell ref="A846:F846"/>
    <mergeCell ref="A835:M835"/>
    <mergeCell ref="A836:M836"/>
    <mergeCell ref="A833:F833"/>
    <mergeCell ref="I833:J833"/>
    <mergeCell ref="L833:M833"/>
    <mergeCell ref="A834:F834"/>
    <mergeCell ref="A899:F899"/>
    <mergeCell ref="I899:J899"/>
    <mergeCell ref="L899:M899"/>
    <mergeCell ref="A959:F959"/>
    <mergeCell ref="I959:J959"/>
    <mergeCell ref="L959:M959"/>
    <mergeCell ref="A907:M907"/>
    <mergeCell ref="J908:L908"/>
    <mergeCell ref="A909:F909"/>
    <mergeCell ref="A910:F910"/>
    <mergeCell ref="A912:F912"/>
    <mergeCell ref="A954:M954"/>
    <mergeCell ref="A960:F960"/>
    <mergeCell ref="I960:J960"/>
    <mergeCell ref="L960:M960"/>
    <mergeCell ref="A1016:F1016"/>
    <mergeCell ref="I1016:J1016"/>
    <mergeCell ref="L1016:M1016"/>
    <mergeCell ref="A1017:F1017"/>
    <mergeCell ref="I1017:J1017"/>
    <mergeCell ref="L1017:M1017"/>
    <mergeCell ref="J968:L968"/>
    <mergeCell ref="A969:F969"/>
    <mergeCell ref="A970:F970"/>
    <mergeCell ref="A972:F972"/>
    <mergeCell ref="A962:M962"/>
    <mergeCell ref="A85:F85"/>
    <mergeCell ref="A86:F86"/>
    <mergeCell ref="A88:F88"/>
    <mergeCell ref="A134:F134"/>
    <mergeCell ref="I134:J134"/>
    <mergeCell ref="L134:M134"/>
    <mergeCell ref="A135:F135"/>
    <mergeCell ref="I135:J135"/>
    <mergeCell ref="L135:M135"/>
    <mergeCell ref="D108:F108"/>
    <mergeCell ref="D115:F115"/>
    <mergeCell ref="A200:F200"/>
    <mergeCell ref="I200:J200"/>
    <mergeCell ref="L200:M200"/>
    <mergeCell ref="A137:M137"/>
    <mergeCell ref="J143:L143"/>
    <mergeCell ref="A144:F144"/>
    <mergeCell ref="A145:F145"/>
    <mergeCell ref="A147:F147"/>
    <mergeCell ref="D167:F167"/>
    <mergeCell ref="D174:F174"/>
    <mergeCell ref="A199:F199"/>
    <mergeCell ref="I199:J199"/>
    <mergeCell ref="L199:M199"/>
    <mergeCell ref="D171:F171"/>
    <mergeCell ref="D172:F172"/>
    <mergeCell ref="D173:F173"/>
    <mergeCell ref="D175:F175"/>
    <mergeCell ref="D176:F176"/>
    <mergeCell ref="D177:F177"/>
    <mergeCell ref="D178:F178"/>
    <mergeCell ref="D179:F179"/>
    <mergeCell ref="D180:F180"/>
    <mergeCell ref="D181:F181"/>
    <mergeCell ref="D182:F182"/>
    <mergeCell ref="D152:F152"/>
    <mergeCell ref="D153:F153"/>
    <mergeCell ref="D154:F154"/>
    <mergeCell ref="D155:F155"/>
    <mergeCell ref="D156:F156"/>
    <mergeCell ref="D157:F157"/>
    <mergeCell ref="D158:F158"/>
    <mergeCell ref="D159:F159"/>
    <mergeCell ref="D149:F149"/>
    <mergeCell ref="D150:F150"/>
    <mergeCell ref="D151:F151"/>
    <mergeCell ref="D170:F170"/>
    <mergeCell ref="D160:F160"/>
    <mergeCell ref="D161:F161"/>
    <mergeCell ref="D162:F162"/>
    <mergeCell ref="D163:F163"/>
    <mergeCell ref="D164:F164"/>
    <mergeCell ref="D165:F165"/>
    <mergeCell ref="D166:F166"/>
    <mergeCell ref="D168:F168"/>
    <mergeCell ref="D169:F169"/>
  </mergeCells>
  <printOptions horizontalCentered="1"/>
  <pageMargins left="0.51181102362204722" right="0" top="0.51181102362204722" bottom="0" header="0" footer="0"/>
  <pageSetup paperSize="256" scale="70" orientation="portrait" r:id="rId1"/>
  <headerFooter alignWithMargins="0">
    <oddFooter xml:space="preserve">&amp;C&amp;"Times New Roman,Bold"&amp;16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AD372"/>
  <sheetViews>
    <sheetView workbookViewId="0">
      <selection activeCell="F74" sqref="F74"/>
    </sheetView>
  </sheetViews>
  <sheetFormatPr defaultRowHeight="12.75"/>
  <cols>
    <col min="1" max="1" width="2.7109375" style="310" customWidth="1"/>
    <col min="2" max="2" width="2.140625" style="310" customWidth="1"/>
    <col min="3" max="5" width="1.7109375" style="310" customWidth="1"/>
    <col min="6" max="6" width="33.5703125" style="310" customWidth="1"/>
    <col min="7" max="7" width="4" style="359" hidden="1" customWidth="1"/>
    <col min="8" max="8" width="16" style="310" customWidth="1"/>
    <col min="9" max="9" width="12" style="316" hidden="1" customWidth="1"/>
    <col min="10" max="10" width="16.28515625" style="310" customWidth="1"/>
    <col min="11" max="11" width="15.7109375" style="310" customWidth="1"/>
    <col min="12" max="12" width="14.7109375" style="360" customWidth="1"/>
    <col min="13" max="13" width="14.5703125" style="360" customWidth="1"/>
    <col min="14" max="14" width="15.5703125" style="310" customWidth="1"/>
    <col min="15" max="15" width="2.7109375" style="310" customWidth="1"/>
    <col min="16" max="16" width="15.28515625" style="310" customWidth="1"/>
    <col min="17" max="17" width="15.140625" style="310" customWidth="1"/>
    <col min="18" max="16384" width="9.140625" style="310"/>
  </cols>
  <sheetData>
    <row r="1" spans="1:18" ht="18" customHeight="1">
      <c r="A1" s="349"/>
      <c r="N1" s="372"/>
    </row>
    <row r="2" spans="1:18" ht="18" hidden="1" customHeight="1">
      <c r="A2" s="553" t="s">
        <v>195</v>
      </c>
      <c r="B2" s="553"/>
      <c r="C2" s="553"/>
      <c r="D2" s="553"/>
      <c r="E2" s="553"/>
      <c r="F2" s="553"/>
      <c r="G2" s="553"/>
      <c r="H2" s="553"/>
      <c r="I2" s="553"/>
      <c r="J2" s="553"/>
      <c r="K2" s="553"/>
      <c r="L2" s="553"/>
      <c r="M2" s="553"/>
      <c r="N2" s="553"/>
    </row>
    <row r="3" spans="1:18" ht="18" hidden="1" customHeight="1">
      <c r="A3" s="553" t="s">
        <v>65</v>
      </c>
      <c r="B3" s="553"/>
      <c r="C3" s="553"/>
      <c r="D3" s="553"/>
      <c r="E3" s="553"/>
      <c r="F3" s="553"/>
      <c r="G3" s="553"/>
      <c r="H3" s="553"/>
      <c r="I3" s="553"/>
      <c r="J3" s="553"/>
      <c r="K3" s="553"/>
      <c r="L3" s="553"/>
      <c r="M3" s="553"/>
      <c r="N3" s="553"/>
    </row>
    <row r="4" spans="1:18" ht="18" hidden="1" customHeight="1">
      <c r="A4" s="373"/>
      <c r="B4" s="373"/>
      <c r="C4" s="373"/>
      <c r="D4" s="373"/>
      <c r="E4" s="373"/>
      <c r="F4" s="373"/>
      <c r="G4" s="373"/>
      <c r="H4" s="373"/>
      <c r="I4" s="370"/>
      <c r="J4" s="373"/>
      <c r="K4" s="373"/>
      <c r="L4" s="374"/>
      <c r="M4" s="374"/>
      <c r="N4" s="373"/>
    </row>
    <row r="5" spans="1:18" ht="18" hidden="1" customHeight="1" thickBot="1">
      <c r="A5" s="553" t="s">
        <v>0</v>
      </c>
      <c r="B5" s="553"/>
      <c r="C5" s="553"/>
      <c r="D5" s="553"/>
      <c r="E5" s="553"/>
      <c r="F5" s="553"/>
      <c r="G5" s="553"/>
      <c r="H5" s="553"/>
      <c r="I5" s="553"/>
      <c r="J5" s="553"/>
      <c r="K5" s="553"/>
      <c r="L5" s="553"/>
      <c r="M5" s="553"/>
      <c r="N5" s="553"/>
    </row>
    <row r="6" spans="1:18" s="316" customFormat="1" ht="18" hidden="1" customHeight="1">
      <c r="A6" s="311"/>
      <c r="B6" s="312"/>
      <c r="C6" s="312"/>
      <c r="D6" s="312"/>
      <c r="E6" s="312"/>
      <c r="F6" s="312"/>
      <c r="G6" s="313"/>
      <c r="H6" s="314"/>
      <c r="I6" s="314"/>
      <c r="J6" s="314"/>
      <c r="K6" s="556"/>
      <c r="L6" s="557"/>
      <c r="M6" s="558"/>
      <c r="N6" s="315"/>
    </row>
    <row r="7" spans="1:18" s="316" customFormat="1" ht="18" hidden="1" customHeight="1">
      <c r="A7" s="542" t="s">
        <v>3</v>
      </c>
      <c r="B7" s="543"/>
      <c r="C7" s="543"/>
      <c r="D7" s="543"/>
      <c r="E7" s="543"/>
      <c r="F7" s="543"/>
      <c r="G7" s="317"/>
      <c r="H7" s="317" t="s">
        <v>1</v>
      </c>
      <c r="I7" s="318" t="s">
        <v>2</v>
      </c>
      <c r="J7" s="317" t="s">
        <v>6</v>
      </c>
      <c r="K7" s="559" t="s">
        <v>247</v>
      </c>
      <c r="L7" s="560"/>
      <c r="M7" s="561"/>
      <c r="N7" s="319" t="s">
        <v>7</v>
      </c>
    </row>
    <row r="8" spans="1:18" s="316" customFormat="1" ht="18" hidden="1" customHeight="1">
      <c r="A8" s="320"/>
      <c r="G8" s="321"/>
      <c r="H8" s="317" t="s">
        <v>4</v>
      </c>
      <c r="I8" s="318" t="s">
        <v>5</v>
      </c>
      <c r="J8" s="322">
        <v>2020</v>
      </c>
      <c r="K8" s="317" t="s">
        <v>191</v>
      </c>
      <c r="L8" s="323" t="s">
        <v>194</v>
      </c>
      <c r="M8" s="317">
        <v>2021</v>
      </c>
      <c r="N8" s="324">
        <v>2022</v>
      </c>
    </row>
    <row r="9" spans="1:18" s="316" customFormat="1" ht="18" hidden="1" customHeight="1">
      <c r="A9" s="320"/>
      <c r="G9" s="321"/>
      <c r="H9" s="317"/>
      <c r="I9" s="317"/>
      <c r="J9" s="317" t="s">
        <v>191</v>
      </c>
      <c r="K9" s="317">
        <v>2021</v>
      </c>
      <c r="L9" s="317">
        <v>2021</v>
      </c>
      <c r="M9" s="323" t="s">
        <v>442</v>
      </c>
      <c r="N9" s="319" t="s">
        <v>196</v>
      </c>
    </row>
    <row r="10" spans="1:18" s="316" customFormat="1" ht="18" hidden="1" customHeight="1" thickBot="1">
      <c r="A10" s="549"/>
      <c r="B10" s="550"/>
      <c r="C10" s="550"/>
      <c r="D10" s="550"/>
      <c r="E10" s="550"/>
      <c r="F10" s="550"/>
      <c r="G10" s="325"/>
      <c r="H10" s="325"/>
      <c r="I10" s="325"/>
      <c r="J10" s="325"/>
      <c r="K10" s="325"/>
      <c r="L10" s="326"/>
      <c r="M10" s="326"/>
      <c r="N10" s="327"/>
    </row>
    <row r="11" spans="1:18" ht="18" hidden="1" customHeight="1">
      <c r="A11" s="328" t="s">
        <v>109</v>
      </c>
      <c r="B11" s="329" t="s">
        <v>110</v>
      </c>
      <c r="C11" s="329"/>
      <c r="D11" s="329"/>
      <c r="E11" s="329"/>
      <c r="F11" s="329"/>
      <c r="G11" s="375"/>
      <c r="H11" s="331"/>
      <c r="I11" s="146"/>
      <c r="J11" s="147"/>
      <c r="K11" s="147"/>
      <c r="L11" s="376"/>
      <c r="M11" s="147"/>
      <c r="N11" s="147"/>
    </row>
    <row r="12" spans="1:18" ht="18" hidden="1" customHeight="1">
      <c r="A12" s="337"/>
      <c r="B12" s="377" t="s">
        <v>253</v>
      </c>
      <c r="C12" s="377"/>
      <c r="D12" s="338"/>
      <c r="E12" s="338"/>
      <c r="F12" s="338"/>
      <c r="G12" s="335"/>
      <c r="H12" s="304"/>
      <c r="I12" s="148"/>
      <c r="J12" s="93"/>
      <c r="K12" s="46"/>
      <c r="L12" s="46">
        <v>0</v>
      </c>
      <c r="M12" s="46">
        <v>14086609.630000001</v>
      </c>
      <c r="N12" s="4">
        <v>0</v>
      </c>
      <c r="Q12" s="149"/>
      <c r="R12" s="316"/>
    </row>
    <row r="13" spans="1:18" ht="18" hidden="1" customHeight="1" thickBot="1">
      <c r="A13" s="340"/>
      <c r="B13" s="341" t="s">
        <v>375</v>
      </c>
      <c r="C13" s="341"/>
      <c r="D13" s="341"/>
      <c r="E13" s="341"/>
      <c r="F13" s="341"/>
      <c r="G13" s="378"/>
      <c r="H13" s="305"/>
      <c r="I13" s="150"/>
      <c r="J13" s="151"/>
      <c r="K13" s="5"/>
      <c r="L13" s="6"/>
      <c r="M13" s="133"/>
      <c r="N13" s="7"/>
      <c r="Q13" s="149"/>
      <c r="R13" s="316"/>
    </row>
    <row r="14" spans="1:18" s="349" customFormat="1" ht="18" hidden="1" customHeight="1" thickBot="1">
      <c r="A14" s="344"/>
      <c r="B14" s="345" t="s">
        <v>254</v>
      </c>
      <c r="C14" s="345"/>
      <c r="D14" s="345"/>
      <c r="E14" s="345"/>
      <c r="F14" s="345"/>
      <c r="G14" s="346"/>
      <c r="H14" s="306"/>
      <c r="I14" s="152"/>
      <c r="J14" s="8">
        <f>SUM(J12:J13)</f>
        <v>0</v>
      </c>
      <c r="K14" s="8">
        <f>SUM(K12:K13)</f>
        <v>0</v>
      </c>
      <c r="L14" s="8">
        <f>SUM(L12:L13)</f>
        <v>0</v>
      </c>
      <c r="M14" s="134">
        <f>SUM(M12:M13)</f>
        <v>14086609.630000001</v>
      </c>
      <c r="N14" s="134">
        <f>SUM(N12:N13)</f>
        <v>0</v>
      </c>
    </row>
    <row r="15" spans="1:18" ht="18" hidden="1" customHeight="1">
      <c r="A15" s="379" t="s">
        <v>111</v>
      </c>
      <c r="B15" s="380" t="s">
        <v>112</v>
      </c>
      <c r="C15" s="380"/>
      <c r="D15" s="380"/>
      <c r="E15" s="380"/>
      <c r="F15" s="380"/>
      <c r="G15" s="381"/>
      <c r="H15" s="303"/>
      <c r="I15" s="153"/>
      <c r="J15" s="93"/>
      <c r="K15" s="9"/>
      <c r="L15" s="10"/>
      <c r="M15" s="9"/>
      <c r="N15" s="9"/>
    </row>
    <row r="16" spans="1:18" ht="18" hidden="1" customHeight="1">
      <c r="A16" s="333"/>
      <c r="B16" s="334" t="s">
        <v>144</v>
      </c>
      <c r="C16" s="334"/>
      <c r="D16" s="334"/>
      <c r="E16" s="334"/>
      <c r="F16" s="334"/>
      <c r="G16" s="382"/>
      <c r="H16" s="304"/>
      <c r="I16" s="148"/>
      <c r="J16" s="92"/>
      <c r="K16" s="11"/>
      <c r="L16" s="12"/>
      <c r="M16" s="11"/>
      <c r="N16" s="11"/>
    </row>
    <row r="17" spans="1:14" ht="18" hidden="1" customHeight="1">
      <c r="A17" s="337"/>
      <c r="B17" s="338"/>
      <c r="C17" s="338" t="s">
        <v>38</v>
      </c>
      <c r="D17" s="338"/>
      <c r="E17" s="338"/>
      <c r="F17" s="338"/>
      <c r="G17" s="382"/>
      <c r="H17" s="304"/>
      <c r="I17" s="148"/>
      <c r="J17" s="92"/>
      <c r="K17" s="11"/>
      <c r="L17" s="12"/>
      <c r="M17" s="11"/>
      <c r="N17" s="11"/>
    </row>
    <row r="18" spans="1:14" ht="18" hidden="1" customHeight="1">
      <c r="A18" s="337"/>
      <c r="B18" s="338"/>
      <c r="C18" s="338"/>
      <c r="D18" s="338" t="s">
        <v>113</v>
      </c>
      <c r="E18" s="338"/>
      <c r="F18" s="338"/>
      <c r="G18" s="335"/>
      <c r="H18" s="304"/>
      <c r="I18" s="148"/>
      <c r="J18" s="92"/>
      <c r="K18" s="11"/>
      <c r="L18" s="12"/>
      <c r="M18" s="11"/>
      <c r="N18" s="11"/>
    </row>
    <row r="19" spans="1:14" ht="18" hidden="1" customHeight="1">
      <c r="A19" s="337"/>
      <c r="B19" s="338"/>
      <c r="C19" s="338"/>
      <c r="D19" s="338"/>
      <c r="E19" s="338" t="s">
        <v>32</v>
      </c>
      <c r="F19" s="338"/>
      <c r="G19" s="339" t="s">
        <v>337</v>
      </c>
      <c r="H19" s="304" t="s">
        <v>291</v>
      </c>
      <c r="I19" s="148" t="s">
        <v>312</v>
      </c>
      <c r="J19" s="92">
        <v>1646308.3</v>
      </c>
      <c r="K19" s="11">
        <v>1432592.26</v>
      </c>
      <c r="L19" s="12">
        <f>2600000-K19</f>
        <v>1167407.74</v>
      </c>
      <c r="M19" s="11">
        <f>L19+K19</f>
        <v>2600000</v>
      </c>
      <c r="N19" s="11">
        <v>2600000</v>
      </c>
    </row>
    <row r="20" spans="1:14" ht="18" hidden="1" customHeight="1">
      <c r="A20" s="337"/>
      <c r="B20" s="338"/>
      <c r="C20" s="338"/>
      <c r="D20" s="338"/>
      <c r="E20" s="338" t="s">
        <v>152</v>
      </c>
      <c r="F20" s="338"/>
      <c r="G20" s="339" t="s">
        <v>338</v>
      </c>
      <c r="H20" s="304" t="s">
        <v>291</v>
      </c>
      <c r="I20" s="148" t="s">
        <v>312</v>
      </c>
      <c r="J20" s="92">
        <v>762679.81</v>
      </c>
      <c r="K20" s="11">
        <v>1199853.77</v>
      </c>
      <c r="L20" s="12">
        <v>200000</v>
      </c>
      <c r="M20" s="11">
        <f>L20+K20</f>
        <v>1399853.77</v>
      </c>
      <c r="N20" s="11">
        <v>950000</v>
      </c>
    </row>
    <row r="21" spans="1:14" ht="18" hidden="1" customHeight="1">
      <c r="A21" s="337"/>
      <c r="B21" s="338"/>
      <c r="C21" s="338"/>
      <c r="D21" s="338"/>
      <c r="E21" s="338" t="s">
        <v>153</v>
      </c>
      <c r="F21" s="338"/>
      <c r="G21" s="339" t="s">
        <v>325</v>
      </c>
      <c r="H21" s="304" t="s">
        <v>292</v>
      </c>
      <c r="I21" s="148" t="s">
        <v>312</v>
      </c>
      <c r="J21" s="92">
        <v>378783.52</v>
      </c>
      <c r="K21" s="11">
        <v>20885.66</v>
      </c>
      <c r="L21" s="12">
        <f>510000-K21</f>
        <v>489114.34</v>
      </c>
      <c r="M21" s="11">
        <f>L21+K21</f>
        <v>510000</v>
      </c>
      <c r="N21" s="11">
        <v>510000</v>
      </c>
    </row>
    <row r="22" spans="1:14" ht="18" hidden="1" customHeight="1">
      <c r="A22" s="337"/>
      <c r="B22" s="338"/>
      <c r="C22" s="338"/>
      <c r="D22" s="338" t="s">
        <v>494</v>
      </c>
      <c r="E22" s="338"/>
      <c r="F22" s="338"/>
      <c r="G22" s="335"/>
      <c r="H22" s="304" t="s">
        <v>317</v>
      </c>
      <c r="I22" s="148" t="s">
        <v>312</v>
      </c>
      <c r="J22" s="92">
        <v>0</v>
      </c>
      <c r="K22" s="11">
        <v>0</v>
      </c>
      <c r="L22" s="12">
        <v>0</v>
      </c>
      <c r="M22" s="11">
        <v>0</v>
      </c>
      <c r="N22" s="11">
        <v>3400000</v>
      </c>
    </row>
    <row r="23" spans="1:14" ht="18" hidden="1" customHeight="1">
      <c r="A23" s="337"/>
      <c r="B23" s="338"/>
      <c r="C23" s="338"/>
      <c r="D23" s="338"/>
      <c r="E23" s="338" t="s">
        <v>199</v>
      </c>
      <c r="F23" s="338"/>
      <c r="G23" s="339" t="s">
        <v>339</v>
      </c>
      <c r="H23" s="304" t="s">
        <v>296</v>
      </c>
      <c r="I23" s="148" t="s">
        <v>312</v>
      </c>
      <c r="J23" s="92">
        <v>0</v>
      </c>
      <c r="K23" s="11">
        <v>0</v>
      </c>
      <c r="L23" s="12">
        <v>0</v>
      </c>
      <c r="M23" s="11">
        <v>0</v>
      </c>
      <c r="N23" s="11">
        <v>60000</v>
      </c>
    </row>
    <row r="24" spans="1:14" ht="18" hidden="1" customHeight="1">
      <c r="A24" s="337"/>
      <c r="B24" s="338"/>
      <c r="C24" s="338"/>
      <c r="D24" s="338" t="s">
        <v>495</v>
      </c>
      <c r="E24" s="338"/>
      <c r="F24" s="338"/>
      <c r="G24" s="335"/>
      <c r="H24" s="304"/>
      <c r="I24" s="148"/>
      <c r="J24" s="92"/>
      <c r="K24" s="11"/>
      <c r="L24" s="12"/>
      <c r="M24" s="11"/>
      <c r="N24" s="11"/>
    </row>
    <row r="25" spans="1:14" ht="18" hidden="1" customHeight="1">
      <c r="A25" s="337"/>
      <c r="B25" s="338"/>
      <c r="C25" s="338"/>
      <c r="D25" s="338"/>
      <c r="E25" s="338" t="s">
        <v>154</v>
      </c>
      <c r="F25" s="338"/>
      <c r="G25" s="335"/>
      <c r="H25" s="304" t="s">
        <v>294</v>
      </c>
      <c r="I25" s="148" t="s">
        <v>312</v>
      </c>
      <c r="J25" s="92">
        <v>47717.5</v>
      </c>
      <c r="K25" s="11">
        <v>206870.5</v>
      </c>
      <c r="L25" s="12">
        <v>20000</v>
      </c>
      <c r="M25" s="11">
        <f>L25+K25</f>
        <v>226870.5</v>
      </c>
      <c r="N25" s="11">
        <v>200000</v>
      </c>
    </row>
    <row r="26" spans="1:14" ht="18" hidden="1" customHeight="1">
      <c r="A26" s="337"/>
      <c r="B26" s="338"/>
      <c r="C26" s="338"/>
      <c r="D26" s="338"/>
      <c r="E26" s="338" t="s">
        <v>155</v>
      </c>
      <c r="F26" s="338"/>
      <c r="G26" s="339" t="s">
        <v>340</v>
      </c>
      <c r="H26" s="304" t="s">
        <v>295</v>
      </c>
      <c r="I26" s="148" t="s">
        <v>312</v>
      </c>
      <c r="J26" s="92">
        <v>100875</v>
      </c>
      <c r="K26" s="11">
        <v>67680</v>
      </c>
      <c r="L26" s="12">
        <f>125000-K26</f>
        <v>57320</v>
      </c>
      <c r="M26" s="11">
        <f>L26+K26</f>
        <v>125000</v>
      </c>
      <c r="N26" s="11">
        <v>125000</v>
      </c>
    </row>
    <row r="27" spans="1:14" ht="18" hidden="1" customHeight="1">
      <c r="A27" s="337"/>
      <c r="B27" s="338"/>
      <c r="C27" s="338"/>
      <c r="D27" s="338"/>
      <c r="E27" s="338" t="s">
        <v>156</v>
      </c>
      <c r="F27" s="338"/>
      <c r="G27" s="339" t="s">
        <v>341</v>
      </c>
      <c r="H27" s="304"/>
      <c r="I27" s="148"/>
      <c r="J27" s="92">
        <v>218439</v>
      </c>
      <c r="K27" s="11">
        <v>176730</v>
      </c>
      <c r="L27" s="12">
        <f>280000-K27</f>
        <v>103270</v>
      </c>
      <c r="M27" s="11">
        <f>L27+K27</f>
        <v>280000</v>
      </c>
      <c r="N27" s="11">
        <v>280000</v>
      </c>
    </row>
    <row r="28" spans="1:14" ht="18" hidden="1" customHeight="1">
      <c r="A28" s="337"/>
      <c r="B28" s="338"/>
      <c r="C28" s="338"/>
      <c r="D28" s="338"/>
      <c r="E28" s="338" t="s">
        <v>157</v>
      </c>
      <c r="F28" s="338"/>
      <c r="G28" s="335"/>
      <c r="H28" s="304"/>
      <c r="I28" s="148"/>
      <c r="J28" s="92"/>
      <c r="K28" s="11"/>
      <c r="L28" s="12"/>
      <c r="M28" s="11"/>
      <c r="N28" s="11"/>
    </row>
    <row r="29" spans="1:14" ht="18" hidden="1" customHeight="1">
      <c r="A29" s="337"/>
      <c r="B29" s="338"/>
      <c r="C29" s="338"/>
      <c r="D29" s="338"/>
      <c r="E29" s="338"/>
      <c r="F29" s="338" t="s">
        <v>158</v>
      </c>
      <c r="G29" s="339" t="s">
        <v>342</v>
      </c>
      <c r="H29" s="304" t="s">
        <v>296</v>
      </c>
      <c r="I29" s="148" t="s">
        <v>312</v>
      </c>
      <c r="J29" s="92">
        <v>11648.4</v>
      </c>
      <c r="K29" s="11">
        <v>9640.5</v>
      </c>
      <c r="L29" s="12">
        <f>20000-K29</f>
        <v>10359.5</v>
      </c>
      <c r="M29" s="11">
        <f>L29+K29</f>
        <v>20000</v>
      </c>
      <c r="N29" s="11">
        <v>30000</v>
      </c>
    </row>
    <row r="30" spans="1:14" ht="18" hidden="1" customHeight="1" thickBot="1">
      <c r="A30" s="340"/>
      <c r="B30" s="341"/>
      <c r="C30" s="341"/>
      <c r="D30" s="341"/>
      <c r="E30" s="341" t="s">
        <v>159</v>
      </c>
      <c r="F30" s="341"/>
      <c r="G30" s="342" t="s">
        <v>343</v>
      </c>
      <c r="H30" s="305" t="s">
        <v>297</v>
      </c>
      <c r="I30" s="150" t="s">
        <v>312</v>
      </c>
      <c r="J30" s="96">
        <v>612101.81000000006</v>
      </c>
      <c r="K30" s="13">
        <v>520643.13</v>
      </c>
      <c r="L30" s="14">
        <f>640000-K30</f>
        <v>119356.87</v>
      </c>
      <c r="M30" s="13">
        <f>L30+K30</f>
        <v>640000</v>
      </c>
      <c r="N30" s="13">
        <v>640000</v>
      </c>
    </row>
    <row r="31" spans="1:14" s="349" customFormat="1" ht="18" hidden="1" customHeight="1" thickBot="1">
      <c r="A31" s="354"/>
      <c r="B31" s="345"/>
      <c r="C31" s="345" t="s">
        <v>114</v>
      </c>
      <c r="D31" s="345"/>
      <c r="E31" s="345"/>
      <c r="F31" s="345"/>
      <c r="G31" s="346"/>
      <c r="H31" s="306"/>
      <c r="I31" s="152"/>
      <c r="J31" s="97">
        <f>SUM(J19:J30)</f>
        <v>3778553.3400000003</v>
      </c>
      <c r="K31" s="97">
        <f>SUM(K19:K30)</f>
        <v>3634895.8200000003</v>
      </c>
      <c r="L31" s="383">
        <f>SUM(L19:L30)</f>
        <v>2166828.4500000002</v>
      </c>
      <c r="M31" s="97">
        <f>SUM(M19:M30)</f>
        <v>5801724.2699999996</v>
      </c>
      <c r="N31" s="98">
        <f>SUM(N19:N30)</f>
        <v>8795000</v>
      </c>
    </row>
    <row r="32" spans="1:14" ht="18" hidden="1" customHeight="1">
      <c r="A32" s="350"/>
      <c r="B32" s="351"/>
      <c r="C32" s="351" t="s">
        <v>39</v>
      </c>
      <c r="D32" s="351"/>
      <c r="E32" s="351"/>
      <c r="F32" s="351"/>
      <c r="G32" s="352"/>
      <c r="H32" s="303"/>
      <c r="I32" s="153"/>
      <c r="J32" s="93"/>
      <c r="K32" s="9"/>
      <c r="L32" s="10"/>
      <c r="M32" s="9"/>
      <c r="N32" s="9"/>
    </row>
    <row r="33" spans="1:16" ht="18" hidden="1" customHeight="1">
      <c r="A33" s="337"/>
      <c r="B33" s="338"/>
      <c r="C33" s="338"/>
      <c r="D33" s="338" t="s">
        <v>115</v>
      </c>
      <c r="E33" s="338"/>
      <c r="F33" s="338"/>
      <c r="G33" s="335"/>
      <c r="H33" s="304"/>
      <c r="I33" s="148"/>
      <c r="J33" s="92"/>
      <c r="K33" s="11"/>
      <c r="L33" s="12"/>
      <c r="M33" s="11"/>
      <c r="N33" s="11"/>
    </row>
    <row r="34" spans="1:16" ht="18" hidden="1" customHeight="1">
      <c r="A34" s="337"/>
      <c r="B34" s="338"/>
      <c r="C34" s="338"/>
      <c r="D34" s="338"/>
      <c r="E34" s="338" t="s">
        <v>116</v>
      </c>
      <c r="F34" s="338"/>
      <c r="G34" s="335"/>
      <c r="H34" s="304"/>
      <c r="I34" s="148"/>
      <c r="J34" s="92"/>
      <c r="K34" s="11"/>
      <c r="L34" s="12"/>
      <c r="M34" s="11"/>
      <c r="N34" s="11"/>
    </row>
    <row r="35" spans="1:16" ht="18" hidden="1" customHeight="1">
      <c r="A35" s="337"/>
      <c r="B35" s="338"/>
      <c r="C35" s="338"/>
      <c r="D35" s="338"/>
      <c r="E35" s="338"/>
      <c r="F35" s="338" t="s">
        <v>117</v>
      </c>
      <c r="G35" s="339" t="s">
        <v>344</v>
      </c>
      <c r="H35" s="304" t="s">
        <v>298</v>
      </c>
      <c r="I35" s="148" t="s">
        <v>312</v>
      </c>
      <c r="J35" s="92">
        <v>398582.5</v>
      </c>
      <c r="K35" s="11">
        <v>212225</v>
      </c>
      <c r="L35" s="12">
        <f>500000-K35</f>
        <v>287775</v>
      </c>
      <c r="M35" s="11">
        <f>L35+K35</f>
        <v>500000</v>
      </c>
      <c r="N35" s="11">
        <v>450000</v>
      </c>
    </row>
    <row r="36" spans="1:16" ht="18" hidden="1" customHeight="1">
      <c r="A36" s="337"/>
      <c r="B36" s="338"/>
      <c r="C36" s="338"/>
      <c r="D36" s="338"/>
      <c r="E36" s="338"/>
      <c r="F36" s="338" t="s">
        <v>118</v>
      </c>
      <c r="G36" s="339" t="s">
        <v>345</v>
      </c>
      <c r="H36" s="304" t="s">
        <v>298</v>
      </c>
      <c r="I36" s="148" t="s">
        <v>312</v>
      </c>
      <c r="J36" s="92">
        <v>12140</v>
      </c>
      <c r="K36" s="11">
        <v>7200</v>
      </c>
      <c r="L36" s="12">
        <f>25000-K36</f>
        <v>17800</v>
      </c>
      <c r="M36" s="11">
        <f>L36+K36</f>
        <v>25000</v>
      </c>
      <c r="N36" s="11">
        <v>25000</v>
      </c>
    </row>
    <row r="37" spans="1:16" ht="18" hidden="1" customHeight="1">
      <c r="A37" s="337"/>
      <c r="B37" s="338"/>
      <c r="C37" s="338"/>
      <c r="D37" s="338"/>
      <c r="E37" s="338"/>
      <c r="F37" s="338" t="s">
        <v>119</v>
      </c>
      <c r="G37" s="339" t="s">
        <v>346</v>
      </c>
      <c r="H37" s="304" t="s">
        <v>298</v>
      </c>
      <c r="I37" s="148" t="s">
        <v>312</v>
      </c>
      <c r="J37" s="92">
        <v>9565</v>
      </c>
      <c r="K37" s="11">
        <v>11375</v>
      </c>
      <c r="L37" s="12">
        <f>17000-K37</f>
        <v>5625</v>
      </c>
      <c r="M37" s="11">
        <f>L37+K37</f>
        <v>17000</v>
      </c>
      <c r="N37" s="11">
        <v>20000</v>
      </c>
    </row>
    <row r="38" spans="1:16" ht="18" hidden="1" customHeight="1">
      <c r="A38" s="337"/>
      <c r="B38" s="338"/>
      <c r="C38" s="338"/>
      <c r="D38" s="338"/>
      <c r="E38" s="338" t="s">
        <v>120</v>
      </c>
      <c r="F38" s="338"/>
      <c r="G38" s="339" t="s">
        <v>326</v>
      </c>
      <c r="H38" s="304" t="s">
        <v>299</v>
      </c>
      <c r="I38" s="148" t="s">
        <v>312</v>
      </c>
      <c r="J38" s="92">
        <v>106860</v>
      </c>
      <c r="K38" s="11">
        <v>45930</v>
      </c>
      <c r="L38" s="12">
        <f>100000-K38</f>
        <v>54070</v>
      </c>
      <c r="M38" s="11">
        <f>L38+K38</f>
        <v>100000</v>
      </c>
      <c r="N38" s="11">
        <v>100000</v>
      </c>
    </row>
    <row r="39" spans="1:16" ht="18" hidden="1" customHeight="1">
      <c r="A39" s="337"/>
      <c r="B39" s="338"/>
      <c r="C39" s="338"/>
      <c r="D39" s="338"/>
      <c r="E39" s="338" t="s">
        <v>121</v>
      </c>
      <c r="F39" s="338"/>
      <c r="G39" s="335"/>
      <c r="H39" s="304"/>
      <c r="I39" s="148"/>
      <c r="J39" s="92"/>
      <c r="K39" s="11"/>
      <c r="L39" s="12"/>
      <c r="M39" s="11"/>
      <c r="N39" s="11"/>
    </row>
    <row r="40" spans="1:16" ht="18" hidden="1" customHeight="1">
      <c r="A40" s="337"/>
      <c r="B40" s="338"/>
      <c r="C40" s="338"/>
      <c r="D40" s="338"/>
      <c r="E40" s="338"/>
      <c r="F40" s="338" t="s">
        <v>122</v>
      </c>
      <c r="G40" s="339" t="s">
        <v>347</v>
      </c>
      <c r="H40" s="304" t="s">
        <v>300</v>
      </c>
      <c r="I40" s="148" t="s">
        <v>312</v>
      </c>
      <c r="J40" s="92">
        <v>134325</v>
      </c>
      <c r="K40" s="11">
        <v>70250</v>
      </c>
      <c r="L40" s="12">
        <f>125000-K40</f>
        <v>54750</v>
      </c>
      <c r="M40" s="11">
        <f>L40+K40</f>
        <v>125000</v>
      </c>
      <c r="N40" s="11">
        <v>125000</v>
      </c>
    </row>
    <row r="41" spans="1:16" ht="18" hidden="1" customHeight="1">
      <c r="A41" s="337"/>
      <c r="B41" s="338"/>
      <c r="C41" s="338"/>
      <c r="D41" s="338"/>
      <c r="E41" s="338"/>
      <c r="F41" s="338" t="s">
        <v>123</v>
      </c>
      <c r="G41" s="339" t="s">
        <v>348</v>
      </c>
      <c r="H41" s="304" t="s">
        <v>300</v>
      </c>
      <c r="I41" s="148" t="s">
        <v>312</v>
      </c>
      <c r="J41" s="92">
        <v>441670</v>
      </c>
      <c r="K41" s="11">
        <v>118225</v>
      </c>
      <c r="L41" s="12">
        <v>211775</v>
      </c>
      <c r="M41" s="11">
        <f>L41+K41</f>
        <v>330000</v>
      </c>
      <c r="N41" s="11">
        <v>300000</v>
      </c>
    </row>
    <row r="42" spans="1:16" ht="18" hidden="1" customHeight="1">
      <c r="A42" s="337"/>
      <c r="B42" s="338"/>
      <c r="C42" s="338"/>
      <c r="D42" s="338"/>
      <c r="E42" s="338"/>
      <c r="F42" s="338" t="s">
        <v>124</v>
      </c>
      <c r="G42" s="339" t="s">
        <v>349</v>
      </c>
      <c r="H42" s="304" t="s">
        <v>300</v>
      </c>
      <c r="I42" s="148" t="s">
        <v>312</v>
      </c>
      <c r="J42" s="92">
        <v>332623</v>
      </c>
      <c r="K42" s="11">
        <v>240105</v>
      </c>
      <c r="L42" s="12">
        <f>300000-K42</f>
        <v>59895</v>
      </c>
      <c r="M42" s="11">
        <f>L42+K42</f>
        <v>300000</v>
      </c>
      <c r="N42" s="11">
        <v>250000</v>
      </c>
    </row>
    <row r="43" spans="1:16" ht="18" hidden="1" customHeight="1">
      <c r="A43" s="337"/>
      <c r="B43" s="338"/>
      <c r="C43" s="338"/>
      <c r="D43" s="338"/>
      <c r="E43" s="338" t="s">
        <v>125</v>
      </c>
      <c r="F43" s="338"/>
      <c r="G43" s="335"/>
      <c r="H43" s="304"/>
      <c r="I43" s="148"/>
      <c r="J43" s="92"/>
      <c r="K43" s="11"/>
      <c r="L43" s="12"/>
      <c r="M43" s="11"/>
      <c r="N43" s="11"/>
    </row>
    <row r="44" spans="1:16" ht="18" hidden="1" customHeight="1">
      <c r="A44" s="337"/>
      <c r="B44" s="338"/>
      <c r="C44" s="338"/>
      <c r="D44" s="338"/>
      <c r="E44" s="338"/>
      <c r="F44" s="338" t="s">
        <v>126</v>
      </c>
      <c r="G44" s="339" t="s">
        <v>350</v>
      </c>
      <c r="H44" s="304" t="s">
        <v>301</v>
      </c>
      <c r="I44" s="148" t="s">
        <v>312</v>
      </c>
      <c r="J44" s="92">
        <v>221901</v>
      </c>
      <c r="K44" s="11">
        <v>236696</v>
      </c>
      <c r="L44" s="12">
        <f>320000-K44</f>
        <v>83304</v>
      </c>
      <c r="M44" s="11">
        <f>L44+K44</f>
        <v>320000</v>
      </c>
      <c r="N44" s="11">
        <v>320000</v>
      </c>
    </row>
    <row r="45" spans="1:16" ht="18" hidden="1" customHeight="1">
      <c r="A45" s="337"/>
      <c r="B45" s="338"/>
      <c r="C45" s="338"/>
      <c r="D45" s="338"/>
      <c r="E45" s="338"/>
      <c r="F45" s="338" t="s">
        <v>127</v>
      </c>
      <c r="G45" s="339" t="s">
        <v>351</v>
      </c>
      <c r="H45" s="304" t="s">
        <v>301</v>
      </c>
      <c r="I45" s="148" t="s">
        <v>312</v>
      </c>
      <c r="J45" s="92">
        <v>466410.96</v>
      </c>
      <c r="K45" s="11">
        <v>299007.21999999997</v>
      </c>
      <c r="L45" s="12">
        <v>50000</v>
      </c>
      <c r="M45" s="11">
        <f>L45+K45</f>
        <v>349007.22</v>
      </c>
      <c r="N45" s="11">
        <v>300000</v>
      </c>
    </row>
    <row r="46" spans="1:16" ht="18" hidden="1" customHeight="1">
      <c r="A46" s="337"/>
      <c r="B46" s="338"/>
      <c r="C46" s="338"/>
      <c r="D46" s="338"/>
      <c r="E46" s="338"/>
      <c r="F46" s="338" t="s">
        <v>128</v>
      </c>
      <c r="G46" s="339" t="s">
        <v>352</v>
      </c>
      <c r="H46" s="304" t="s">
        <v>301</v>
      </c>
      <c r="I46" s="148" t="s">
        <v>312</v>
      </c>
      <c r="J46" s="92">
        <v>50700</v>
      </c>
      <c r="K46" s="11">
        <v>36500</v>
      </c>
      <c r="L46" s="12">
        <f>60000-K46</f>
        <v>23500</v>
      </c>
      <c r="M46" s="11">
        <f>L46+K46</f>
        <v>60000</v>
      </c>
      <c r="N46" s="11">
        <v>0</v>
      </c>
    </row>
    <row r="47" spans="1:16" ht="18" hidden="1" customHeight="1">
      <c r="A47" s="337"/>
      <c r="B47" s="338"/>
      <c r="C47" s="338"/>
      <c r="D47" s="338"/>
      <c r="E47" s="338"/>
      <c r="F47" s="338" t="s">
        <v>129</v>
      </c>
      <c r="G47" s="339" t="s">
        <v>353</v>
      </c>
      <c r="H47" s="304" t="s">
        <v>301</v>
      </c>
      <c r="I47" s="148" t="s">
        <v>312</v>
      </c>
      <c r="J47" s="92">
        <v>113014</v>
      </c>
      <c r="K47" s="11">
        <v>49862</v>
      </c>
      <c r="L47" s="12">
        <f>50000-K47</f>
        <v>138</v>
      </c>
      <c r="M47" s="11">
        <f>L47+K47</f>
        <v>50000</v>
      </c>
      <c r="N47" s="11">
        <v>70000</v>
      </c>
    </row>
    <row r="48" spans="1:16" ht="18" hidden="1" customHeight="1">
      <c r="A48" s="337"/>
      <c r="B48" s="338"/>
      <c r="C48" s="338"/>
      <c r="D48" s="338"/>
      <c r="E48" s="338" t="s">
        <v>130</v>
      </c>
      <c r="F48" s="338"/>
      <c r="G48" s="339" t="s">
        <v>354</v>
      </c>
      <c r="H48" s="304" t="s">
        <v>302</v>
      </c>
      <c r="I48" s="148" t="s">
        <v>312</v>
      </c>
      <c r="J48" s="92">
        <v>213750</v>
      </c>
      <c r="K48" s="11">
        <v>194631</v>
      </c>
      <c r="L48" s="12">
        <f>250000-K48</f>
        <v>55369</v>
      </c>
      <c r="M48" s="11">
        <f>L48+K48</f>
        <v>250000</v>
      </c>
      <c r="N48" s="11">
        <v>250000</v>
      </c>
      <c r="P48" s="384"/>
    </row>
    <row r="49" spans="1:16" ht="18" hidden="1" customHeight="1">
      <c r="A49" s="337"/>
      <c r="B49" s="338"/>
      <c r="C49" s="338"/>
      <c r="D49" s="338"/>
      <c r="E49" s="338" t="s">
        <v>131</v>
      </c>
      <c r="F49" s="338"/>
      <c r="G49" s="335"/>
      <c r="H49" s="304"/>
      <c r="I49" s="148"/>
      <c r="J49" s="92"/>
      <c r="K49" s="11"/>
      <c r="L49" s="12"/>
      <c r="M49" s="11"/>
      <c r="N49" s="11"/>
      <c r="P49" s="385"/>
    </row>
    <row r="50" spans="1:16" ht="18" hidden="1" customHeight="1">
      <c r="A50" s="337"/>
      <c r="B50" s="338"/>
      <c r="C50" s="338"/>
      <c r="D50" s="338"/>
      <c r="E50" s="338"/>
      <c r="F50" s="338" t="s">
        <v>132</v>
      </c>
      <c r="G50" s="339" t="s">
        <v>355</v>
      </c>
      <c r="H50" s="304" t="s">
        <v>303</v>
      </c>
      <c r="I50" s="148" t="s">
        <v>312</v>
      </c>
      <c r="J50" s="92">
        <v>18900</v>
      </c>
      <c r="K50" s="11">
        <v>21200</v>
      </c>
      <c r="L50" s="12">
        <f>55000-K50</f>
        <v>33800</v>
      </c>
      <c r="M50" s="11">
        <f>L50+K50</f>
        <v>55000</v>
      </c>
      <c r="N50" s="11">
        <v>55000</v>
      </c>
      <c r="P50" s="385"/>
    </row>
    <row r="51" spans="1:16" ht="18" hidden="1" customHeight="1">
      <c r="A51" s="337"/>
      <c r="B51" s="338"/>
      <c r="C51" s="338"/>
      <c r="D51" s="338"/>
      <c r="E51" s="338"/>
      <c r="F51" s="338" t="s">
        <v>133</v>
      </c>
      <c r="G51" s="339" t="s">
        <v>356</v>
      </c>
      <c r="H51" s="304" t="s">
        <v>304</v>
      </c>
      <c r="I51" s="148" t="s">
        <v>312</v>
      </c>
      <c r="J51" s="92">
        <v>56000</v>
      </c>
      <c r="K51" s="11">
        <v>53000</v>
      </c>
      <c r="L51" s="12">
        <v>10000</v>
      </c>
      <c r="M51" s="11">
        <f>L51+K51</f>
        <v>63000</v>
      </c>
      <c r="N51" s="11">
        <v>0</v>
      </c>
    </row>
    <row r="52" spans="1:16" ht="18" hidden="1" customHeight="1">
      <c r="A52" s="337"/>
      <c r="B52" s="338"/>
      <c r="C52" s="338"/>
      <c r="D52" s="338"/>
      <c r="E52" s="338"/>
      <c r="F52" s="338" t="s">
        <v>134</v>
      </c>
      <c r="G52" s="339" t="s">
        <v>357</v>
      </c>
      <c r="H52" s="304" t="s">
        <v>304</v>
      </c>
      <c r="I52" s="148" t="s">
        <v>312</v>
      </c>
      <c r="J52" s="92">
        <v>40600</v>
      </c>
      <c r="K52" s="11">
        <v>21600</v>
      </c>
      <c r="L52" s="12">
        <f>45000-K52</f>
        <v>23400</v>
      </c>
      <c r="M52" s="11">
        <f>L52+K52</f>
        <v>45000</v>
      </c>
      <c r="N52" s="11">
        <v>0</v>
      </c>
    </row>
    <row r="53" spans="1:16" ht="18" hidden="1" customHeight="1">
      <c r="A53" s="337"/>
      <c r="B53" s="338"/>
      <c r="C53" s="338"/>
      <c r="D53" s="338" t="s">
        <v>135</v>
      </c>
      <c r="E53" s="338"/>
      <c r="F53" s="338"/>
      <c r="G53" s="335"/>
      <c r="H53" s="304"/>
      <c r="I53" s="148"/>
      <c r="J53" s="92"/>
      <c r="K53" s="11"/>
      <c r="L53" s="12"/>
      <c r="M53" s="11"/>
      <c r="N53" s="11"/>
    </row>
    <row r="54" spans="1:16" ht="18" hidden="1" customHeight="1">
      <c r="A54" s="337"/>
      <c r="B54" s="338"/>
      <c r="C54" s="338"/>
      <c r="D54" s="338"/>
      <c r="E54" s="338" t="s">
        <v>136</v>
      </c>
      <c r="F54" s="338"/>
      <c r="G54" s="335"/>
      <c r="H54" s="304"/>
      <c r="I54" s="148"/>
      <c r="J54" s="92"/>
      <c r="K54" s="11"/>
      <c r="L54" s="12"/>
      <c r="M54" s="11"/>
      <c r="N54" s="11"/>
    </row>
    <row r="55" spans="1:16" ht="18" hidden="1" customHeight="1">
      <c r="A55" s="337"/>
      <c r="B55" s="338"/>
      <c r="C55" s="338"/>
      <c r="D55" s="338"/>
      <c r="E55" s="338"/>
      <c r="F55" s="338" t="s">
        <v>137</v>
      </c>
      <c r="G55" s="339" t="s">
        <v>358</v>
      </c>
      <c r="H55" s="304" t="s">
        <v>305</v>
      </c>
      <c r="I55" s="148" t="s">
        <v>312</v>
      </c>
      <c r="J55" s="92">
        <v>131361.82</v>
      </c>
      <c r="K55" s="11">
        <v>30846</v>
      </c>
      <c r="L55" s="12">
        <f>155000-K55</f>
        <v>124154</v>
      </c>
      <c r="M55" s="11">
        <f t="shared" ref="M55:M61" si="0">L55+K55</f>
        <v>155000</v>
      </c>
      <c r="N55" s="11">
        <v>100000</v>
      </c>
    </row>
    <row r="56" spans="1:16" ht="18" hidden="1" customHeight="1">
      <c r="A56" s="337"/>
      <c r="B56" s="338"/>
      <c r="C56" s="338"/>
      <c r="D56" s="338"/>
      <c r="E56" s="338" t="s">
        <v>138</v>
      </c>
      <c r="F56" s="338"/>
      <c r="G56" s="339" t="s">
        <v>359</v>
      </c>
      <c r="H56" s="304" t="s">
        <v>306</v>
      </c>
      <c r="I56" s="148" t="s">
        <v>312</v>
      </c>
      <c r="J56" s="92">
        <v>145700</v>
      </c>
      <c r="K56" s="11">
        <v>74210</v>
      </c>
      <c r="L56" s="12">
        <f>160000-K56</f>
        <v>85790</v>
      </c>
      <c r="M56" s="11">
        <f t="shared" si="0"/>
        <v>160000</v>
      </c>
      <c r="N56" s="11">
        <v>160000</v>
      </c>
    </row>
    <row r="57" spans="1:16" ht="18" hidden="1" customHeight="1">
      <c r="A57" s="337"/>
      <c r="B57" s="338"/>
      <c r="C57" s="338"/>
      <c r="D57" s="338"/>
      <c r="E57" s="338" t="s">
        <v>139</v>
      </c>
      <c r="F57" s="338"/>
      <c r="G57" s="339" t="s">
        <v>329</v>
      </c>
      <c r="H57" s="304" t="s">
        <v>307</v>
      </c>
      <c r="I57" s="148" t="s">
        <v>312</v>
      </c>
      <c r="J57" s="92">
        <v>411987</v>
      </c>
      <c r="K57" s="11">
        <v>593929</v>
      </c>
      <c r="L57" s="12">
        <v>100000</v>
      </c>
      <c r="M57" s="11">
        <f t="shared" si="0"/>
        <v>693929</v>
      </c>
      <c r="N57" s="11">
        <v>300000</v>
      </c>
    </row>
    <row r="58" spans="1:16" ht="18" hidden="1" customHeight="1">
      <c r="A58" s="337"/>
      <c r="B58" s="338"/>
      <c r="C58" s="338"/>
      <c r="D58" s="338"/>
      <c r="E58" s="338" t="s">
        <v>140</v>
      </c>
      <c r="F58" s="338"/>
      <c r="G58" s="339" t="s">
        <v>360</v>
      </c>
      <c r="H58" s="304" t="s">
        <v>308</v>
      </c>
      <c r="I58" s="148" t="s">
        <v>312</v>
      </c>
      <c r="J58" s="92">
        <v>374892.86</v>
      </c>
      <c r="K58" s="11">
        <v>33171.53</v>
      </c>
      <c r="L58" s="12">
        <f>150000-K58</f>
        <v>116828.47</v>
      </c>
      <c r="M58" s="11">
        <f t="shared" si="0"/>
        <v>150000</v>
      </c>
      <c r="N58" s="11">
        <v>150000</v>
      </c>
    </row>
    <row r="59" spans="1:16" ht="18" hidden="1" customHeight="1">
      <c r="A59" s="337"/>
      <c r="B59" s="338"/>
      <c r="C59" s="338"/>
      <c r="D59" s="338"/>
      <c r="E59" s="338" t="s">
        <v>141</v>
      </c>
      <c r="F59" s="338"/>
      <c r="G59" s="339" t="s">
        <v>355</v>
      </c>
      <c r="H59" s="304" t="s">
        <v>303</v>
      </c>
      <c r="I59" s="148" t="s">
        <v>312</v>
      </c>
      <c r="J59" s="92">
        <v>470597.81</v>
      </c>
      <c r="K59" s="11">
        <v>329243</v>
      </c>
      <c r="L59" s="12">
        <f>560000-K59</f>
        <v>230757</v>
      </c>
      <c r="M59" s="11">
        <f t="shared" si="0"/>
        <v>560000</v>
      </c>
      <c r="N59" s="11">
        <v>500000</v>
      </c>
    </row>
    <row r="60" spans="1:16" ht="18" hidden="1" customHeight="1">
      <c r="A60" s="337"/>
      <c r="B60" s="338"/>
      <c r="C60" s="338"/>
      <c r="D60" s="338"/>
      <c r="E60" s="338" t="s">
        <v>142</v>
      </c>
      <c r="F60" s="338"/>
      <c r="G60" s="386" t="s">
        <v>325</v>
      </c>
      <c r="H60" s="304" t="s">
        <v>293</v>
      </c>
      <c r="I60" s="148" t="s">
        <v>312</v>
      </c>
      <c r="J60" s="92">
        <v>49750</v>
      </c>
      <c r="K60" s="11">
        <v>113930</v>
      </c>
      <c r="L60" s="12">
        <v>10000</v>
      </c>
      <c r="M60" s="11">
        <f t="shared" si="0"/>
        <v>123930</v>
      </c>
      <c r="N60" s="11">
        <v>100000</v>
      </c>
    </row>
    <row r="61" spans="1:16" ht="18" hidden="1" customHeight="1" thickBot="1">
      <c r="A61" s="340"/>
      <c r="B61" s="341"/>
      <c r="C61" s="341"/>
      <c r="D61" s="341"/>
      <c r="E61" s="341" t="s">
        <v>212</v>
      </c>
      <c r="F61" s="341"/>
      <c r="G61" s="342" t="s">
        <v>361</v>
      </c>
      <c r="H61" s="305" t="s">
        <v>309</v>
      </c>
      <c r="I61" s="150" t="s">
        <v>312</v>
      </c>
      <c r="J61" s="96">
        <v>0</v>
      </c>
      <c r="K61" s="13">
        <v>0</v>
      </c>
      <c r="L61" s="13">
        <v>0</v>
      </c>
      <c r="M61" s="13">
        <f t="shared" si="0"/>
        <v>0</v>
      </c>
      <c r="N61" s="13"/>
    </row>
    <row r="62" spans="1:16" s="349" customFormat="1" ht="18" hidden="1" customHeight="1" thickBot="1">
      <c r="A62" s="387"/>
      <c r="B62" s="345"/>
      <c r="C62" s="345" t="s">
        <v>8</v>
      </c>
      <c r="D62" s="345"/>
      <c r="E62" s="345"/>
      <c r="F62" s="345"/>
      <c r="G62" s="346"/>
      <c r="H62" s="306"/>
      <c r="I62" s="152"/>
      <c r="J62" s="97">
        <f>SUM(J33:J61)</f>
        <v>4201330.9499999993</v>
      </c>
      <c r="K62" s="97">
        <f>SUM(K33:K61)</f>
        <v>2793135.7499999995</v>
      </c>
      <c r="L62" s="383">
        <f>SUM(L33:L61)</f>
        <v>1638730.47</v>
      </c>
      <c r="M62" s="97">
        <f>SUM(M33:M61)</f>
        <v>4431866.22</v>
      </c>
      <c r="N62" s="97">
        <f>SUM(N33:N61)</f>
        <v>3575000</v>
      </c>
    </row>
    <row r="63" spans="1:16" ht="18" hidden="1" customHeight="1">
      <c r="A63" s="350"/>
      <c r="B63" s="351" t="s">
        <v>143</v>
      </c>
      <c r="C63" s="351"/>
      <c r="D63" s="351"/>
      <c r="E63" s="351"/>
      <c r="F63" s="351"/>
      <c r="G63" s="352"/>
      <c r="H63" s="303"/>
      <c r="I63" s="153"/>
      <c r="J63" s="93">
        <f>SUM(J62+J31)</f>
        <v>7979884.2899999991</v>
      </c>
      <c r="K63" s="93">
        <f>SUM(K62+K31)</f>
        <v>6428031.5700000003</v>
      </c>
      <c r="L63" s="388">
        <f>SUM(L62+L31)</f>
        <v>3805558.92</v>
      </c>
      <c r="M63" s="93">
        <f>SUM(M62+M31)</f>
        <v>10233590.489999998</v>
      </c>
      <c r="N63" s="93">
        <f>SUM(N62+N31)</f>
        <v>12370000</v>
      </c>
    </row>
    <row r="64" spans="1:16" ht="18" hidden="1" customHeight="1">
      <c r="A64" s="337"/>
      <c r="B64" s="334" t="s">
        <v>145</v>
      </c>
      <c r="C64" s="338"/>
      <c r="D64" s="338"/>
      <c r="E64" s="338"/>
      <c r="F64" s="338"/>
      <c r="G64" s="335"/>
      <c r="H64" s="304"/>
      <c r="I64" s="148"/>
      <c r="J64" s="92"/>
      <c r="K64" s="11"/>
      <c r="L64" s="12"/>
      <c r="M64" s="11"/>
      <c r="N64" s="11"/>
    </row>
    <row r="65" spans="1:14" ht="18" hidden="1" customHeight="1">
      <c r="A65" s="337"/>
      <c r="B65" s="338"/>
      <c r="C65" s="338" t="s">
        <v>579</v>
      </c>
      <c r="D65" s="338"/>
      <c r="E65" s="338"/>
      <c r="F65" s="338"/>
      <c r="G65" s="339" t="s">
        <v>362</v>
      </c>
      <c r="H65" s="304" t="s">
        <v>310</v>
      </c>
      <c r="I65" s="148" t="s">
        <v>312</v>
      </c>
      <c r="J65" s="92">
        <v>155037996</v>
      </c>
      <c r="K65" s="11">
        <v>83082348</v>
      </c>
      <c r="L65" s="12">
        <f>166164696-K65</f>
        <v>83082348</v>
      </c>
      <c r="M65" s="11">
        <f>L65+K65</f>
        <v>166164696</v>
      </c>
      <c r="N65" s="11">
        <v>219243814</v>
      </c>
    </row>
    <row r="66" spans="1:14" ht="18" hidden="1" customHeight="1" thickBot="1">
      <c r="A66" s="340"/>
      <c r="B66" s="341"/>
      <c r="C66" s="341" t="s">
        <v>146</v>
      </c>
      <c r="D66" s="341"/>
      <c r="E66" s="341"/>
      <c r="F66" s="341"/>
      <c r="G66" s="342" t="s">
        <v>363</v>
      </c>
      <c r="H66" s="305" t="s">
        <v>311</v>
      </c>
      <c r="I66" s="150" t="s">
        <v>364</v>
      </c>
      <c r="J66" s="96">
        <v>0</v>
      </c>
      <c r="K66" s="13">
        <v>0</v>
      </c>
      <c r="L66" s="13">
        <v>0</v>
      </c>
      <c r="M66" s="13">
        <f>L66+K66</f>
        <v>0</v>
      </c>
      <c r="N66" s="13">
        <v>0</v>
      </c>
    </row>
    <row r="67" spans="1:14" ht="18" hidden="1" customHeight="1" thickBot="1">
      <c r="A67" s="354"/>
      <c r="B67" s="345" t="s">
        <v>147</v>
      </c>
      <c r="C67" s="345"/>
      <c r="D67" s="345"/>
      <c r="E67" s="345"/>
      <c r="F67" s="345"/>
      <c r="G67" s="346"/>
      <c r="H67" s="306"/>
      <c r="I67" s="152"/>
      <c r="J67" s="97">
        <f>SUM(J65:J66)</f>
        <v>155037996</v>
      </c>
      <c r="K67" s="97">
        <f>SUM(K65:K66)</f>
        <v>83082348</v>
      </c>
      <c r="L67" s="383">
        <f>SUM(L65:L66)</f>
        <v>83082348</v>
      </c>
      <c r="M67" s="97">
        <f>SUM(M65:M66)</f>
        <v>166164696</v>
      </c>
      <c r="N67" s="98">
        <f>SUM(N65:N66)</f>
        <v>219243814</v>
      </c>
    </row>
    <row r="68" spans="1:14" s="349" customFormat="1" ht="18" hidden="1" customHeight="1" thickBot="1">
      <c r="A68" s="354" t="s">
        <v>9</v>
      </c>
      <c r="B68" s="345"/>
      <c r="C68" s="345"/>
      <c r="D68" s="345"/>
      <c r="E68" s="345"/>
      <c r="F68" s="345"/>
      <c r="G68" s="346"/>
      <c r="H68" s="306"/>
      <c r="I68" s="152"/>
      <c r="J68" s="97">
        <f>SUM(J67+J62+J31+J14)</f>
        <v>163017880.28999999</v>
      </c>
      <c r="K68" s="97">
        <f t="shared" ref="K68:N68" si="1">SUM(K67+K62+K31+K14)</f>
        <v>89510379.569999993</v>
      </c>
      <c r="L68" s="97">
        <f t="shared" si="1"/>
        <v>86887906.920000002</v>
      </c>
      <c r="M68" s="97">
        <f>SUM(M67+M62+M31+M14)</f>
        <v>190484896.12</v>
      </c>
      <c r="N68" s="97">
        <f t="shared" si="1"/>
        <v>231613814</v>
      </c>
    </row>
    <row r="69" spans="1:14" s="349" customFormat="1" ht="18" hidden="1" customHeight="1">
      <c r="A69" s="355"/>
      <c r="B69" s="355"/>
      <c r="C69" s="355"/>
      <c r="D69" s="355"/>
      <c r="E69" s="355"/>
      <c r="F69" s="355"/>
      <c r="G69" s="370"/>
      <c r="H69" s="356"/>
      <c r="I69" s="357"/>
      <c r="J69" s="154"/>
      <c r="K69" s="154"/>
      <c r="L69" s="389"/>
      <c r="M69" s="389"/>
      <c r="N69" s="154"/>
    </row>
    <row r="70" spans="1:14" s="349" customFormat="1" ht="18" hidden="1" customHeight="1">
      <c r="A70" s="355"/>
      <c r="B70" s="355"/>
      <c r="C70" s="355"/>
      <c r="D70" s="355"/>
      <c r="E70" s="355"/>
      <c r="F70" s="355"/>
      <c r="G70" s="370"/>
      <c r="H70" s="356"/>
      <c r="I70" s="357"/>
      <c r="J70" s="154"/>
      <c r="K70" s="154"/>
      <c r="L70" s="389"/>
      <c r="M70" s="389"/>
      <c r="N70" s="154"/>
    </row>
    <row r="71" spans="1:14" s="349" customFormat="1" ht="18" hidden="1" customHeight="1">
      <c r="A71" s="355"/>
      <c r="B71" s="355"/>
      <c r="C71" s="355"/>
      <c r="D71" s="355"/>
      <c r="E71" s="355"/>
      <c r="F71" s="355"/>
      <c r="G71" s="370"/>
      <c r="H71" s="356"/>
      <c r="I71" s="357"/>
      <c r="J71" s="154"/>
      <c r="K71" s="154"/>
      <c r="L71" s="389"/>
      <c r="M71" s="389"/>
      <c r="N71" s="154"/>
    </row>
    <row r="72" spans="1:14" s="349" customFormat="1" ht="18" hidden="1" customHeight="1">
      <c r="A72" s="355"/>
      <c r="B72" s="355"/>
      <c r="C72" s="355"/>
      <c r="D72" s="355"/>
      <c r="E72" s="355"/>
      <c r="F72" s="355"/>
      <c r="G72" s="370"/>
      <c r="H72" s="356"/>
      <c r="I72" s="357"/>
      <c r="J72" s="154"/>
      <c r="K72" s="154"/>
      <c r="L72" s="389"/>
      <c r="M72" s="389">
        <f>146834345+35000</f>
        <v>146869345</v>
      </c>
      <c r="N72" s="154"/>
    </row>
    <row r="73" spans="1:14" s="390" customFormat="1" ht="20.100000000000001" hidden="1" customHeight="1">
      <c r="A73" s="541" t="s">
        <v>580</v>
      </c>
      <c r="B73" s="541"/>
      <c r="C73" s="541"/>
      <c r="D73" s="541"/>
      <c r="E73" s="541"/>
      <c r="F73" s="541"/>
      <c r="G73" s="541"/>
      <c r="H73" s="541"/>
      <c r="I73" s="541"/>
      <c r="J73" s="541"/>
      <c r="K73" s="541"/>
      <c r="L73" s="541"/>
      <c r="M73" s="541"/>
      <c r="N73" s="541"/>
    </row>
    <row r="74" spans="1:14" s="390" customFormat="1" ht="20.100000000000001" customHeight="1">
      <c r="A74" s="254" t="s">
        <v>577</v>
      </c>
      <c r="B74" s="252"/>
      <c r="C74" s="252"/>
      <c r="D74" s="252"/>
      <c r="E74" s="252"/>
      <c r="F74" s="169"/>
      <c r="G74" s="169"/>
      <c r="H74" s="169"/>
      <c r="I74" s="169"/>
      <c r="J74" s="169"/>
      <c r="K74" s="169"/>
      <c r="L74" s="169"/>
      <c r="M74" s="169"/>
      <c r="N74" s="169"/>
    </row>
    <row r="75" spans="1:14" s="390" customFormat="1" ht="20.100000000000001" customHeight="1">
      <c r="A75" s="249"/>
      <c r="B75" s="253"/>
      <c r="C75" s="253"/>
      <c r="D75" s="253"/>
      <c r="E75" s="253"/>
      <c r="F75" s="169"/>
      <c r="G75" s="169"/>
      <c r="H75" s="169"/>
      <c r="I75" s="169"/>
      <c r="J75" s="169"/>
      <c r="K75" s="169"/>
      <c r="L75" s="169"/>
      <c r="M75" s="169"/>
      <c r="N75" s="169"/>
    </row>
    <row r="76" spans="1:14" s="390" customFormat="1" ht="20.100000000000001" customHeight="1">
      <c r="A76" s="554" t="s">
        <v>549</v>
      </c>
      <c r="B76" s="554"/>
      <c r="C76" s="554"/>
      <c r="D76" s="554"/>
      <c r="E76" s="554"/>
      <c r="F76" s="554"/>
      <c r="G76" s="554"/>
      <c r="H76" s="554"/>
      <c r="I76" s="554"/>
      <c r="J76" s="554"/>
      <c r="K76" s="554"/>
      <c r="L76" s="554"/>
      <c r="M76" s="554"/>
      <c r="N76" s="554"/>
    </row>
    <row r="77" spans="1:14" s="390" customFormat="1" ht="20.100000000000001" customHeight="1">
      <c r="A77" s="246"/>
      <c r="B77" s="246"/>
      <c r="C77" s="246"/>
      <c r="D77" s="246"/>
      <c r="E77" s="246"/>
      <c r="F77" s="169"/>
      <c r="G77" s="169"/>
      <c r="H77" s="169"/>
      <c r="I77" s="169"/>
      <c r="J77" s="169"/>
      <c r="K77" s="169"/>
      <c r="L77" s="169"/>
      <c r="M77" s="169"/>
      <c r="N77" s="169"/>
    </row>
    <row r="78" spans="1:14" s="390" customFormat="1" ht="20.100000000000001" customHeight="1">
      <c r="A78" s="555" t="s">
        <v>583</v>
      </c>
      <c r="B78" s="555"/>
      <c r="C78" s="555"/>
      <c r="D78" s="555"/>
      <c r="E78" s="555"/>
      <c r="F78" s="251"/>
      <c r="G78" s="251"/>
      <c r="H78" s="251" t="s">
        <v>551</v>
      </c>
      <c r="I78" s="251"/>
      <c r="J78" s="247">
        <v>2024</v>
      </c>
      <c r="K78" s="245"/>
      <c r="L78" s="169"/>
      <c r="M78" s="169"/>
      <c r="N78" s="169"/>
    </row>
    <row r="79" spans="1:14" s="390" customFormat="1" ht="20.100000000000001" customHeight="1">
      <c r="A79" s="243" t="s">
        <v>581</v>
      </c>
      <c r="B79" s="248"/>
      <c r="C79" s="250"/>
      <c r="D79" s="250"/>
      <c r="E79" s="250"/>
      <c r="F79" s="169"/>
      <c r="G79" s="169"/>
      <c r="H79" s="169"/>
      <c r="I79" s="169"/>
      <c r="J79" s="169"/>
      <c r="K79" s="169"/>
      <c r="L79" s="169"/>
      <c r="M79" s="169"/>
      <c r="N79" s="169"/>
    </row>
    <row r="80" spans="1:14" s="349" customFormat="1" ht="18" customHeight="1">
      <c r="A80" s="243" t="s">
        <v>582</v>
      </c>
      <c r="B80" s="248"/>
      <c r="C80" s="250"/>
      <c r="D80" s="250"/>
      <c r="E80" s="250"/>
      <c r="F80" s="310"/>
      <c r="G80" s="359"/>
      <c r="H80" s="310"/>
      <c r="I80" s="316"/>
      <c r="J80" s="310"/>
      <c r="K80" s="310"/>
      <c r="L80" s="360"/>
      <c r="M80" s="360"/>
      <c r="N80" s="372"/>
    </row>
    <row r="81" spans="1:17" s="349" customFormat="1" ht="18" customHeight="1" thickBot="1">
      <c r="A81" s="553" t="s">
        <v>0</v>
      </c>
      <c r="B81" s="553"/>
      <c r="C81" s="553"/>
      <c r="D81" s="553"/>
      <c r="E81" s="553"/>
      <c r="F81" s="553"/>
      <c r="G81" s="553"/>
      <c r="H81" s="553"/>
      <c r="I81" s="553"/>
      <c r="J81" s="553"/>
      <c r="K81" s="553"/>
      <c r="L81" s="553"/>
      <c r="M81" s="553"/>
      <c r="N81" s="553"/>
    </row>
    <row r="82" spans="1:17" s="349" customFormat="1" ht="18" customHeight="1">
      <c r="A82" s="311"/>
      <c r="B82" s="312"/>
      <c r="C82" s="312"/>
      <c r="D82" s="312"/>
      <c r="E82" s="312"/>
      <c r="F82" s="312"/>
      <c r="G82" s="313"/>
      <c r="H82" s="314"/>
      <c r="I82" s="314"/>
      <c r="J82" s="314"/>
      <c r="K82" s="453"/>
      <c r="L82" s="451"/>
      <c r="M82" s="452"/>
      <c r="N82" s="315"/>
    </row>
    <row r="83" spans="1:17" s="349" customFormat="1" ht="18" customHeight="1">
      <c r="A83" s="542" t="s">
        <v>3</v>
      </c>
      <c r="B83" s="543"/>
      <c r="C83" s="543"/>
      <c r="D83" s="543"/>
      <c r="E83" s="543"/>
      <c r="F83" s="543"/>
      <c r="G83" s="317"/>
      <c r="H83" s="317" t="s">
        <v>1</v>
      </c>
      <c r="I83" s="318" t="s">
        <v>2</v>
      </c>
      <c r="J83" s="317" t="s">
        <v>6</v>
      </c>
      <c r="K83" s="544" t="s">
        <v>247</v>
      </c>
      <c r="L83" s="543"/>
      <c r="M83" s="545"/>
      <c r="N83" s="319" t="s">
        <v>7</v>
      </c>
    </row>
    <row r="84" spans="1:17" s="349" customFormat="1" ht="18" customHeight="1">
      <c r="A84" s="320"/>
      <c r="B84" s="316"/>
      <c r="C84" s="316"/>
      <c r="D84" s="316"/>
      <c r="E84" s="316"/>
      <c r="F84" s="316"/>
      <c r="G84" s="321"/>
      <c r="H84" s="317" t="s">
        <v>4</v>
      </c>
      <c r="I84" s="318" t="s">
        <v>5</v>
      </c>
      <c r="J84" s="322">
        <v>2022</v>
      </c>
      <c r="K84" s="317">
        <v>2023</v>
      </c>
      <c r="L84" s="323" t="s">
        <v>194</v>
      </c>
      <c r="M84" s="317" t="s">
        <v>11</v>
      </c>
      <c r="N84" s="324">
        <v>2024</v>
      </c>
    </row>
    <row r="85" spans="1:17" s="349" customFormat="1" ht="18" customHeight="1">
      <c r="A85" s="320"/>
      <c r="B85" s="316"/>
      <c r="C85" s="316"/>
      <c r="D85" s="316"/>
      <c r="E85" s="316"/>
      <c r="F85" s="316"/>
      <c r="G85" s="321"/>
      <c r="H85" s="317"/>
      <c r="I85" s="317"/>
      <c r="J85" s="317" t="s">
        <v>191</v>
      </c>
      <c r="K85" s="317" t="s">
        <v>191</v>
      </c>
      <c r="L85" s="317">
        <v>2022</v>
      </c>
      <c r="M85" s="323"/>
      <c r="N85" s="319" t="s">
        <v>196</v>
      </c>
    </row>
    <row r="86" spans="1:17" s="349" customFormat="1" ht="10.5" customHeight="1" thickBot="1">
      <c r="A86" s="549"/>
      <c r="B86" s="550"/>
      <c r="C86" s="550"/>
      <c r="D86" s="550"/>
      <c r="E86" s="550"/>
      <c r="F86" s="550"/>
      <c r="G86" s="325"/>
      <c r="H86" s="325"/>
      <c r="I86" s="325"/>
      <c r="J86" s="325"/>
      <c r="K86" s="325"/>
      <c r="L86" s="326"/>
      <c r="M86" s="326"/>
      <c r="N86" s="327"/>
    </row>
    <row r="87" spans="1:17" ht="18" customHeight="1">
      <c r="A87" s="379" t="s">
        <v>584</v>
      </c>
      <c r="B87" s="380"/>
      <c r="C87" s="380"/>
      <c r="D87" s="380"/>
      <c r="E87" s="380"/>
      <c r="F87" s="380"/>
      <c r="G87" s="381"/>
      <c r="H87" s="303"/>
      <c r="I87" s="353"/>
      <c r="J87" s="93"/>
      <c r="K87" s="9"/>
      <c r="L87" s="10"/>
      <c r="M87" s="10"/>
      <c r="N87" s="9"/>
    </row>
    <row r="88" spans="1:17" ht="18" customHeight="1">
      <c r="A88" s="333"/>
      <c r="B88" s="334" t="s">
        <v>585</v>
      </c>
      <c r="C88" s="334"/>
      <c r="D88" s="334"/>
      <c r="E88" s="334"/>
      <c r="F88" s="334"/>
      <c r="G88" s="335"/>
      <c r="H88" s="304"/>
      <c r="I88" s="336"/>
      <c r="J88" s="92"/>
      <c r="K88" s="11"/>
      <c r="L88" s="12"/>
      <c r="M88" s="12"/>
      <c r="N88" s="11"/>
    </row>
    <row r="89" spans="1:17" ht="18" customHeight="1">
      <c r="A89" s="337"/>
      <c r="B89" s="338"/>
      <c r="C89" s="338" t="s">
        <v>148</v>
      </c>
      <c r="D89" s="338"/>
      <c r="E89" s="338"/>
      <c r="F89" s="391"/>
      <c r="G89" s="386"/>
      <c r="H89" s="308"/>
      <c r="I89" s="392"/>
      <c r="J89" s="102"/>
      <c r="K89" s="48"/>
      <c r="L89" s="49"/>
      <c r="M89" s="49"/>
      <c r="N89" s="48"/>
    </row>
    <row r="90" spans="1:17" ht="18" customHeight="1">
      <c r="A90" s="337"/>
      <c r="B90" s="391"/>
      <c r="C90" s="391"/>
      <c r="D90" s="391" t="s">
        <v>149</v>
      </c>
      <c r="E90" s="391"/>
      <c r="F90" s="391"/>
      <c r="G90" s="386" t="s">
        <v>213</v>
      </c>
      <c r="H90" s="308" t="s">
        <v>257</v>
      </c>
      <c r="I90" s="392"/>
      <c r="J90" s="102">
        <f>SUM('Form 1a-ABR Office'!I20+'Form 1a-ABR Office'!I216+'Form 1a-ABR Office'!I287+'Form 1a-ABR Office'!I346+'Form 1a-ABR Office'!I408+'Form 1a-ABR Office'!I467+'Form 1a-ABR Office'!I529+'Form 1a-ABR Office'!I592+'Form 1a-ABR Office'!I653+'Form 1a-ABR Office'!I716+'Form 1a-ABR Office'!I782+'Form 1a-ABR Office'!I849+'Form 1a-ABR Office'!I915+'Form 1a-ABR Office'!I975)</f>
        <v>42114793</v>
      </c>
      <c r="K90" s="102">
        <f>'Form 1a-ABR Office'!J20+'Form 1a-ABR Office'!J216+'Form 1a-ABR Office'!J287+'Form 1a-ABR Office'!J346+'Form 1a-ABR Office'!J408+'Form 1a-ABR Office'!J467+'Form 1a-ABR Office'!J529+'Form 1a-ABR Office'!J592+'Form 1a-ABR Office'!J653+'Form 1a-ABR Office'!J716+'Form 1a-ABR Office'!J782+'Form 1a-ABR Office'!J849+'Form 1a-ABR Office'!J915+'Form 1a-ABR Office'!J975</f>
        <v>43604146.310000002</v>
      </c>
      <c r="L90" s="102">
        <f>'Form 1a-ABR Office'!K20+'Form 1a-ABR Office'!K216+'Form 1a-ABR Office'!K287+'Form 1a-ABR Office'!K346+'Form 1a-ABR Office'!K408+'Form 1a-ABR Office'!K467+'Form 1a-ABR Office'!K529+'Form 1a-ABR Office'!K592+'Form 1a-ABR Office'!K653+'Form 1a-ABR Office'!K716+'Form 1a-ABR Office'!K782+'Form 1a-ABR Office'!K849+'Form 1a-ABR Office'!K915+'Form 1a-ABR Office'!K975</f>
        <v>2771392.0640000002</v>
      </c>
      <c r="M90" s="102">
        <f>'Form 1a-ABR Office'!L20+'Form 1a-ABR Office'!L216+'Form 1a-ABR Office'!L287+'Form 1a-ABR Office'!L346+'Form 1a-ABR Office'!L408+'Form 1a-ABR Office'!L467+'Form 1a-ABR Office'!L529+'Form 1a-ABR Office'!L592+'Form 1a-ABR Office'!L653+'Form 1a-ABR Office'!L716+'Form 1a-ABR Office'!L782+'Form 1a-ABR Office'!L849+'Form 1a-ABR Office'!L915+'Form 1a-ABR Office'!L975</f>
        <v>46375538.373999998</v>
      </c>
      <c r="N90" s="102">
        <f>SUM('Form 1a-ABR Office'!M20+'Form 1a-ABR Office'!M216+'Form 1a-ABR Office'!M287+'Form 1a-ABR Office'!M346+'Form 1a-ABR Office'!M408+'Form 1a-ABR Office'!M467+'Form 1a-ABR Office'!M529+'Form 1a-ABR Office'!M592+'Form 1a-ABR Office'!M653+'Form 1a-ABR Office'!M716+'Form 1a-ABR Office'!M782+'Form 1a-ABR Office'!M849+'Form 1a-ABR Office'!M915+'Form 1a-ABR Office'!M975)</f>
        <v>49323085</v>
      </c>
      <c r="P90" s="446"/>
      <c r="Q90" s="446"/>
    </row>
    <row r="91" spans="1:17" ht="18" customHeight="1">
      <c r="A91" s="337"/>
      <c r="B91" s="391"/>
      <c r="C91" s="391"/>
      <c r="D91" s="391" t="s">
        <v>106</v>
      </c>
      <c r="E91" s="391"/>
      <c r="F91" s="391"/>
      <c r="G91" s="386"/>
      <c r="H91" s="308" t="s">
        <v>313</v>
      </c>
      <c r="I91" s="392"/>
      <c r="J91" s="102">
        <f>SUM('Form 1a-ABR Office'!I21)</f>
        <v>1659684</v>
      </c>
      <c r="K91" s="102">
        <f>'Form 1a-ABR Office'!J21</f>
        <v>1411386.37</v>
      </c>
      <c r="L91" s="102">
        <f>'Form 1a-ABR Office'!K21</f>
        <v>312413.62999999989</v>
      </c>
      <c r="M91" s="102">
        <f>'Form 1a-ABR Office'!L21</f>
        <v>1723800</v>
      </c>
      <c r="N91" s="102">
        <f>SUM('Form 1a-ABR Office'!M21)</f>
        <v>1723800</v>
      </c>
      <c r="P91" s="446"/>
      <c r="Q91" s="446"/>
    </row>
    <row r="92" spans="1:17" ht="18" customHeight="1">
      <c r="A92" s="337"/>
      <c r="B92" s="391"/>
      <c r="C92" s="391" t="s">
        <v>150</v>
      </c>
      <c r="D92" s="391"/>
      <c r="E92" s="391"/>
      <c r="F92" s="391"/>
      <c r="G92" s="393"/>
      <c r="H92" s="308"/>
      <c r="I92" s="392"/>
      <c r="J92" s="48"/>
      <c r="K92" s="48"/>
      <c r="L92" s="49"/>
      <c r="M92" s="48"/>
      <c r="N92" s="48"/>
      <c r="P92" s="446"/>
      <c r="Q92" s="446"/>
    </row>
    <row r="93" spans="1:17" ht="18" customHeight="1">
      <c r="A93" s="337"/>
      <c r="B93" s="391"/>
      <c r="C93" s="391"/>
      <c r="D93" s="391" t="s">
        <v>151</v>
      </c>
      <c r="E93" s="391"/>
      <c r="F93" s="391"/>
      <c r="G93" s="386" t="s">
        <v>214</v>
      </c>
      <c r="H93" s="308" t="s">
        <v>258</v>
      </c>
      <c r="I93" s="392"/>
      <c r="J93" s="102">
        <f>SUM('Form 1a-ABR Office'!I23+'Form 1a-ABR Office'!I218+'Form 1a-ABR Office'!I289+'Form 1a-ABR Office'!I348+'Form 1a-ABR Office'!I410+'Form 1a-ABR Office'!I469+'Form 1a-ABR Office'!I531+'Form 1a-ABR Office'!I594+'Form 1a-ABR Office'!I655+'Form 1a-ABR Office'!I718+'Form 1a-ABR Office'!I784+'Form 1a-ABR Office'!I851+'Form 1a-ABR Office'!I917+'Form 1a-ABR Office'!I977)</f>
        <v>2792000</v>
      </c>
      <c r="K93" s="102">
        <f>'Form 1a-ABR Office'!J23+'Form 1a-ABR Office'!J218+'Form 1a-ABR Office'!J289+'Form 1a-ABR Office'!J348+'Form 1a-ABR Office'!J410+'Form 1a-ABR Office'!J469+'Form 1a-ABR Office'!J531+'Form 1a-ABR Office'!J594+'Form 1a-ABR Office'!J655+'Form 1a-ABR Office'!J718+'Form 1a-ABR Office'!J784+'Form 1a-ABR Office'!J851+'Form 1a-ABR Office'!J917+'Form 1a-ABR Office'!J977</f>
        <v>2799636.37</v>
      </c>
      <c r="L93" s="102">
        <f>'Form 1a-ABR Office'!K23+'Form 1a-ABR Office'!K218+'Form 1a-ABR Office'!K289+'Form 1a-ABR Office'!K348+'Form 1a-ABR Office'!K410+'Form 1a-ABR Office'!K469+'Form 1a-ABR Office'!K531+'Form 1a-ABR Office'!K594+'Form 1a-ABR Office'!K655+'Form 1a-ABR Office'!K718+'Form 1a-ABR Office'!K784+'Form 1a-ABR Office'!K851+'Form 1a-ABR Office'!K917+'Form 1a-ABR Office'!K977</f>
        <v>238363.63</v>
      </c>
      <c r="M93" s="102">
        <f>'Form 1a-ABR Office'!L23+'Form 1a-ABR Office'!L218+'Form 1a-ABR Office'!L289+'Form 1a-ABR Office'!L348+'Form 1a-ABR Office'!L410+'Form 1a-ABR Office'!L469+'Form 1a-ABR Office'!L531+'Form 1a-ABR Office'!L594+'Form 1a-ABR Office'!L655+'Form 1a-ABR Office'!L718+'Form 1a-ABR Office'!L784+'Form 1a-ABR Office'!L851+'Form 1a-ABR Office'!L917+'Form 1a-ABR Office'!L977</f>
        <v>3038000</v>
      </c>
      <c r="N93" s="102">
        <f>SUM('Form 1a-ABR Office'!M23+'Form 1a-ABR Office'!M218+'Form 1a-ABR Office'!M289+'Form 1a-ABR Office'!M348+'Form 1a-ABR Office'!M410+'Form 1a-ABR Office'!M469+'Form 1a-ABR Office'!M531+'Form 1a-ABR Office'!M594+'Form 1a-ABR Office'!M655+'Form 1a-ABR Office'!M718+'Form 1a-ABR Office'!M784+'Form 1a-ABR Office'!M851+'Form 1a-ABR Office'!M917+'Form 1a-ABR Office'!M977)</f>
        <v>3168000</v>
      </c>
      <c r="P93" s="446"/>
      <c r="Q93" s="446"/>
    </row>
    <row r="94" spans="1:17" ht="18" customHeight="1">
      <c r="A94" s="337"/>
      <c r="B94" s="391"/>
      <c r="C94" s="391"/>
      <c r="D94" s="391" t="s">
        <v>161</v>
      </c>
      <c r="E94" s="391"/>
      <c r="F94" s="391"/>
      <c r="G94" s="386" t="s">
        <v>215</v>
      </c>
      <c r="H94" s="308" t="s">
        <v>259</v>
      </c>
      <c r="I94" s="392"/>
      <c r="J94" s="102">
        <f>SUM('Form 1a-ABR Office'!I24+'Form 1a-ABR Office'!I219+'Form 1a-ABR Office'!I290+'Form 1a-ABR Office'!I349+'Form 1a-ABR Office'!I411+'Form 1a-ABR Office'!I470+'Form 1a-ABR Office'!I532+'Form 1a-ABR Office'!I595+'Form 1a-ABR Office'!I656+'Form 1a-ABR Office'!I719+'Form 1a-ABR Office'!I785+'Form 1a-ABR Office'!I852+'Form 1a-ABR Office'!I978)</f>
        <v>1785000</v>
      </c>
      <c r="K94" s="102">
        <f>'Form 1a-ABR Office'!J24+'Form 1a-ABR Office'!J219+'Form 1a-ABR Office'!J290+'Form 1a-ABR Office'!J349+'Form 1a-ABR Office'!J411+'Form 1a-ABR Office'!J470+'Form 1a-ABR Office'!J532+'Form 1a-ABR Office'!J595+'Form 1a-ABR Office'!J656+'Form 1a-ABR Office'!J719+'Form 1a-ABR Office'!J785+'Form 1a-ABR Office'!J852+'Form 1a-ABR Office'!J978</f>
        <v>1703284.09</v>
      </c>
      <c r="L94" s="102">
        <f>'Form 1a-ABR Office'!K24+'Form 1a-ABR Office'!K219+'Form 1a-ABR Office'!K290+'Form 1a-ABR Office'!K349+'Form 1a-ABR Office'!K411+'Form 1a-ABR Office'!K470+'Form 1a-ABR Office'!K532+'Form 1a-ABR Office'!K595+'Form 1a-ABR Office'!K656+'Form 1a-ABR Office'!K719+'Form 1a-ABR Office'!K785+'Form 1a-ABR Office'!K852+'Form 1a-ABR Office'!K978</f>
        <v>158215.91</v>
      </c>
      <c r="M94" s="102">
        <f>'Form 1a-ABR Office'!L24+'Form 1a-ABR Office'!L219+'Form 1a-ABR Office'!L290+'Form 1a-ABR Office'!L349+'Form 1a-ABR Office'!L411+'Form 1a-ABR Office'!L470+'Form 1a-ABR Office'!L532+'Form 1a-ABR Office'!L595+'Form 1a-ABR Office'!L656+'Form 1a-ABR Office'!L719+'Form 1a-ABR Office'!L785+'Form 1a-ABR Office'!L852+'Form 1a-ABR Office'!L978</f>
        <v>1861500</v>
      </c>
      <c r="N94" s="102">
        <f>SUM('Form 1a-ABR Office'!M24+'Form 1a-ABR Office'!M219+'Form 1a-ABR Office'!M290+'Form 1a-ABR Office'!M349+'Form 1a-ABR Office'!M411+'Form 1a-ABR Office'!M470+'Form 1a-ABR Office'!M532+'Form 1a-ABR Office'!M595+'Form 1a-ABR Office'!M656+'Form 1a-ABR Office'!M719+'Form 1a-ABR Office'!M785+'Form 1a-ABR Office'!M852+'Form 1a-ABR Office'!M978)</f>
        <v>1861500</v>
      </c>
      <c r="P94" s="446"/>
      <c r="Q94" s="446"/>
    </row>
    <row r="95" spans="1:17" ht="18" customHeight="1">
      <c r="A95" s="337"/>
      <c r="B95" s="391"/>
      <c r="C95" s="391"/>
      <c r="D95" s="391" t="s">
        <v>160</v>
      </c>
      <c r="E95" s="391"/>
      <c r="F95" s="391"/>
      <c r="G95" s="386" t="s">
        <v>216</v>
      </c>
      <c r="H95" s="308" t="s">
        <v>260</v>
      </c>
      <c r="I95" s="392"/>
      <c r="J95" s="102">
        <f>SUM('Form 1a-ABR Office'!I25+'Form 1a-ABR Office'!I220+'Form 1a-ABR Office'!I291+'Form 1a-ABR Office'!I350+'Form 1a-ABR Office'!I412+'Form 1a-ABR Office'!I471+'Form 1a-ABR Office'!I533+'Form 1a-ABR Office'!I596+'Form 1a-ABR Office'!I657+'Form 1a-ABR Office'!I720+'Form 1a-ABR Office'!I786+'Form 1a-ABR Office'!I853+'Form 1a-ABR Office'!I979)</f>
        <v>1606500</v>
      </c>
      <c r="K95" s="102">
        <f>'Form 1a-ABR Office'!J25+'Form 1a-ABR Office'!J220+'Form 1a-ABR Office'!J291+'Form 1a-ABR Office'!J350+'Form 1a-ABR Office'!J412+'Form 1a-ABR Office'!J471+'Form 1a-ABR Office'!J533+'Form 1a-ABR Office'!J596+'Form 1a-ABR Office'!J657+'Form 1a-ABR Office'!J720+'Form 1a-ABR Office'!J786+'Form 1a-ABR Office'!J853+'Form 1a-ABR Office'!J979</f>
        <v>1524784.0899999999</v>
      </c>
      <c r="L95" s="102">
        <f>'Form 1a-ABR Office'!K25+'Form 1a-ABR Office'!K220+'Form 1a-ABR Office'!K291+'Form 1a-ABR Office'!K350+'Form 1a-ABR Office'!K412+'Form 1a-ABR Office'!K471+'Form 1a-ABR Office'!K533+'Form 1a-ABR Office'!K596+'Form 1a-ABR Office'!K657+'Form 1a-ABR Office'!K720+'Form 1a-ABR Office'!K786+'Form 1a-ABR Office'!K853+'Form 1a-ABR Office'!K979</f>
        <v>153115.91</v>
      </c>
      <c r="M95" s="102">
        <f>'Form 1a-ABR Office'!L25+'Form 1a-ABR Office'!L220+'Form 1a-ABR Office'!L291+'Form 1a-ABR Office'!L350+'Form 1a-ABR Office'!L412+'Form 1a-ABR Office'!L471+'Form 1a-ABR Office'!L533+'Form 1a-ABR Office'!L596+'Form 1a-ABR Office'!L657+'Form 1a-ABR Office'!L720+'Form 1a-ABR Office'!L786+'Form 1a-ABR Office'!L853+'Form 1a-ABR Office'!L979</f>
        <v>1677900</v>
      </c>
      <c r="N95" s="102">
        <f>SUM('Form 1a-ABR Office'!M25+'Form 1a-ABR Office'!M220+'Form 1a-ABR Office'!M291+'Form 1a-ABR Office'!M350+'Form 1a-ABR Office'!M412+'Form 1a-ABR Office'!M471+'Form 1a-ABR Office'!M533+'Form 1a-ABR Office'!M596+'Form 1a-ABR Office'!M657+'Form 1a-ABR Office'!M720+'Form 1a-ABR Office'!M786+'Form 1a-ABR Office'!M853+'Form 1a-ABR Office'!M979)</f>
        <v>1861500</v>
      </c>
      <c r="P95" s="446"/>
      <c r="Q95" s="446"/>
    </row>
    <row r="96" spans="1:17" ht="18" customHeight="1">
      <c r="A96" s="337"/>
      <c r="B96" s="391"/>
      <c r="C96" s="391"/>
      <c r="D96" s="391" t="s">
        <v>162</v>
      </c>
      <c r="E96" s="391"/>
      <c r="F96" s="391"/>
      <c r="G96" s="386" t="s">
        <v>217</v>
      </c>
      <c r="H96" s="308" t="s">
        <v>261</v>
      </c>
      <c r="I96" s="392"/>
      <c r="J96" s="102">
        <f>SUM('Form 1a-ABR Office'!I26+'Form 1a-ABR Office'!I221+'Form 1a-ABR Office'!I292+'Form 1a-ABR Office'!I351+'Form 1a-ABR Office'!I413+'Form 1a-ABR Office'!I472+'Form 1a-ABR Office'!I534+'Form 1a-ABR Office'!I597+'Form 1a-ABR Office'!I658+'Form 1a-ABR Office'!I721+'Form 1a-ABR Office'!I787+'Form 1a-ABR Office'!I854+'Form 1a-ABR Office'!I918+'Form 1a-ABR Office'!I980)</f>
        <v>720000</v>
      </c>
      <c r="K96" s="102">
        <f>'Form 1a-ABR Office'!J26+'Form 1a-ABR Office'!J221+'Form 1a-ABR Office'!J292+'Form 1a-ABR Office'!J351+'Form 1a-ABR Office'!J413+'Form 1a-ABR Office'!J472+'Form 1a-ABR Office'!J534+'Form 1a-ABR Office'!J597+'Form 1a-ABR Office'!J658+'Form 1a-ABR Office'!J721+'Form 1a-ABR Office'!J787+'Form 1a-ABR Office'!J854+'Form 1a-ABR Office'!J918+'Form 1a-ABR Office'!J980</f>
        <v>702000</v>
      </c>
      <c r="L96" s="102">
        <f>'Form 1a-ABR Office'!K26+'Form 1a-ABR Office'!K221+'Form 1a-ABR Office'!K292+'Form 1a-ABR Office'!K351+'Form 1a-ABR Office'!K413+'Form 1a-ABR Office'!K472+'Form 1a-ABR Office'!K534+'Form 1a-ABR Office'!K597+'Form 1a-ABR Office'!K658+'Form 1a-ABR Office'!K721+'Form 1a-ABR Office'!K787+'Form 1a-ABR Office'!K854+'Form 1a-ABR Office'!K918+'Form 1a-ABR Office'!K980</f>
        <v>66000</v>
      </c>
      <c r="M96" s="102">
        <f>'Form 1a-ABR Office'!L26+'Form 1a-ABR Office'!L221+'Form 1a-ABR Office'!L292+'Form 1a-ABR Office'!L351+'Form 1a-ABR Office'!L413+'Form 1a-ABR Office'!L472+'Form 1a-ABR Office'!L534+'Form 1a-ABR Office'!L597+'Form 1a-ABR Office'!L658+'Form 1a-ABR Office'!L721+'Form 1a-ABR Office'!L787+'Form 1a-ABR Office'!L854+'Form 1a-ABR Office'!L918+'Form 1a-ABR Office'!L980</f>
        <v>768000</v>
      </c>
      <c r="N96" s="102">
        <f>SUM('Form 1a-ABR Office'!M26+'Form 1a-ABR Office'!M221+'Form 1a-ABR Office'!M292+'Form 1a-ABR Office'!M351+'Form 1a-ABR Office'!M413+'Form 1a-ABR Office'!M472+'Form 1a-ABR Office'!M534+'Form 1a-ABR Office'!M597+'Form 1a-ABR Office'!M658+'Form 1a-ABR Office'!M721+'Form 1a-ABR Office'!M787+'Form 1a-ABR Office'!M854+'Form 1a-ABR Office'!M918+'Form 1a-ABR Office'!M980)</f>
        <v>792000</v>
      </c>
      <c r="P96" s="446"/>
      <c r="Q96" s="446"/>
    </row>
    <row r="97" spans="1:30" ht="18" customHeight="1">
      <c r="A97" s="337"/>
      <c r="B97" s="391"/>
      <c r="C97" s="391"/>
      <c r="D97" s="391" t="s">
        <v>163</v>
      </c>
      <c r="E97" s="391"/>
      <c r="F97" s="391"/>
      <c r="G97" s="386" t="s">
        <v>218</v>
      </c>
      <c r="H97" s="308" t="s">
        <v>278</v>
      </c>
      <c r="I97" s="392"/>
      <c r="J97" s="102">
        <f>SUM('Form 1a-ABR Office'!I722+'Form 1a-ABR Office'!I855+'Form 1a-ABR Office'!I919)</f>
        <v>543600</v>
      </c>
      <c r="K97" s="102">
        <f>SUM('Form 1a-ABR Office'!J722+'Form 1a-ABR Office'!J855+'Form 1a-ABR Office'!J919)</f>
        <v>328825</v>
      </c>
      <c r="L97" s="102">
        <f>SUM('Form 1a-ABR Office'!K722+'Form 1a-ABR Office'!K855+'Form 1a-ABR Office'!K919)</f>
        <v>209775</v>
      </c>
      <c r="M97" s="102">
        <f>SUM('Form 1a-ABR Office'!L722+'Form 1a-ABR Office'!L855+'Form 1a-ABR Office'!L919)</f>
        <v>538600</v>
      </c>
      <c r="N97" s="102">
        <f>SUM('Form 1a-ABR Office'!M722+'Form 1a-ABR Office'!M855+'Form 1a-ABR Office'!M919)</f>
        <v>543600</v>
      </c>
      <c r="P97" s="446"/>
      <c r="Q97" s="446"/>
    </row>
    <row r="98" spans="1:30" ht="18" customHeight="1">
      <c r="A98" s="337"/>
      <c r="B98" s="391"/>
      <c r="C98" s="391"/>
      <c r="D98" s="391" t="s">
        <v>365</v>
      </c>
      <c r="E98" s="391"/>
      <c r="F98" s="391"/>
      <c r="G98" s="386" t="s">
        <v>219</v>
      </c>
      <c r="H98" s="308" t="s">
        <v>262</v>
      </c>
      <c r="I98" s="392"/>
      <c r="J98" s="102">
        <f>SUM('Form 1a-ABR Office'!I27+'Form 1a-ABR Office'!I222+'Form 1a-ABR Office'!I293+'Form 1a-ABR Office'!I352+'Form 1a-ABR Office'!I414+'Form 1a-ABR Office'!I473+'Form 1a-ABR Office'!I535+'Form 1a-ABR Office'!I598+'Form 1a-ABR Office'!I659+'Form 1a-ABR Office'!I723+'Form 1a-ABR Office'!I788+'Form 1a-ABR Office'!I856+'Form 1a-ABR Office'!I920+'Form 1a-ABR Office'!I981)</f>
        <v>605000</v>
      </c>
      <c r="K98" s="102">
        <f>'Form 1a-ABR Office'!J27+'Form 1a-ABR Office'!J222+'Form 1a-ABR Office'!J293+'Form 1a-ABR Office'!J352+'Form 1a-ABR Office'!J414+'Form 1a-ABR Office'!J473+'Form 1a-ABR Office'!J535+'Form 1a-ABR Office'!J598+'Form 1a-ABR Office'!J659+'Form 1a-ABR Office'!J723+'Form 1a-ABR Office'!J788+'Form 1a-ABR Office'!J856+'Form 1a-ABR Office'!J920+'Form 1a-ABR Office'!J981</f>
        <v>550000</v>
      </c>
      <c r="L98" s="102">
        <f>'Form 1a-ABR Office'!K27+'Form 1a-ABR Office'!K222+'Form 1a-ABR Office'!K293+'Form 1a-ABR Office'!K352+'Form 1a-ABR Office'!K414+'Form 1a-ABR Office'!K473+'Form 1a-ABR Office'!K535+'Form 1a-ABR Office'!K598+'Form 1a-ABR Office'!K659+'Form 1a-ABR Office'!K723+'Form 1a-ABR Office'!K788+'Form 1a-ABR Office'!K856+'Form 1a-ABR Office'!K920+'Form 1a-ABR Office'!K981</f>
        <v>75000</v>
      </c>
      <c r="M98" s="102">
        <f>'Form 1a-ABR Office'!L27+'Form 1a-ABR Office'!L222+'Form 1a-ABR Office'!L293+'Form 1a-ABR Office'!L352+'Form 1a-ABR Office'!L414+'Form 1a-ABR Office'!L473+'Form 1a-ABR Office'!L535+'Form 1a-ABR Office'!L598+'Form 1a-ABR Office'!L659+'Form 1a-ABR Office'!L723+'Form 1a-ABR Office'!L788+'Form 1a-ABR Office'!L856+'Form 1a-ABR Office'!L920+'Form 1a-ABR Office'!L981</f>
        <v>625000</v>
      </c>
      <c r="N98" s="102">
        <f>SUM('Form 1a-ABR Office'!M27+'Form 1a-ABR Office'!M222+'Form 1a-ABR Office'!M293+'Form 1a-ABR Office'!M352+'Form 1a-ABR Office'!M414+'Form 1a-ABR Office'!M473+'Form 1a-ABR Office'!M535+'Form 1a-ABR Office'!M598+'Form 1a-ABR Office'!M659+'Form 1a-ABR Office'!M723+'Form 1a-ABR Office'!M788+'Form 1a-ABR Office'!M856+'Form 1a-ABR Office'!M920+'Form 1a-ABR Office'!M981)</f>
        <v>660000</v>
      </c>
      <c r="P98" s="446"/>
      <c r="Q98" s="446"/>
    </row>
    <row r="99" spans="1:30" ht="18" customHeight="1">
      <c r="A99" s="337"/>
      <c r="B99" s="391"/>
      <c r="C99" s="391"/>
      <c r="D99" s="391" t="s">
        <v>164</v>
      </c>
      <c r="E99" s="391"/>
      <c r="F99" s="394"/>
      <c r="G99" s="386" t="s">
        <v>108</v>
      </c>
      <c r="H99" s="308" t="s">
        <v>263</v>
      </c>
      <c r="I99" s="392"/>
      <c r="J99" s="102">
        <f>SUM('Form 1a-ABR Office'!I28+'Form 1a-ABR Office'!I223+'Form 1a-ABR Office'!I294+'Form 1a-ABR Office'!I353+'Form 1a-ABR Office'!I415+'Form 1a-ABR Office'!I474+'Form 1a-ABR Office'!I536+'Form 1a-ABR Office'!I599+'Form 1a-ABR Office'!I724+'Form 1a-ABR Office'!I789+'Form 1a-ABR Office'!I857+'Form 1a-ABR Office'!I921+'Form 1a-ABR Office'!I982)</f>
        <v>30000</v>
      </c>
      <c r="K99" s="102">
        <f>'Form 1a-ABR Office'!J28+'Form 1a-ABR Office'!J223+'Form 1a-ABR Office'!J353+'Form 1a-ABR Office'!J415+'Form 1a-ABR Office'!J474+'Form 1a-ABR Office'!J536+'Form 1a-ABR Office'!J599+'Form 1a-ABR Office'!J724+'Form 1a-ABR Office'!J789+'Form 1a-ABR Office'!J857+'Form 1a-ABR Office'!J921+'Form 1a-ABR Office'!J982</f>
        <v>65000</v>
      </c>
      <c r="L99" s="102">
        <f>'Form 1a-ABR Office'!K28+'Form 1a-ABR Office'!K223+'Form 1a-ABR Office'!K353+'Form 1a-ABR Office'!K415+'Form 1a-ABR Office'!K474+'Form 1a-ABR Office'!K536+'Form 1a-ABR Office'!K599+'Form 1a-ABR Office'!K724+'Form 1a-ABR Office'!K789+'Form 1a-ABR Office'!K857+'Form 1a-ABR Office'!K921+'Form 1a-ABR Office'!K982</f>
        <v>15000</v>
      </c>
      <c r="M99" s="102">
        <f>'Form 1a-ABR Office'!L28+'Form 1a-ABR Office'!L223+'Form 1a-ABR Office'!L353+'Form 1a-ABR Office'!L415+'Form 1a-ABR Office'!L474+'Form 1a-ABR Office'!L536+'Form 1a-ABR Office'!L599+'Form 1a-ABR Office'!L724+'Form 1a-ABR Office'!L789+'Form 1a-ABR Office'!L857+'Form 1a-ABR Office'!L921+'Form 1a-ABR Office'!L982</f>
        <v>80000</v>
      </c>
      <c r="N99" s="102">
        <f>SUM('Form 1a-ABR Office'!M28+'Form 1a-ABR Office'!M223+'Form 1a-ABR Office'!M294+'Form 1a-ABR Office'!M353+'Form 1a-ABR Office'!M415+'Form 1a-ABR Office'!M474+'Form 1a-ABR Office'!M536+'Form 1a-ABR Office'!M599+'Form 1a-ABR Office'!M724+'Form 1a-ABR Office'!M789+'Form 1a-ABR Office'!M857+'Form 1a-ABR Office'!M921+'Form 1a-ABR Office'!M982)</f>
        <v>110000</v>
      </c>
      <c r="P99" s="446"/>
      <c r="Q99" s="446"/>
    </row>
    <row r="100" spans="1:30" s="396" customFormat="1" ht="18" customHeight="1">
      <c r="A100" s="395"/>
      <c r="B100" s="391"/>
      <c r="C100" s="391"/>
      <c r="D100" s="391" t="s">
        <v>427</v>
      </c>
      <c r="E100" s="391"/>
      <c r="F100" s="391"/>
      <c r="G100" s="386" t="s">
        <v>108</v>
      </c>
      <c r="H100" s="308" t="s">
        <v>263</v>
      </c>
      <c r="I100" s="392"/>
      <c r="J100" s="102">
        <f>SUM('Form 1a-ABR Office'!I32+'Form 1a-ABR Office'!I227+'Form 1a-ABR Office'!I298+'Form 1a-ABR Office'!I357+'Form 1a-ABR Office'!I420+'Form 1a-ABR Office'!I479+'Form 1a-ABR Office'!I541+'Form 1a-ABR Office'!I603+'Form 1a-ABR Office'!I664+'Form 1a-ABR Office'!I729+'Form 1a-ABR Office'!I793+'Form 1a-ABR Office'!I862+'Form 1a-ABR Office'!I926+'Form 1a-ABR Office'!I984)</f>
        <v>3605729</v>
      </c>
      <c r="K100" s="102">
        <f>'Form 1a-ABR Office'!J32+'Form 1a-ABR Office'!J227+'Form 1a-ABR Office'!J298+'Form 1a-ABR Office'!J357+'Form 1a-ABR Office'!J420+'Form 1a-ABR Office'!J479+'Form 1a-ABR Office'!J541+'Form 1a-ABR Office'!J603+'Form 1a-ABR Office'!J664+'Form 1a-ABR Office'!J729+'Form 1a-ABR Office'!J793+'Form 1a-ABR Office'!J862+'Form 1a-ABR Office'!J926+'Form 1a-ABR Office'!J984</f>
        <v>3842902</v>
      </c>
      <c r="L100" s="102">
        <f>'Form 1a-ABR Office'!K32+'Form 1a-ABR Office'!K227+'Form 1a-ABR Office'!K298+'Form 1a-ABR Office'!K357+'Form 1a-ABR Office'!K420+'Form 1a-ABR Office'!K479+'Form 1a-ABR Office'!K541+'Form 1a-ABR Office'!K603+'Form 1a-ABR Office'!K664+'Form 1a-ABR Office'!K729+'Form 1a-ABR Office'!K793+'Form 1a-ABR Office'!K862+'Form 1a-ABR Office'!K926+'Form 1a-ABR Office'!K984</f>
        <v>271620</v>
      </c>
      <c r="M100" s="102">
        <f>'Form 1a-ABR Office'!L32+'Form 1a-ABR Office'!L227+'Form 1a-ABR Office'!L298+'Form 1a-ABR Office'!L357+'Form 1a-ABR Office'!L420+'Form 1a-ABR Office'!L479+'Form 1a-ABR Office'!L541+'Form 1a-ABR Office'!L603+'Form 1a-ABR Office'!L664+'Form 1a-ABR Office'!L729+'Form 1a-ABR Office'!L793+'Form 1a-ABR Office'!L862+'Form 1a-ABR Office'!L926+'Form 1a-ABR Office'!L984</f>
        <v>4114522</v>
      </c>
      <c r="N100" s="102">
        <f>SUM('Form 1a-ABR Office'!M32+'Form 1a-ABR Office'!M227+'Form 1a-ABR Office'!M298+'Form 1a-ABR Office'!M357+'Form 1a-ABR Office'!M420+'Form 1a-ABR Office'!M479+'Form 1a-ABR Office'!M541+'Form 1a-ABR Office'!M603+'Form 1a-ABR Office'!M664+'Form 1a-ABR Office'!M729+'Form 1a-ABR Office'!M793+'Form 1a-ABR Office'!M862+'Form 1a-ABR Office'!M926+'Form 1a-ABR Office'!M984)</f>
        <v>4249730</v>
      </c>
      <c r="P100" s="446"/>
      <c r="Q100" s="446"/>
      <c r="R100" s="310"/>
      <c r="S100" s="310"/>
      <c r="T100" s="310"/>
      <c r="U100" s="310"/>
      <c r="V100" s="310"/>
      <c r="W100" s="310"/>
      <c r="X100" s="310"/>
      <c r="Y100" s="310"/>
      <c r="Z100" s="310"/>
      <c r="AA100" s="310"/>
      <c r="AB100" s="310"/>
      <c r="AC100" s="310"/>
      <c r="AD100" s="310"/>
    </row>
    <row r="101" spans="1:30" ht="18" customHeight="1">
      <c r="A101" s="337"/>
      <c r="B101" s="338"/>
      <c r="C101" s="338"/>
      <c r="D101" s="338" t="s">
        <v>475</v>
      </c>
      <c r="E101" s="338"/>
      <c r="F101" s="391"/>
      <c r="G101" s="386"/>
      <c r="H101" s="308" t="s">
        <v>263</v>
      </c>
      <c r="I101" s="392"/>
      <c r="J101" s="102">
        <f>SUM('Form 1a-ABR Office'!I29+'Form 1a-ABR Office'!I225+'Form 1a-ABR Office'!I296+'Form 1a-ABR Office'!I355+'Form 1a-ABR Office'!I417+'Form 1a-ABR Office'!I476+'Form 1a-ABR Office'!I538+'Form 1a-ABR Office'!I601+'Form 1a-ABR Office'!I662+'Form 1a-ABR Office'!I726+'Form 1a-ABR Office'!I791+'Form 1a-ABR Office'!I859+'Form 1a-ABR Office'!I923+'Form 1a-ABR Office'!I986)</f>
        <v>2192763.44</v>
      </c>
      <c r="K101" s="102"/>
      <c r="L101" s="102">
        <f>SUM('Form 1a-ABR Office'!K29+'Form 1a-ABR Office'!K225+'Form 1a-ABR Office'!K296+'Form 1a-ABR Office'!K355+'Form 1a-ABR Office'!K417+'Form 1a-ABR Office'!K476+'Form 1a-ABR Office'!K538+'Form 1a-ABR Office'!K601+'Form 1a-ABR Office'!K662+'Form 1a-ABR Office'!K726+'Form 1a-ABR Office'!K791+'Form 1a-ABR Office'!K859+'Form 1a-ABR Office'!K923+'Form 1a-ABR Office'!K986)</f>
        <v>0</v>
      </c>
      <c r="M101" s="102">
        <f>SUM('Form 1a-ABR Office'!L29+'Form 1a-ABR Office'!L225+'Form 1a-ABR Office'!L296+'Form 1a-ABR Office'!L355+'Form 1a-ABR Office'!L417+'Form 1a-ABR Office'!L476+'Form 1a-ABR Office'!L538+'Form 1a-ABR Office'!L601+'Form 1a-ABR Office'!L662+'Form 1a-ABR Office'!L726+'Form 1a-ABR Office'!L791+'Form 1a-ABR Office'!L859+'Form 1a-ABR Office'!L923+'Form 1a-ABR Office'!L986)</f>
        <v>0</v>
      </c>
      <c r="N101" s="102">
        <f>SUM('Form 1a-ABR Office'!M29+'Form 1a-ABR Office'!M225+'Form 1a-ABR Office'!M296+'Form 1a-ABR Office'!M355+'Form 1a-ABR Office'!M417+'Form 1a-ABR Office'!M476+'Form 1a-ABR Office'!M538+'Form 1a-ABR Office'!M601+'Form 1a-ABR Office'!M662+'Form 1a-ABR Office'!M726+'Form 1a-ABR Office'!M791+'Form 1a-ABR Office'!M859+'Form 1a-ABR Office'!M923+'Form 1a-ABR Office'!M986)</f>
        <v>0</v>
      </c>
      <c r="P101" s="446"/>
      <c r="Q101" s="446"/>
    </row>
    <row r="102" spans="1:30" ht="18" customHeight="1">
      <c r="A102" s="337"/>
      <c r="B102" s="338"/>
      <c r="C102" s="338"/>
      <c r="D102" s="338" t="s">
        <v>632</v>
      </c>
      <c r="E102" s="338"/>
      <c r="F102" s="391"/>
      <c r="G102" s="386"/>
      <c r="H102" s="308" t="s">
        <v>633</v>
      </c>
      <c r="I102" s="392"/>
      <c r="J102" s="102"/>
      <c r="K102" s="102">
        <f>'Form 1a-ABR Office'!J300</f>
        <v>57954.54</v>
      </c>
      <c r="L102" s="102">
        <f>'Form 1a-ABR Office'!K300</f>
        <v>45.459999999999127</v>
      </c>
      <c r="M102" s="102">
        <f>'Form 1a-ABR Office'!L300</f>
        <v>58000</v>
      </c>
      <c r="N102" s="102"/>
      <c r="P102" s="446"/>
      <c r="Q102" s="446"/>
    </row>
    <row r="103" spans="1:30" ht="18" customHeight="1">
      <c r="A103" s="337"/>
      <c r="B103" s="338"/>
      <c r="C103" s="338"/>
      <c r="D103" s="338" t="s">
        <v>487</v>
      </c>
      <c r="E103" s="338"/>
      <c r="F103" s="391"/>
      <c r="G103" s="386"/>
      <c r="H103" s="309" t="s">
        <v>263</v>
      </c>
      <c r="I103" s="392"/>
      <c r="J103" s="102">
        <f>SUM('Form 1a-ABR Office'!I33+'Form 1a-ABR Office'!I224+'Form 1a-ABR Office'!I295+'Form 1a-ABR Office'!I354+'Form 1a-ABR Office'!I416+'Form 1a-ABR Office'!I475+'Form 1a-ABR Office'!I537+'Form 1a-ABR Office'!I600+'Form 1a-ABR Office'!I661+'Form 1a-ABR Office'!I725+'Form 1a-ABR Office'!I790+'Form 1a-ABR Office'!I858+'Form 1a-ABR Office'!I922+'Form 1a-ABR Office'!I985)</f>
        <v>0</v>
      </c>
      <c r="K103" s="102"/>
      <c r="L103" s="102">
        <f>SUM('Form 1a-ABR Office'!K33+'Form 1a-ABR Office'!K224+'Form 1a-ABR Office'!K295+'Form 1a-ABR Office'!K354+'Form 1a-ABR Office'!K416+'Form 1a-ABR Office'!K475+'Form 1a-ABR Office'!K537+'Form 1a-ABR Office'!K600+'Form 1a-ABR Office'!K661+'Form 1a-ABR Office'!K725+'Form 1a-ABR Office'!K790+'Form 1a-ABR Office'!K858+'Form 1a-ABR Office'!K922+'Form 1a-ABR Office'!K985)</f>
        <v>0</v>
      </c>
      <c r="M103" s="102">
        <f>SUM('Form 1a-ABR Office'!L33+'Form 1a-ABR Office'!L224+'Form 1a-ABR Office'!L295+'Form 1a-ABR Office'!L354+'Form 1a-ABR Office'!L416+'Form 1a-ABR Office'!L475+'Form 1a-ABR Office'!L537+'Form 1a-ABR Office'!L600+'Form 1a-ABR Office'!L661+'Form 1a-ABR Office'!L725+'Form 1a-ABR Office'!L790+'Form 1a-ABR Office'!L858+'Form 1a-ABR Office'!L922+'Form 1a-ABR Office'!L985)</f>
        <v>0</v>
      </c>
      <c r="N103" s="102">
        <f>SUM('Form 1a-ABR Office'!M33+'Form 1a-ABR Office'!M224+'Form 1a-ABR Office'!M295+'Form 1a-ABR Office'!M354+'Form 1a-ABR Office'!M416+'Form 1a-ABR Office'!M475+'Form 1a-ABR Office'!M537+'Form 1a-ABR Office'!M600+'Form 1a-ABR Office'!M661+'Form 1a-ABR Office'!M725+'Form 1a-ABR Office'!M790+'Form 1a-ABR Office'!M858+'Form 1a-ABR Office'!M922+'Form 1a-ABR Office'!M985)</f>
        <v>0</v>
      </c>
      <c r="P103" s="446"/>
      <c r="Q103" s="446"/>
    </row>
    <row r="104" spans="1:30" s="396" customFormat="1" ht="18" customHeight="1">
      <c r="A104" s="395"/>
      <c r="B104" s="391"/>
      <c r="C104" s="391"/>
      <c r="D104" s="391" t="s">
        <v>165</v>
      </c>
      <c r="E104" s="391"/>
      <c r="F104" s="391"/>
      <c r="G104" s="386" t="s">
        <v>220</v>
      </c>
      <c r="H104" s="308" t="s">
        <v>279</v>
      </c>
      <c r="I104" s="392"/>
      <c r="J104" s="102">
        <f>SUM('Form 1a-ABR Office'!I34+'Form 1a-ABR Office'!I727+'Form 1a-ABR Office'!I860+'Form 1a-ABR Office'!I924)</f>
        <v>902008.8</v>
      </c>
      <c r="K104" s="102">
        <f>'Form 1a-ABR Office'!J860+'Form 1a-ABR Office'!J924+'Form 1a-ABR Office'!J727</f>
        <v>843973.5</v>
      </c>
      <c r="L104" s="102">
        <f>'Form 1a-ABR Office'!K860+'Form 1a-ABR Office'!K924+'Form 1a-ABR Office'!K727</f>
        <v>43035.299999999988</v>
      </c>
      <c r="M104" s="102">
        <f>'Form 1a-ABR Office'!L860+'Form 1a-ABR Office'!L924+'Form 1a-ABR Office'!L727</f>
        <v>887008.8</v>
      </c>
      <c r="N104" s="102">
        <f>SUM('Form 1a-ABR Office'!M34+'Form 1a-ABR Office'!M727+'Form 1a-ABR Office'!M860+'Form 1a-ABR Office'!M924)</f>
        <v>887008.8</v>
      </c>
      <c r="P104" s="446"/>
      <c r="Q104" s="446"/>
      <c r="R104" s="310"/>
      <c r="S104" s="310"/>
      <c r="T104" s="310"/>
      <c r="U104" s="310"/>
      <c r="V104" s="310"/>
      <c r="W104" s="310"/>
      <c r="X104" s="310"/>
      <c r="Y104" s="310"/>
      <c r="Z104" s="310"/>
      <c r="AA104" s="310"/>
      <c r="AB104" s="310"/>
      <c r="AC104" s="310"/>
      <c r="AD104" s="310"/>
    </row>
    <row r="105" spans="1:30" s="396" customFormat="1" ht="18" customHeight="1">
      <c r="A105" s="395"/>
      <c r="B105" s="391"/>
      <c r="C105" s="391"/>
      <c r="D105" s="391" t="s">
        <v>501</v>
      </c>
      <c r="E105" s="391"/>
      <c r="F105" s="391"/>
      <c r="G105" s="386"/>
      <c r="H105" s="308" t="s">
        <v>279</v>
      </c>
      <c r="I105" s="392"/>
      <c r="J105" s="102">
        <v>0</v>
      </c>
      <c r="K105" s="102"/>
      <c r="L105" s="102">
        <v>0</v>
      </c>
      <c r="M105" s="102">
        <v>0</v>
      </c>
      <c r="N105" s="102">
        <v>0</v>
      </c>
      <c r="P105" s="446"/>
      <c r="Q105" s="446"/>
      <c r="R105" s="310"/>
      <c r="S105" s="310"/>
      <c r="T105" s="310"/>
      <c r="U105" s="310"/>
      <c r="V105" s="310"/>
      <c r="W105" s="310"/>
      <c r="X105" s="310"/>
      <c r="Y105" s="310"/>
      <c r="Z105" s="310"/>
      <c r="AA105" s="310"/>
      <c r="AB105" s="310"/>
      <c r="AC105" s="310"/>
      <c r="AD105" s="310"/>
    </row>
    <row r="106" spans="1:30" ht="18" customHeight="1">
      <c r="A106" s="337"/>
      <c r="B106" s="338"/>
      <c r="C106" s="391"/>
      <c r="D106" s="391" t="s">
        <v>67</v>
      </c>
      <c r="E106" s="391"/>
      <c r="F106" s="391"/>
      <c r="G106" s="386" t="s">
        <v>221</v>
      </c>
      <c r="H106" s="308" t="s">
        <v>280</v>
      </c>
      <c r="I106" s="392"/>
      <c r="J106" s="102">
        <f>SUM('Form 1a-ABR Office'!I30+'Form 1a-ABR Office'!I418+'Form 1a-ABR Office'!I477+'Form 1a-ABR Office'!I539)</f>
        <v>141650</v>
      </c>
      <c r="K106" s="102">
        <f>'Form 1a-ABR Office'!J30+'Form 1a-ABR Office'!J418+'Form 1a-ABR Office'!J477+'Form 1a-ABR Office'!J539</f>
        <v>236462.37</v>
      </c>
      <c r="L106" s="102">
        <f>'Form 1a-ABR Office'!K30+'Form 1a-ABR Office'!K418+'Form 1a-ABR Office'!K477+'Form 1a-ABR Office'!K539</f>
        <v>68537.62999999999</v>
      </c>
      <c r="M106" s="102">
        <f>'Form 1a-ABR Office'!L30+'Form 1a-ABR Office'!L418+'Form 1a-ABR Office'!L477+'Form 1a-ABR Office'!L539</f>
        <v>305000</v>
      </c>
      <c r="N106" s="102">
        <f>SUM('Form 1a-ABR Office'!M30+'Form 1a-ABR Office'!M418+'Form 1a-ABR Office'!M477+'Form 1a-ABR Office'!M539)</f>
        <v>145000</v>
      </c>
      <c r="P106" s="446"/>
      <c r="Q106" s="446"/>
    </row>
    <row r="107" spans="1:30" ht="18" customHeight="1">
      <c r="A107" s="337"/>
      <c r="B107" s="338"/>
      <c r="C107" s="391"/>
      <c r="D107" s="391" t="s">
        <v>166</v>
      </c>
      <c r="E107" s="391"/>
      <c r="F107" s="391"/>
      <c r="G107" s="386" t="s">
        <v>222</v>
      </c>
      <c r="H107" s="308" t="s">
        <v>264</v>
      </c>
      <c r="I107" s="392"/>
      <c r="J107" s="102">
        <f>SUM('Form 1a-ABR Office'!I31+'Form 1a-ABR Office'!I226+'Form 1a-ABR Office'!I297+'Form 1a-ABR Office'!I356+'Form 1a-ABR Office'!I419+'Form 1a-ABR Office'!I478+'Form 1a-ABR Office'!I540+'Form 1a-ABR Office'!I602+'Form 1a-ABR Office'!I663+'Form 1a-ABR Office'!I728+'Form 1a-ABR Office'!I792+'Form 1a-ABR Office'!I861+'Form 1a-ABR Office'!I925+'Form 1a-ABR Office'!I983)</f>
        <v>608500</v>
      </c>
      <c r="K107" s="102">
        <f>'Form 1a-ABR Office'!J31+'Form 1a-ABR Office'!J226+'Form 1a-ABR Office'!J297+'Form 1a-ABR Office'!J356+'Form 1a-ABR Office'!J419+'Form 1a-ABR Office'!J478+'Form 1a-ABR Office'!J540+'Form 1a-ABR Office'!J602+'Form 1a-ABR Office'!J663+'Form 1a-ABR Office'!J728+'Form 1a-ABR Office'!J792+'Form 1a-ABR Office'!J861+'Form 1a-ABR Office'!J925+'Form 1a-ABR Office'!J983</f>
        <v>585000</v>
      </c>
      <c r="L107" s="102">
        <f>'Form 1a-ABR Office'!K31+'Form 1a-ABR Office'!K226+'Form 1a-ABR Office'!K297+'Form 1a-ABR Office'!K356+'Form 1a-ABR Office'!K419+'Form 1a-ABR Office'!K478+'Form 1a-ABR Office'!K540+'Form 1a-ABR Office'!K602+'Form 1a-ABR Office'!K663+'Form 1a-ABR Office'!K728+'Form 1a-ABR Office'!K792+'Form 1a-ABR Office'!K861+'Form 1a-ABR Office'!K925+'Form 1a-ABR Office'!K983</f>
        <v>50000</v>
      </c>
      <c r="M107" s="102">
        <f>'Form 1a-ABR Office'!L31+'Form 1a-ABR Office'!L226+'Form 1a-ABR Office'!L297+'Form 1a-ABR Office'!L356+'Form 1a-ABR Office'!L419+'Form 1a-ABR Office'!L478+'Form 1a-ABR Office'!L540+'Form 1a-ABR Office'!L602+'Form 1a-ABR Office'!L663+'Form 1a-ABR Office'!L728+'Form 1a-ABR Office'!L792+'Form 1a-ABR Office'!L861+'Form 1a-ABR Office'!L925+'Form 1a-ABR Office'!L983</f>
        <v>635000</v>
      </c>
      <c r="N107" s="102">
        <f>SUM('Form 1a-ABR Office'!M31+'Form 1a-ABR Office'!M226+'Form 1a-ABR Office'!M297+'Form 1a-ABR Office'!M356+'Form 1a-ABR Office'!M419+'Form 1a-ABR Office'!M478+'Form 1a-ABR Office'!M540+'Form 1a-ABR Office'!M602+'Form 1a-ABR Office'!M663+'Form 1a-ABR Office'!M728+'Form 1a-ABR Office'!M792+'Form 1a-ABR Office'!M861+'Form 1a-ABR Office'!M925+'Form 1a-ABR Office'!M983)</f>
        <v>660000</v>
      </c>
      <c r="P107" s="446"/>
      <c r="Q107" s="446"/>
    </row>
    <row r="108" spans="1:30" ht="18" customHeight="1">
      <c r="A108" s="337"/>
      <c r="B108" s="338"/>
      <c r="C108" s="391"/>
      <c r="D108" s="391" t="s">
        <v>167</v>
      </c>
      <c r="E108" s="391"/>
      <c r="F108" s="391"/>
      <c r="G108" s="386" t="s">
        <v>223</v>
      </c>
      <c r="H108" s="308" t="s">
        <v>265</v>
      </c>
      <c r="I108" s="392"/>
      <c r="J108" s="102">
        <f>SUM('Form 1a-ABR Office'!I35+'Form 1a-ABR Office'!I228+'Form 1a-ABR Office'!I299+'Form 1a-ABR Office'!I358+'Form 1a-ABR Office'!I421+'Form 1a-ABR Office'!I480+'Form 1a-ABR Office'!I542+'Form 1a-ABR Office'!I604+'Form 1a-ABR Office'!I665+'Form 1a-ABR Office'!I730+'Form 1a-ABR Office'!I794+'Form 1a-ABR Office'!I863+'Form 1a-ABR Office'!I927+'Form 1a-ABR Office'!I987)</f>
        <v>3837985.3</v>
      </c>
      <c r="K108" s="102">
        <f>'Form 1a-ABR Office'!J35+'Form 1a-ABR Office'!J228+'Form 1a-ABR Office'!J299+'Form 1a-ABR Office'!J358+'Form 1a-ABR Office'!J421+'Form 1a-ABR Office'!J480+'Form 1a-ABR Office'!J542+'Form 1a-ABR Office'!J604+'Form 1a-ABR Office'!J665+'Form 1a-ABR Office'!J730+'Form 1a-ABR Office'!J794+'Form 1a-ABR Office'!J863+'Form 1a-ABR Office'!J927+'Form 1a-ABR Office'!J987</f>
        <v>3811083.7</v>
      </c>
      <c r="L108" s="102">
        <f>'Form 1a-ABR Office'!K35+'Form 1a-ABR Office'!K228+'Form 1a-ABR Office'!K299+'Form 1a-ABR Office'!K358+'Form 1a-ABR Office'!K421+'Form 1a-ABR Office'!K480+'Form 1a-ABR Office'!K542+'Form 1a-ABR Office'!K604+'Form 1a-ABR Office'!K665+'Form 1a-ABR Office'!K730+'Form 1a-ABR Office'!K794+'Form 1a-ABR Office'!K863+'Form 1a-ABR Office'!K927+'Form 1a-ABR Office'!K987</f>
        <v>306414.3</v>
      </c>
      <c r="M108" s="102">
        <f>'Form 1a-ABR Office'!L35+'Form 1a-ABR Office'!L228+'Form 1a-ABR Office'!L299+'Form 1a-ABR Office'!L358+'Form 1a-ABR Office'!L421+'Form 1a-ABR Office'!L480+'Form 1a-ABR Office'!L542+'Form 1a-ABR Office'!L604+'Form 1a-ABR Office'!L665+'Form 1a-ABR Office'!L730+'Form 1a-ABR Office'!L794+'Form 1a-ABR Office'!L863+'Form 1a-ABR Office'!L927+'Form 1a-ABR Office'!L987</f>
        <v>4117498</v>
      </c>
      <c r="N108" s="102">
        <f>SUM('Form 1a-ABR Office'!M35+'Form 1a-ABR Office'!M228+'Form 1a-ABR Office'!M299+'Form 1a-ABR Office'!M358+'Form 1a-ABR Office'!M421+'Form 1a-ABR Office'!M480+'Form 1a-ABR Office'!M542+'Form 1a-ABR Office'!M604+'Form 1a-ABR Office'!M665+'Form 1a-ABR Office'!M730+'Form 1a-ABR Office'!M794+'Form 1a-ABR Office'!M863+'Form 1a-ABR Office'!M927+'Form 1a-ABR Office'!M987)</f>
        <v>4255980</v>
      </c>
      <c r="P108" s="446"/>
      <c r="Q108" s="446"/>
    </row>
    <row r="109" spans="1:30" ht="18" customHeight="1">
      <c r="A109" s="337"/>
      <c r="B109" s="338"/>
      <c r="C109" s="391"/>
      <c r="D109" s="391" t="s">
        <v>249</v>
      </c>
      <c r="E109" s="391"/>
      <c r="F109" s="391"/>
      <c r="G109" s="386" t="s">
        <v>224</v>
      </c>
      <c r="H109" s="308" t="s">
        <v>266</v>
      </c>
      <c r="I109" s="392"/>
      <c r="J109" s="102">
        <f>SUM('Form 1a-ABR Office'!I36+'Form 1a-ABR Office'!I229+'Form 1a-ABR Office'!I301+'Form 1a-ABR Office'!I359+'Form 1a-ABR Office'!I422+'Form 1a-ABR Office'!I481+'Form 1a-ABR Office'!I543+'Form 1a-ABR Office'!I605+'Form 1a-ABR Office'!I666+'Form 1a-ABR Office'!I731+'Form 1a-ABR Office'!I795+'Form 1a-ABR Office'!I864+'Form 1a-ABR Office'!I928+'Form 1a-ABR Office'!I988+'Form 1a-ABR Office'!H1020)</f>
        <v>5311411</v>
      </c>
      <c r="K109" s="102">
        <f>'Form 1a-ABR Office'!J36+'Form 1a-ABR Office'!J229+'Form 1a-ABR Office'!J301+'Form 1a-ABR Office'!J359+'Form 1a-ABR Office'!J422+'Form 1a-ABR Office'!J481+'Form 1a-ABR Office'!J543+'Form 1a-ABR Office'!J605+'Form 1a-ABR Office'!J666+'Form 1a-ABR Office'!J731+'Form 1a-ABR Office'!J795+'Form 1a-ABR Office'!J864+'Form 1a-ABR Office'!J928+'Form 1a-ABR Office'!J988</f>
        <v>5301614.96</v>
      </c>
      <c r="L109" s="102">
        <f>'Form 1a-ABR Office'!K36+'Form 1a-ABR Office'!K229+'Form 1a-ABR Office'!K301+'Form 1a-ABR Office'!K359+'Form 1a-ABR Office'!K422+'Form 1a-ABR Office'!K481+'Form 1a-ABR Office'!K543+'Form 1a-ABR Office'!K605+'Form 1a-ABR Office'!K666+'Form 1a-ABR Office'!K731+'Form 1a-ABR Office'!K795+'Form 1a-ABR Office'!K864+'Form 1a-ABR Office'!K928+'Form 1a-ABR Office'!K988</f>
        <v>516685.04</v>
      </c>
      <c r="M109" s="102">
        <f>'Form 1a-ABR Office'!L36+'Form 1a-ABR Office'!L229+'Form 1a-ABR Office'!L301+'Form 1a-ABR Office'!L359+'Form 1a-ABR Office'!L422+'Form 1a-ABR Office'!L481+'Form 1a-ABR Office'!L543+'Form 1a-ABR Office'!L605+'Form 1a-ABR Office'!L666+'Form 1a-ABR Office'!L731+'Form 1a-ABR Office'!L795+'Form 1a-ABR Office'!L864+'Form 1a-ABR Office'!L928+'Form 1a-ABR Office'!L988</f>
        <v>5818300</v>
      </c>
      <c r="N109" s="102">
        <f>SUM('Form 1a-ABR Office'!M36+'Form 1a-ABR Office'!M229+'Form 1a-ABR Office'!M301+'Form 1a-ABR Office'!M359+'Form 1a-ABR Office'!M422+'Form 1a-ABR Office'!M481+'Form 1a-ABR Office'!M543+'Form 1a-ABR Office'!M605+'Form 1a-ABR Office'!M666+'Form 1a-ABR Office'!M731+'Form 1a-ABR Office'!M795+'Form 1a-ABR Office'!M864+'Form 1a-ABR Office'!M928+'Form 1a-ABR Office'!M988+'Form 1a-ABR Office'!L1020)</f>
        <v>6136584</v>
      </c>
      <c r="P109" s="446"/>
      <c r="Q109" s="446"/>
    </row>
    <row r="110" spans="1:30" ht="18" customHeight="1">
      <c r="A110" s="337"/>
      <c r="B110" s="338"/>
      <c r="C110" s="391"/>
      <c r="D110" s="391" t="s">
        <v>168</v>
      </c>
      <c r="E110" s="391"/>
      <c r="F110" s="391"/>
      <c r="G110" s="386" t="s">
        <v>225</v>
      </c>
      <c r="H110" s="308" t="s">
        <v>267</v>
      </c>
      <c r="I110" s="392"/>
      <c r="J110" s="102">
        <f>SUM('Form 1a-ABR Office'!I37+'Form 1a-ABR Office'!I230+'Form 1a-ABR Office'!I302+'Form 1a-ABR Office'!I360+'Form 1a-ABR Office'!I423+'Form 1a-ABR Office'!I482+'Form 1a-ABR Office'!I544+'Form 1a-ABR Office'!I606+'Form 1a-ABR Office'!I667+'Form 1a-ABR Office'!I732+'Form 1a-ABR Office'!I796+'Form 1a-ABR Office'!I865+'Form 1a-ABR Office'!I929+'Form 1a-ABR Office'!I989)</f>
        <v>207900</v>
      </c>
      <c r="K110" s="102">
        <f>'Form 1a-ABR Office'!J37+'Form 1a-ABR Office'!J230+'Form 1a-ABR Office'!J302+'Form 1a-ABR Office'!J360+'Form 1a-ABR Office'!J423+'Form 1a-ABR Office'!J482+'Form 1a-ABR Office'!J544+'Form 1a-ABR Office'!J606+'Form 1a-ABR Office'!J667+'Form 1a-ABR Office'!J732+'Form 1a-ABR Office'!J796+'Form 1a-ABR Office'!J865+'Form 1a-ABR Office'!J929+'Form 1a-ABR Office'!J989</f>
        <v>140600</v>
      </c>
      <c r="L110" s="102">
        <f>'Form 1a-ABR Office'!K37+'Form 1a-ABR Office'!K230+'Form 1a-ABR Office'!K302+'Form 1a-ABR Office'!K360+'Form 1a-ABR Office'!K423+'Form 1a-ABR Office'!K482+'Form 1a-ABR Office'!K544+'Form 1a-ABR Office'!K606+'Form 1a-ABR Office'!K667+'Form 1a-ABR Office'!K732+'Form 1a-ABR Office'!K796+'Form 1a-ABR Office'!K865+'Form 1a-ABR Office'!K929+'Form 1a-ABR Office'!K989</f>
        <v>89300</v>
      </c>
      <c r="M110" s="102">
        <f>'Form 1a-ABR Office'!L37+'Form 1a-ABR Office'!L230+'Form 1a-ABR Office'!L302+'Form 1a-ABR Office'!L360+'Form 1a-ABR Office'!L423+'Form 1a-ABR Office'!L482+'Form 1a-ABR Office'!L544+'Form 1a-ABR Office'!L606+'Form 1a-ABR Office'!L667+'Form 1a-ABR Office'!L732+'Form 1a-ABR Office'!L796+'Form 1a-ABR Office'!L865+'Form 1a-ABR Office'!L929+'Form 1a-ABR Office'!L989</f>
        <v>229900</v>
      </c>
      <c r="N110" s="102">
        <f>SUM('Form 1a-ABR Office'!M37+'Form 1a-ABR Office'!M230+'Form 1a-ABR Office'!M302+'Form 1a-ABR Office'!M360+'Form 1a-ABR Office'!M423+'Form 1a-ABR Office'!M482+'Form 1a-ABR Office'!M544+'Form 1a-ABR Office'!M606+'Form 1a-ABR Office'!M667+'Form 1a-ABR Office'!M732+'Form 1a-ABR Office'!M796+'Form 1a-ABR Office'!M865+'Form 1a-ABR Office'!M929+'Form 1a-ABR Office'!M989)</f>
        <v>237600</v>
      </c>
      <c r="P110" s="446"/>
      <c r="Q110" s="446"/>
    </row>
    <row r="111" spans="1:30" ht="18" customHeight="1">
      <c r="A111" s="337"/>
      <c r="B111" s="338"/>
      <c r="C111" s="391"/>
      <c r="D111" s="391" t="s">
        <v>169</v>
      </c>
      <c r="E111" s="391"/>
      <c r="F111" s="391"/>
      <c r="G111" s="386" t="s">
        <v>226</v>
      </c>
      <c r="H111" s="308" t="s">
        <v>268</v>
      </c>
      <c r="I111" s="392"/>
      <c r="J111" s="102">
        <f>SUM('Form 1a-ABR Office'!I38+'Form 1a-ABR Office'!I231+'Form 1a-ABR Office'!I303+'Form 1a-ABR Office'!I361+'Form 1a-ABR Office'!I424+'Form 1a-ABR Office'!I483+'Form 1a-ABR Office'!I545+'Form 1a-ABR Office'!I607+'Form 1a-ABR Office'!I668+'Form 1a-ABR Office'!I733+'Form 1a-ABR Office'!I797+'Form 1a-ABR Office'!I866+'Form 1a-ABR Office'!I930+'Form 1a-ABR Office'!I990)</f>
        <v>898010</v>
      </c>
      <c r="K111" s="102">
        <f>'Form 1a-ABR Office'!J38+'Form 1a-ABR Office'!J231+'Form 1a-ABR Office'!J303+'Form 1a-ABR Office'!J361+'Form 1a-ABR Office'!J424+'Form 1a-ABR Office'!J483+'Form 1a-ABR Office'!J545+'Form 1a-ABR Office'!J607+'Form 1a-ABR Office'!J668+'Form 1a-ABR Office'!J733+'Form 1a-ABR Office'!J797+'Form 1a-ABR Office'!J866+'Form 1a-ABR Office'!J930+'Form 1a-ABR Office'!J990</f>
        <v>839228.84</v>
      </c>
      <c r="L111" s="102">
        <f>'Form 1a-ABR Office'!K38+'Form 1a-ABR Office'!K231+'Form 1a-ABR Office'!K303+'Form 1a-ABR Office'!K361+'Form 1a-ABR Office'!K424+'Form 1a-ABR Office'!K483+'Form 1a-ABR Office'!K545+'Form 1a-ABR Office'!K607+'Form 1a-ABR Office'!K668+'Form 1a-ABR Office'!K733+'Form 1a-ABR Office'!K797+'Form 1a-ABR Office'!K866+'Form 1a-ABR Office'!K930+'Form 1a-ABR Office'!K990</f>
        <v>255771.15999999997</v>
      </c>
      <c r="M111" s="102">
        <f>'Form 1a-ABR Office'!L38+'Form 1a-ABR Office'!L231+'Form 1a-ABR Office'!L303+'Form 1a-ABR Office'!L361+'Form 1a-ABR Office'!L424+'Form 1a-ABR Office'!L483+'Form 1a-ABR Office'!L545+'Form 1a-ABR Office'!L607+'Form 1a-ABR Office'!L668+'Form 1a-ABR Office'!L733+'Form 1a-ABR Office'!L797+'Form 1a-ABR Office'!L866+'Form 1a-ABR Office'!L930+'Form 1a-ABR Office'!L990</f>
        <v>1095000</v>
      </c>
      <c r="N111" s="102">
        <f>SUM('Form 1a-ABR Office'!M38+'Form 1a-ABR Office'!M231+'Form 1a-ABR Office'!M303+'Form 1a-ABR Office'!M361+'Form 1a-ABR Office'!M424+'Form 1a-ABR Office'!M483+'Form 1a-ABR Office'!M545+'Form 1a-ABR Office'!M607+'Form 1a-ABR Office'!M668+'Form 1a-ABR Office'!M733+'Form 1a-ABR Office'!M797+'Form 1a-ABR Office'!M866+'Form 1a-ABR Office'!M930+'Form 1a-ABR Office'!M990)</f>
        <v>1279700</v>
      </c>
      <c r="P111" s="446"/>
      <c r="Q111" s="446"/>
    </row>
    <row r="112" spans="1:30" ht="18" customHeight="1">
      <c r="A112" s="337"/>
      <c r="B112" s="338"/>
      <c r="C112" s="391"/>
      <c r="D112" s="391" t="s">
        <v>248</v>
      </c>
      <c r="E112" s="391"/>
      <c r="F112" s="391"/>
      <c r="G112" s="386" t="s">
        <v>227</v>
      </c>
      <c r="H112" s="308" t="s">
        <v>269</v>
      </c>
      <c r="I112" s="392"/>
      <c r="J112" s="102">
        <f>SUM('Form 1a-ABR Office'!I39+'Form 1a-ABR Office'!I232+'Form 1a-ABR Office'!I304+'Form 1a-ABR Office'!I362+'Form 1a-ABR Office'!I425+'Form 1a-ABR Office'!I484+'Form 1a-ABR Office'!I546+'Form 1a-ABR Office'!I608+'Form 1a-ABR Office'!I669+'Form 1a-ABR Office'!I734+'Form 1a-ABR Office'!I798+'Form 1a-ABR Office'!I867+'Form 1a-ABR Office'!I931+'Form 1a-ABR Office'!I991)</f>
        <v>139600</v>
      </c>
      <c r="K112" s="102">
        <f>'Form 1a-ABR Office'!J39+'Form 1a-ABR Office'!J232+'Form 1a-ABR Office'!J304+'Form 1a-ABR Office'!J362+'Form 1a-ABR Office'!J425+'Form 1a-ABR Office'!J484+'Form 1a-ABR Office'!J546+'Form 1a-ABR Office'!J608+'Form 1a-ABR Office'!J669+'Form 1a-ABR Office'!J734+'Form 1a-ABR Office'!J798+'Form 1a-ABR Office'!J867+'Form 1a-ABR Office'!J931+'Form 1a-ABR Office'!J991</f>
        <v>140600</v>
      </c>
      <c r="L112" s="102">
        <f>'Form 1a-ABR Office'!K39+'Form 1a-ABR Office'!K232+'Form 1a-ABR Office'!K304+'Form 1a-ABR Office'!K362+'Form 1a-ABR Office'!K425+'Form 1a-ABR Office'!K484+'Form 1a-ABR Office'!K546+'Form 1a-ABR Office'!K608+'Form 1a-ABR Office'!K669+'Form 1a-ABR Office'!K734+'Form 1a-ABR Office'!K798+'Form 1a-ABR Office'!K867+'Form 1a-ABR Office'!K931+'Form 1a-ABR Office'!K991</f>
        <v>11300</v>
      </c>
      <c r="M112" s="102">
        <f>'Form 1a-ABR Office'!L39+'Form 1a-ABR Office'!L232+'Form 1a-ABR Office'!L304+'Form 1a-ABR Office'!L362+'Form 1a-ABR Office'!L425+'Form 1a-ABR Office'!L484+'Form 1a-ABR Office'!L546+'Form 1a-ABR Office'!L608+'Form 1a-ABR Office'!L669+'Form 1a-ABR Office'!L734+'Form 1a-ABR Office'!L798+'Form 1a-ABR Office'!L867+'Form 1a-ABR Office'!L931+'Form 1a-ABR Office'!L991</f>
        <v>151900</v>
      </c>
      <c r="N112" s="102">
        <f>'Form 1a-ABR Office'!M39+'Form 1a-ABR Office'!M232+'Form 1a-ABR Office'!M304+'Form 1a-ABR Office'!M362+'Form 1a-ABR Office'!M425+'Form 1a-ABR Office'!M484+'Form 1a-ABR Office'!M546+'Form 1a-ABR Office'!M608+'Form 1a-ABR Office'!M669+'Form 1a-ABR Office'!M734+'Form 1a-ABR Office'!M798+'Form 1a-ABR Office'!M867+'Form 1a-ABR Office'!M931+'Form 1a-ABR Office'!M991</f>
        <v>158400</v>
      </c>
      <c r="P112" s="446"/>
      <c r="Q112" s="446"/>
    </row>
    <row r="113" spans="1:30" ht="18" customHeight="1">
      <c r="A113" s="337"/>
      <c r="B113" s="338"/>
      <c r="C113" s="391"/>
      <c r="D113" s="391" t="s">
        <v>69</v>
      </c>
      <c r="E113" s="391"/>
      <c r="F113" s="391"/>
      <c r="G113" s="386"/>
      <c r="H113" s="308" t="s">
        <v>270</v>
      </c>
      <c r="I113" s="392"/>
      <c r="J113" s="102">
        <f>SUM('Form 1a-ABR Office'!I40+'Form 1a-ABR Office'!I233+'Form 1a-ABR Office'!I363+'Form 1a-ABR Office'!I485+'Form 1a-ABR Office'!I799+'Form 1a-ABR Office'!I932)</f>
        <v>3450046.7</v>
      </c>
      <c r="K113" s="102">
        <f>'Form 1a-ABR Office'!J40+'Form 1a-ABR Office'!J233+'Form 1a-ABR Office'!J364+'Form 1a-ABR Office'!J486+'Form 1a-ABR Office'!J547+'Form 1a-ABR Office'!J799+'Form 1a-ABR Office'!J932</f>
        <v>1525518.79</v>
      </c>
      <c r="L113" s="102">
        <f>'Form 1a-ABR Office'!K40+'Form 1a-ABR Office'!K233+'Form 1a-ABR Office'!K364+'Form 1a-ABR Office'!K486+'Form 1a-ABR Office'!K547+'Form 1a-ABR Office'!K799+'Form 1a-ABR Office'!K932</f>
        <v>85817.839999999967</v>
      </c>
      <c r="M113" s="102">
        <f>'Form 1a-ABR Office'!L40+'Form 1a-ABR Office'!L233+'Form 1a-ABR Office'!L364+'Form 1a-ABR Office'!L486+'Form 1a-ABR Office'!L547+'Form 1a-ABR Office'!L799+'Form 1a-ABR Office'!L932</f>
        <v>1611336.6300000001</v>
      </c>
      <c r="N113" s="102">
        <f>SUM('Form 1a-ABR Office'!M40+'Form 1a-ABR Office'!M233+'Form 1a-ABR Office'!M363+'Form 1a-ABR Office'!M485+'Form 1a-ABR Office'!M799+'Form 1a-ABR Office'!M932)</f>
        <v>0</v>
      </c>
      <c r="P113" s="446"/>
      <c r="Q113" s="446"/>
    </row>
    <row r="114" spans="1:30" ht="18" customHeight="1">
      <c r="A114" s="337"/>
      <c r="B114" s="338"/>
      <c r="C114" s="391"/>
      <c r="D114" s="391" t="s">
        <v>170</v>
      </c>
      <c r="E114" s="391"/>
      <c r="F114" s="391"/>
      <c r="G114" s="386" t="s">
        <v>229</v>
      </c>
      <c r="H114" s="308" t="s">
        <v>270</v>
      </c>
      <c r="I114" s="392"/>
      <c r="J114" s="102">
        <f>'Form 1a-ABR Office'!I870</f>
        <v>25000</v>
      </c>
      <c r="K114" s="102">
        <f>'Form 1a-ABR Office'!J870</f>
        <v>22750</v>
      </c>
      <c r="L114" s="102">
        <f>'Form 1a-ABR Office'!K870</f>
        <v>2250</v>
      </c>
      <c r="M114" s="102">
        <f>'Form 1a-ABR Office'!L870</f>
        <v>25000</v>
      </c>
      <c r="N114" s="102">
        <f>'Form 1a-ABR Office'!M870</f>
        <v>25000</v>
      </c>
      <c r="P114" s="446"/>
      <c r="Q114" s="446"/>
    </row>
    <row r="115" spans="1:30" s="396" customFormat="1" ht="18" customHeight="1">
      <c r="A115" s="397"/>
      <c r="B115" s="398"/>
      <c r="C115" s="398"/>
      <c r="D115" s="398" t="s">
        <v>171</v>
      </c>
      <c r="E115" s="398"/>
      <c r="F115" s="398"/>
      <c r="G115" s="399" t="s">
        <v>82</v>
      </c>
      <c r="H115" s="400" t="s">
        <v>281</v>
      </c>
      <c r="I115" s="401"/>
      <c r="J115" s="155">
        <f>SUM('Form 1a-ABR Office'!I41+'Form 1a-ABR Office'!I234+'Form 1a-ABR Office'!I305+'Form 1a-ABR Office'!I364+'Form 1a-ABR Office'!I426+'Form 1a-ABR Office'!I486+'Form 1a-ABR Office'!I548+'Form 1a-ABR Office'!I609+'Form 1a-ABR Office'!I671+'Form 1a-ABR Office'!I735+'Form 1a-ABR Office'!I868+'Form 1a-ABR Office'!I933+'Form 1a-ABR Office'!I992)</f>
        <v>2000000</v>
      </c>
      <c r="K115" s="155">
        <f>'Form 1a-ABR Office'!J41+'Form 1a-ABR Office'!J234+'Form 1a-ABR Office'!J548</f>
        <v>0</v>
      </c>
      <c r="L115" s="155">
        <f>'Form 1a-ABR Office'!K41+'Form 1a-ABR Office'!K234+'Form 1a-ABR Office'!K548</f>
        <v>0</v>
      </c>
      <c r="M115" s="155">
        <f>'Form 1a-ABR Office'!L41+'Form 1a-ABR Office'!L234+'Form 1a-ABR Office'!L548</f>
        <v>0</v>
      </c>
      <c r="N115" s="155">
        <f>SUM('Form 1a-ABR Office'!M41+'Form 1a-ABR Office'!M234+'Form 1a-ABR Office'!M305+'Form 1a-ABR Office'!M364+'Form 1a-ABR Office'!M426+'Form 1a-ABR Office'!M486+'Form 1a-ABR Office'!M548+'Form 1a-ABR Office'!M609+'Form 1a-ABR Office'!M671+'Form 1a-ABR Office'!M735+'Form 1a-ABR Office'!M868+'Form 1a-ABR Office'!M933+'Form 1a-ABR Office'!M992)</f>
        <v>0</v>
      </c>
      <c r="P115" s="446"/>
      <c r="Q115" s="446"/>
      <c r="R115" s="310"/>
      <c r="S115" s="310"/>
      <c r="T115" s="310"/>
      <c r="U115" s="310"/>
      <c r="V115" s="310"/>
      <c r="W115" s="310"/>
      <c r="X115" s="310"/>
      <c r="Y115" s="310"/>
      <c r="Z115" s="310"/>
      <c r="AA115" s="310"/>
      <c r="AB115" s="310"/>
      <c r="AC115" s="310"/>
      <c r="AD115" s="310"/>
    </row>
    <row r="116" spans="1:30" s="396" customFormat="1" ht="18" customHeight="1">
      <c r="A116" s="397"/>
      <c r="B116" s="398"/>
      <c r="C116" s="398"/>
      <c r="D116" s="57" t="s">
        <v>589</v>
      </c>
      <c r="E116" s="57"/>
      <c r="F116" s="58"/>
      <c r="G116" s="59"/>
      <c r="H116" s="60" t="s">
        <v>281</v>
      </c>
      <c r="I116" s="401"/>
      <c r="J116" s="155">
        <f>SUM('Form 1a-ABR Office'!I42)</f>
        <v>1109448.56</v>
      </c>
      <c r="K116" s="155"/>
      <c r="L116" s="155"/>
      <c r="M116" s="155"/>
      <c r="N116" s="155">
        <f>SUM('Form 1a-ABR Office'!M42)</f>
        <v>0</v>
      </c>
      <c r="P116" s="446"/>
      <c r="Q116" s="446"/>
      <c r="R116" s="310"/>
      <c r="S116" s="310"/>
      <c r="T116" s="310"/>
      <c r="U116" s="310"/>
      <c r="V116" s="310"/>
      <c r="W116" s="310"/>
      <c r="X116" s="310"/>
      <c r="Y116" s="310"/>
      <c r="Z116" s="310"/>
      <c r="AA116" s="310"/>
      <c r="AB116" s="310"/>
      <c r="AC116" s="310"/>
      <c r="AD116" s="310"/>
    </row>
    <row r="117" spans="1:30" s="396" customFormat="1" ht="18" customHeight="1">
      <c r="A117" s="337"/>
      <c r="B117" s="338"/>
      <c r="C117" s="391"/>
      <c r="D117" s="391" t="s">
        <v>476</v>
      </c>
      <c r="E117" s="391"/>
      <c r="F117" s="391"/>
      <c r="G117" s="386" t="s">
        <v>82</v>
      </c>
      <c r="H117" s="308" t="s">
        <v>281</v>
      </c>
      <c r="I117" s="392"/>
      <c r="J117" s="102">
        <f>SUM('Form 1a-ABR Office'!I43+'Form 1a-ABR Office'!I237+'Form 1a-ABR Office'!I307+'Form 1a-ABR Office'!I365+'Form 1a-ABR Office'!I427+'Form 1a-ABR Office'!I487+'Form 1a-ABR Office'!I549+'Form 1a-ABR Office'!I610+'Form 1a-ABR Office'!I672+'Form 1a-ABR Office'!I736+'Form 1a-ABR Office'!I801+'Form 1a-ABR Office'!I869+'Form 1a-ABR Office'!I934+'Form 1a-ABR Office'!I993)</f>
        <v>2564000</v>
      </c>
      <c r="K117" s="102">
        <f>'Form 1a-ABR Office'!J42+'Form 1a-ABR Office'!J237+'Form 1a-ABR Office'!J307+'Form 1a-ABR Office'!J365+'Form 1a-ABR Office'!J427+'Form 1a-ABR Office'!J487+'Form 1a-ABR Office'!J549+'Form 1a-ABR Office'!J610+'Form 1a-ABR Office'!J672+'Form 1a-ABR Office'!J736+'Form 1a-ABR Office'!J801+'Form 1a-ABR Office'!J869+'Form 1a-ABR Office'!J934+'Form 1a-ABR Office'!J993</f>
        <v>2656000</v>
      </c>
      <c r="L117" s="102">
        <f>'Form 1a-ABR Office'!K42+'Form 1a-ABR Office'!K237+'Form 1a-ABR Office'!K307+'Form 1a-ABR Office'!K365+'Form 1a-ABR Office'!K427+'Form 1a-ABR Office'!K487+'Form 1a-ABR Office'!K549+'Form 1a-ABR Office'!K610+'Form 1a-ABR Office'!K672+'Form 1a-ABR Office'!K736+'Form 1a-ABR Office'!K801+'Form 1a-ABR Office'!K869+'Form 1a-ABR Office'!K934+'Form 1a-ABR Office'!K993</f>
        <v>36000</v>
      </c>
      <c r="M117" s="102">
        <f>'Form 1a-ABR Office'!L42+'Form 1a-ABR Office'!L237+'Form 1a-ABR Office'!L307+'Form 1a-ABR Office'!L365+'Form 1a-ABR Office'!L427+'Form 1a-ABR Office'!L487+'Form 1a-ABR Office'!L549+'Form 1a-ABR Office'!L610+'Form 1a-ABR Office'!L672+'Form 1a-ABR Office'!L736+'Form 1a-ABR Office'!L801+'Form 1a-ABR Office'!L869+'Form 1a-ABR Office'!L934+'Form 1a-ABR Office'!L993</f>
        <v>2692000</v>
      </c>
      <c r="N117" s="102">
        <f>SUM('Form 1a-ABR Office'!M43+'Form 1a-ABR Office'!M237+'Form 1a-ABR Office'!M307+'Form 1a-ABR Office'!M365+'Form 1a-ABR Office'!M427+'Form 1a-ABR Office'!M487+'Form 1a-ABR Office'!M549+'Form 1a-ABR Office'!M610+'Form 1a-ABR Office'!M672+'Form 1a-ABR Office'!M736+'Form 1a-ABR Office'!M801+'Form 1a-ABR Office'!M869+'Form 1a-ABR Office'!M934+'Form 1a-ABR Office'!M993)</f>
        <v>0</v>
      </c>
      <c r="P117" s="446"/>
      <c r="Q117" s="446"/>
      <c r="R117" s="310"/>
      <c r="S117" s="310"/>
      <c r="T117" s="310"/>
      <c r="U117" s="310"/>
      <c r="V117" s="310"/>
      <c r="W117" s="310"/>
      <c r="X117" s="310"/>
      <c r="Y117" s="310"/>
      <c r="Z117" s="310"/>
      <c r="AA117" s="310"/>
      <c r="AB117" s="310"/>
      <c r="AC117" s="310"/>
      <c r="AD117" s="310"/>
    </row>
    <row r="118" spans="1:30" s="396" customFormat="1" ht="18" customHeight="1" thickBot="1">
      <c r="A118" s="316"/>
      <c r="B118" s="316"/>
      <c r="C118" s="509"/>
      <c r="D118" s="509" t="s">
        <v>619</v>
      </c>
      <c r="E118" s="509"/>
      <c r="F118" s="509"/>
      <c r="G118" s="510"/>
      <c r="H118" s="511" t="s">
        <v>281</v>
      </c>
      <c r="I118" s="512"/>
      <c r="J118" s="513"/>
      <c r="K118" s="513">
        <f>'Form 1a-ABR Office'!J43+'Form 1a-ABR Office'!J236+'Form 1a-ABR Office'!J306+'Form 1a-ABR Office'!J366+'Form 1a-ABR Office'!J428+'Form 1a-ABR Office'!J488+'Form 1a-ABR Office'!J550+'Form 1a-ABR Office'!J611+'Form 1a-ABR Office'!J673+'Form 1a-ABR Office'!J737+'Form 1a-ABR Office'!J802+'Form 1a-ABR Office'!J871+'Form 1a-ABR Office'!J935+'Form 1a-ABR Office'!J994</f>
        <v>3637500</v>
      </c>
      <c r="L118" s="513">
        <f>'Form 1a-ABR Office'!K43+'Form 1a-ABR Office'!K236+'Form 1a-ABR Office'!K306+'Form 1a-ABR Office'!K366+'Form 1a-ABR Office'!K428+'Form 1a-ABR Office'!K488+'Form 1a-ABR Office'!K550+'Form 1a-ABR Office'!K611+'Form 1a-ABR Office'!K673+'Form 1a-ABR Office'!K737+'Form 1a-ABR Office'!K802+'Form 1a-ABR Office'!K871+'Form 1a-ABR Office'!K935+'Form 1a-ABR Office'!K994</f>
        <v>0</v>
      </c>
      <c r="M118" s="513">
        <f>'Form 1a-ABR Office'!L43+'Form 1a-ABR Office'!L236+'Form 1a-ABR Office'!L306+'Form 1a-ABR Office'!L366+'Form 1a-ABR Office'!L428+'Form 1a-ABR Office'!L488+'Form 1a-ABR Office'!L550+'Form 1a-ABR Office'!L611+'Form 1a-ABR Office'!L673+'Form 1a-ABR Office'!L737+'Form 1a-ABR Office'!L802+'Form 1a-ABR Office'!L871+'Form 1a-ABR Office'!L935+'Form 1a-ABR Office'!L994</f>
        <v>3637500</v>
      </c>
      <c r="N118" s="513">
        <f>'Form 1a-ABR Office'!M43+'Form 1a-ABR Office'!M43+'Form 1a-ABR Office'!M236+'Form 1a-ABR Office'!M306+'Form 1a-ABR Office'!M366+'Form 1a-ABR Office'!M428+'Form 1a-ABR Office'!M488+'Form 1a-ABR Office'!M550+'Form 1a-ABR Office'!M611+'Form 1a-ABR Office'!M673+'Form 1a-ABR Office'!M737+'Form 1a-ABR Office'!M802+'Form 1a-ABR Office'!M871+'Form 1a-ABR Office'!M935+'Form 1a-ABR Office'!M994</f>
        <v>0</v>
      </c>
      <c r="P118" s="446"/>
      <c r="Q118" s="446"/>
      <c r="R118" s="310"/>
      <c r="S118" s="310"/>
      <c r="T118" s="310"/>
      <c r="U118" s="310"/>
      <c r="V118" s="310"/>
      <c r="W118" s="310"/>
      <c r="X118" s="310"/>
      <c r="Y118" s="310"/>
      <c r="Z118" s="310"/>
      <c r="AA118" s="310"/>
      <c r="AB118" s="310"/>
      <c r="AC118" s="310"/>
      <c r="AD118" s="310"/>
    </row>
    <row r="119" spans="1:30" s="349" customFormat="1" ht="18" customHeight="1" thickBot="1">
      <c r="A119" s="354"/>
      <c r="B119" s="345"/>
      <c r="C119" s="402"/>
      <c r="D119" s="402" t="s">
        <v>68</v>
      </c>
      <c r="E119" s="402"/>
      <c r="F119" s="402"/>
      <c r="G119" s="403"/>
      <c r="H119" s="404"/>
      <c r="I119" s="405"/>
      <c r="J119" s="505">
        <f>SUM(J90:J118)</f>
        <v>78850629.799999997</v>
      </c>
      <c r="K119" s="505">
        <f>SUM(K90:K118)</f>
        <v>76330250.930000007</v>
      </c>
      <c r="L119" s="505">
        <f>SUM(L90:L118)</f>
        <v>5736052.8739999998</v>
      </c>
      <c r="M119" s="505">
        <f>SUM(M90:M118)</f>
        <v>82066303.80399999</v>
      </c>
      <c r="N119" s="505">
        <f>SUM(N90:N118)</f>
        <v>78078487.799999997</v>
      </c>
      <c r="P119" s="446"/>
      <c r="Q119" s="446"/>
      <c r="R119" s="310"/>
      <c r="S119" s="310"/>
      <c r="T119" s="310"/>
      <c r="U119" s="310"/>
      <c r="V119" s="310"/>
      <c r="W119" s="310"/>
      <c r="X119" s="310"/>
      <c r="Y119" s="310"/>
      <c r="Z119" s="310"/>
      <c r="AA119" s="310"/>
      <c r="AB119" s="310"/>
      <c r="AC119" s="310"/>
      <c r="AD119" s="310"/>
    </row>
    <row r="120" spans="1:30" s="349" customFormat="1" ht="6.75" customHeight="1">
      <c r="A120" s="379"/>
      <c r="B120" s="380"/>
      <c r="C120" s="380"/>
      <c r="D120" s="380"/>
      <c r="E120" s="380"/>
      <c r="F120" s="406"/>
      <c r="G120" s="407"/>
      <c r="H120" s="408"/>
      <c r="I120" s="409"/>
      <c r="J120" s="156"/>
      <c r="K120" s="156"/>
      <c r="L120" s="410"/>
      <c r="M120" s="156"/>
      <c r="N120" s="156"/>
      <c r="P120" s="310"/>
      <c r="Q120" s="310"/>
      <c r="R120" s="310"/>
      <c r="S120" s="310"/>
      <c r="T120" s="310"/>
      <c r="U120" s="310"/>
      <c r="V120" s="310"/>
      <c r="W120" s="310"/>
      <c r="X120" s="310"/>
      <c r="Y120" s="310"/>
      <c r="Z120" s="310"/>
      <c r="AA120" s="310"/>
      <c r="AB120" s="310"/>
      <c r="AC120" s="310"/>
      <c r="AD120" s="310"/>
    </row>
    <row r="121" spans="1:30" ht="18" customHeight="1">
      <c r="A121" s="337"/>
      <c r="B121" s="334" t="s">
        <v>586</v>
      </c>
      <c r="C121" s="338"/>
      <c r="D121" s="338"/>
      <c r="E121" s="338"/>
      <c r="F121" s="391"/>
      <c r="G121" s="393"/>
      <c r="H121" s="308"/>
      <c r="I121" s="392"/>
      <c r="J121" s="102"/>
      <c r="K121" s="48"/>
      <c r="L121" s="49"/>
      <c r="M121" s="48"/>
      <c r="N121" s="48"/>
    </row>
    <row r="122" spans="1:30" ht="18" customHeight="1">
      <c r="A122" s="337"/>
      <c r="B122" s="338"/>
      <c r="C122" s="338"/>
      <c r="D122" s="338" t="s">
        <v>173</v>
      </c>
      <c r="E122" s="338"/>
      <c r="F122" s="391"/>
      <c r="G122" s="386" t="s">
        <v>75</v>
      </c>
      <c r="H122" s="308" t="s">
        <v>271</v>
      </c>
      <c r="I122" s="392"/>
      <c r="J122" s="102">
        <f>SUM('Form 1a-ABR Office'!I46+'Form 1a-ABR Office'!I240+'Form 1a-ABR Office'!I310+'Form 1a-ABR Office'!I369+'Form 1a-ABR Office'!I431+'Form 1a-ABR Office'!I491+'Form 1a-ABR Office'!I553+'Form 1a-ABR Office'!I614+'Form 1a-ABR Office'!I676+'Form 1a-ABR Office'!I740+'Form 1a-ABR Office'!I805+'Form 1a-ABR Office'!I874+'Form 1a-ABR Office'!I938+'Form 1a-ABR Office'!I997)</f>
        <v>2209442.48</v>
      </c>
      <c r="K122" s="102">
        <f>SUM('Form 1a-ABR Office'!J46+'Form 1a-ABR Office'!J240+'Form 1a-ABR Office'!J310+'Form 1a-ABR Office'!J369+'Form 1a-ABR Office'!J431+'Form 1a-ABR Office'!J491+'Form 1a-ABR Office'!J553+'Form 1a-ABR Office'!J614+'Form 1a-ABR Office'!J676+'Form 1a-ABR Office'!J740+'Form 1a-ABR Office'!J805+'Form 1a-ABR Office'!J874+'Form 1a-ABR Office'!J938+'Form 1a-ABR Office'!J997)</f>
        <v>3922978.04</v>
      </c>
      <c r="L122" s="102">
        <f>SUM('Form 1a-ABR Office'!K46+'Form 1a-ABR Office'!K240+'Form 1a-ABR Office'!K310+'Form 1a-ABR Office'!K369+'Form 1a-ABR Office'!K431+'Form 1a-ABR Office'!K491+'Form 1a-ABR Office'!K553+'Form 1a-ABR Office'!K614+'Form 1a-ABR Office'!K676+'Form 1a-ABR Office'!K740+'Form 1a-ABR Office'!K805+'Form 1a-ABR Office'!K874+'Form 1a-ABR Office'!K938+'Form 1a-ABR Office'!K997)</f>
        <v>429449.95999999996</v>
      </c>
      <c r="M122" s="102">
        <f>SUM('Form 1a-ABR Office'!L46+'Form 1a-ABR Office'!L240+'Form 1a-ABR Office'!L310+'Form 1a-ABR Office'!L369+'Form 1a-ABR Office'!L431+'Form 1a-ABR Office'!L491+'Form 1a-ABR Office'!L553+'Form 1a-ABR Office'!L614+'Form 1a-ABR Office'!L676+'Form 1a-ABR Office'!L740+'Form 1a-ABR Office'!L805+'Form 1a-ABR Office'!L874+'Form 1a-ABR Office'!L938+'Form 1a-ABR Office'!L997)</f>
        <v>4352428</v>
      </c>
      <c r="N122" s="102">
        <f>SUM('Form 1a-ABR Office'!M46+'Form 1a-ABR Office'!M240+'Form 1a-ABR Office'!M310+'Form 1a-ABR Office'!M369+'Form 1a-ABR Office'!M431+'Form 1a-ABR Office'!M491+'Form 1a-ABR Office'!M553+'Form 1a-ABR Office'!M614+'Form 1a-ABR Office'!M676+'Form 1a-ABR Office'!M740+'Form 1a-ABR Office'!M805+'Form 1a-ABR Office'!M874+'Form 1a-ABR Office'!M938+'Form 1a-ABR Office'!M997)</f>
        <v>4090000</v>
      </c>
      <c r="P122" s="446"/>
      <c r="Q122" s="446"/>
    </row>
    <row r="123" spans="1:30" ht="18" customHeight="1">
      <c r="A123" s="337"/>
      <c r="B123" s="338"/>
      <c r="C123" s="338"/>
      <c r="D123" s="338" t="s">
        <v>624</v>
      </c>
      <c r="E123" s="338"/>
      <c r="F123" s="391"/>
      <c r="G123" s="386"/>
      <c r="H123" s="308" t="s">
        <v>625</v>
      </c>
      <c r="I123" s="392"/>
      <c r="J123" s="102"/>
      <c r="K123" s="102">
        <f>'Form 1a-ABR Office'!J241</f>
        <v>174512</v>
      </c>
      <c r="L123" s="102">
        <f>'Form 1a-ABR Office'!K241</f>
        <v>0</v>
      </c>
      <c r="M123" s="102">
        <f>'Form 1a-ABR Office'!L241</f>
        <v>174512</v>
      </c>
      <c r="N123" s="102">
        <f>'Form 1a-ABR Office'!M241</f>
        <v>0</v>
      </c>
      <c r="P123" s="446"/>
      <c r="Q123" s="446"/>
    </row>
    <row r="124" spans="1:30" ht="18" customHeight="1">
      <c r="A124" s="337"/>
      <c r="B124" s="338"/>
      <c r="C124" s="338"/>
      <c r="D124" s="338" t="s">
        <v>107</v>
      </c>
      <c r="E124" s="338"/>
      <c r="F124" s="391"/>
      <c r="G124" s="386" t="s">
        <v>76</v>
      </c>
      <c r="H124" s="308" t="s">
        <v>272</v>
      </c>
      <c r="I124" s="392"/>
      <c r="J124" s="102">
        <f>SUM('Form 1a-ABR Office'!I47+'Form 1a-ABR Office'!I242+'Form 1a-ABR Office'!I311+'Form 1a-ABR Office'!I370+'Form 1a-ABR Office'!I432+'Form 1a-ABR Office'!I492+'Form 1a-ABR Office'!I554+'Form 1a-ABR Office'!I615+'Form 1a-ABR Office'!I677+'Form 1a-ABR Office'!I741+'Form 1a-ABR Office'!I806+'Form 1a-ABR Office'!I875+'Form 1a-ABR Office'!I939+'Form 1a-ABR Office'!I998)</f>
        <v>2238002.4500000002</v>
      </c>
      <c r="K124" s="102">
        <f>SUM('Form 1a-ABR Office'!J47+'Form 1a-ABR Office'!J242+'Form 1a-ABR Office'!J311+'Form 1a-ABR Office'!J370+'Form 1a-ABR Office'!J432+'Form 1a-ABR Office'!J492+'Form 1a-ABR Office'!J554+'Form 1a-ABR Office'!J615+'Form 1a-ABR Office'!J677+'Form 1a-ABR Office'!J741+'Form 1a-ABR Office'!J806+'Form 1a-ABR Office'!J875+'Form 1a-ABR Office'!J939+'Form 1a-ABR Office'!J998)</f>
        <v>2553227.3800000004</v>
      </c>
      <c r="L124" s="102">
        <f>SUM('Form 1a-ABR Office'!K47+'Form 1a-ABR Office'!K242+'Form 1a-ABR Office'!K311+'Form 1a-ABR Office'!K370+'Form 1a-ABR Office'!K432+'Form 1a-ABR Office'!K492+'Form 1a-ABR Office'!K554+'Form 1a-ABR Office'!K615+'Form 1a-ABR Office'!K677+'Form 1a-ABR Office'!K741+'Form 1a-ABR Office'!K806+'Form 1a-ABR Office'!K875+'Form 1a-ABR Office'!K939+'Form 1a-ABR Office'!K998)</f>
        <v>146743.62000000005</v>
      </c>
      <c r="M124" s="102">
        <f>SUM('Form 1a-ABR Office'!L47+'Form 1a-ABR Office'!L242+'Form 1a-ABR Office'!L311+'Form 1a-ABR Office'!L370+'Form 1a-ABR Office'!L432+'Form 1a-ABR Office'!L492+'Form 1a-ABR Office'!L554+'Form 1a-ABR Office'!L615+'Form 1a-ABR Office'!L677+'Form 1a-ABR Office'!L741+'Form 1a-ABR Office'!L806+'Form 1a-ABR Office'!L875+'Form 1a-ABR Office'!L939+'Form 1a-ABR Office'!L998)</f>
        <v>2699971</v>
      </c>
      <c r="N124" s="102">
        <f>SUM('Form 1a-ABR Office'!M47+'Form 1a-ABR Office'!M242+'Form 1a-ABR Office'!M311+'Form 1a-ABR Office'!M370+'Form 1a-ABR Office'!M432+'Form 1a-ABR Office'!M492+'Form 1a-ABR Office'!M554+'Form 1a-ABR Office'!M615+'Form 1a-ABR Office'!M677+'Form 1a-ABR Office'!M741+'Form 1a-ABR Office'!M806+'Form 1a-ABR Office'!M875+'Form 1a-ABR Office'!M939+'Form 1a-ABR Office'!M998)</f>
        <v>3445000</v>
      </c>
      <c r="P124" s="446"/>
      <c r="Q124" s="446"/>
    </row>
    <row r="125" spans="1:30" ht="18" customHeight="1">
      <c r="A125" s="337"/>
      <c r="B125" s="338"/>
      <c r="C125" s="338"/>
      <c r="D125" s="338" t="s">
        <v>73</v>
      </c>
      <c r="E125" s="338"/>
      <c r="F125" s="391"/>
      <c r="G125" s="386" t="s">
        <v>78</v>
      </c>
      <c r="H125" s="308" t="s">
        <v>273</v>
      </c>
      <c r="I125" s="392"/>
      <c r="J125" s="102">
        <f>SUM('Form 1a-ABR Office'!I48+'Form 1a-ABR Office'!I243+'Form 1a-ABR Office'!I312+'Form 1a-ABR Office'!I371+'Form 1a-ABR Office'!I433+'Form 1a-ABR Office'!I493+'Form 1a-ABR Office'!I555+'Form 1a-ABR Office'!I616+'Form 1a-ABR Office'!I678+'Form 1a-ABR Office'!I742+'Form 1a-ABR Office'!I807+'Form 1a-ABR Office'!I876+'Form 1a-ABR Office'!I940+'Form 1a-ABR Office'!I999)</f>
        <v>3002182.8100000005</v>
      </c>
      <c r="K125" s="102">
        <f>SUM('Form 1a-ABR Office'!J48+'Form 1a-ABR Office'!J243+'Form 1a-ABR Office'!J312+'Form 1a-ABR Office'!J371+'Form 1a-ABR Office'!J433+'Form 1a-ABR Office'!J493+'Form 1a-ABR Office'!J555+'Form 1a-ABR Office'!J616+'Form 1a-ABR Office'!J678+'Form 1a-ABR Office'!J742+'Form 1a-ABR Office'!J807+'Form 1a-ABR Office'!J876+'Form 1a-ABR Office'!J940+'Form 1a-ABR Office'!J999)</f>
        <v>2730197.22</v>
      </c>
      <c r="L125" s="102">
        <f>SUM('Form 1a-ABR Office'!K48+'Form 1a-ABR Office'!K243+'Form 1a-ABR Office'!K312+'Form 1a-ABR Office'!K371+'Form 1a-ABR Office'!K433+'Form 1a-ABR Office'!K493+'Form 1a-ABR Office'!K555+'Form 1a-ABR Office'!K616+'Form 1a-ABR Office'!K678+'Form 1a-ABR Office'!K742+'Form 1a-ABR Office'!K807+'Form 1a-ABR Office'!K876+'Form 1a-ABR Office'!K940+'Form 1a-ABR Office'!K999)</f>
        <v>472642.78</v>
      </c>
      <c r="M125" s="102">
        <f>SUM('Form 1a-ABR Office'!L48+'Form 1a-ABR Office'!L243+'Form 1a-ABR Office'!L312+'Form 1a-ABR Office'!L371+'Form 1a-ABR Office'!L433+'Form 1a-ABR Office'!L493+'Form 1a-ABR Office'!L555+'Form 1a-ABR Office'!L616+'Form 1a-ABR Office'!L678+'Form 1a-ABR Office'!L742+'Form 1a-ABR Office'!L807+'Form 1a-ABR Office'!L876+'Form 1a-ABR Office'!L940+'Form 1a-ABR Office'!L999)</f>
        <v>3202840</v>
      </c>
      <c r="N125" s="102">
        <f>SUM('Form 1a-ABR Office'!M48+'Form 1a-ABR Office'!M243+'Form 1a-ABR Office'!M312+'Form 1a-ABR Office'!M371+'Form 1a-ABR Office'!M433+'Form 1a-ABR Office'!M493+'Form 1a-ABR Office'!M555+'Form 1a-ABR Office'!M616+'Form 1a-ABR Office'!M678+'Form 1a-ABR Office'!M742+'Form 1a-ABR Office'!M807+'Form 1a-ABR Office'!M876+'Form 1a-ABR Office'!M940+'Form 1a-ABR Office'!M999)</f>
        <v>4620376</v>
      </c>
      <c r="P125" s="446"/>
      <c r="Q125" s="446"/>
    </row>
    <row r="126" spans="1:30" ht="18" customHeight="1">
      <c r="A126" s="337"/>
      <c r="B126" s="338"/>
      <c r="C126" s="338"/>
      <c r="D126" s="338" t="s">
        <v>174</v>
      </c>
      <c r="E126" s="338"/>
      <c r="F126" s="391"/>
      <c r="G126" s="386" t="s">
        <v>230</v>
      </c>
      <c r="H126" s="308" t="s">
        <v>282</v>
      </c>
      <c r="I126" s="392"/>
      <c r="J126" s="102">
        <f>SUM('Form 1a-ABR Office'!I556)</f>
        <v>307900</v>
      </c>
      <c r="K126" s="102">
        <f>SUM('Form 1a-ABR Office'!J556)</f>
        <v>148475</v>
      </c>
      <c r="L126" s="102">
        <f>SUM('Form 1a-ABR Office'!K556)</f>
        <v>51525</v>
      </c>
      <c r="M126" s="102">
        <f>SUM('Form 1a-ABR Office'!L556)</f>
        <v>200000</v>
      </c>
      <c r="N126" s="102">
        <f>SUM('Form 1a-ABR Office'!M556)</f>
        <v>300000</v>
      </c>
      <c r="P126" s="446"/>
      <c r="Q126" s="446"/>
    </row>
    <row r="127" spans="1:30" s="396" customFormat="1" ht="18" customHeight="1">
      <c r="A127" s="395"/>
      <c r="B127" s="391"/>
      <c r="C127" s="391"/>
      <c r="D127" s="391" t="s">
        <v>175</v>
      </c>
      <c r="E127" s="391"/>
      <c r="F127" s="391"/>
      <c r="G127" s="386" t="s">
        <v>77</v>
      </c>
      <c r="H127" s="308" t="s">
        <v>283</v>
      </c>
      <c r="I127" s="392"/>
      <c r="J127" s="102">
        <f>'Form 1a-ABR Office'!I877+'Form 1a-ABR Office'!I941</f>
        <v>2690292</v>
      </c>
      <c r="K127" s="102">
        <f>'Form 1a-ABR Office'!J877+'Form 1a-ABR Office'!J941</f>
        <v>2784313</v>
      </c>
      <c r="L127" s="102">
        <f>'Form 1a-ABR Office'!K877+'Form 1a-ABR Office'!K941</f>
        <v>16752</v>
      </c>
      <c r="M127" s="102">
        <f t="shared" ref="M127:M140" si="2">L127+K127</f>
        <v>2801065</v>
      </c>
      <c r="N127" s="102">
        <f>'Form 1a-ABR Office'!M877+'Form 1a-ABR Office'!M941</f>
        <v>3000000</v>
      </c>
      <c r="P127" s="445"/>
      <c r="Q127" s="445"/>
    </row>
    <row r="128" spans="1:30" ht="18" customHeight="1">
      <c r="A128" s="337"/>
      <c r="B128" s="338"/>
      <c r="C128" s="338"/>
      <c r="D128" s="338" t="s">
        <v>176</v>
      </c>
      <c r="E128" s="338"/>
      <c r="F128" s="391"/>
      <c r="G128" s="386" t="s">
        <v>83</v>
      </c>
      <c r="H128" s="308" t="s">
        <v>284</v>
      </c>
      <c r="I128" s="392"/>
      <c r="J128" s="102">
        <f>'Form 1a-ABR Office'!I878</f>
        <v>38935</v>
      </c>
      <c r="K128" s="102">
        <f>'Form 1a-ABR Office'!J878</f>
        <v>61206</v>
      </c>
      <c r="L128" s="102">
        <f>'Form 1a-ABR Office'!K878</f>
        <v>135944</v>
      </c>
      <c r="M128" s="102">
        <f t="shared" si="2"/>
        <v>197150</v>
      </c>
      <c r="N128" s="102">
        <f>'Form 1a-ABR Office'!M878</f>
        <v>216000</v>
      </c>
      <c r="P128" s="446"/>
      <c r="Q128" s="446"/>
    </row>
    <row r="129" spans="1:17" ht="18" customHeight="1">
      <c r="A129" s="337"/>
      <c r="B129" s="338"/>
      <c r="C129" s="338"/>
      <c r="D129" s="338" t="s">
        <v>435</v>
      </c>
      <c r="E129" s="338"/>
      <c r="F129" s="391"/>
      <c r="G129" s="386" t="s">
        <v>231</v>
      </c>
      <c r="H129" s="308" t="s">
        <v>285</v>
      </c>
      <c r="I129" s="392"/>
      <c r="J129" s="102">
        <f>'Form 1a-ABR Office'!I244</f>
        <v>274498.5</v>
      </c>
      <c r="K129" s="102">
        <f>'Form 1a-ABR Office'!J244</f>
        <v>272923.01</v>
      </c>
      <c r="L129" s="102">
        <f>'Form 1a-ABR Office'!K244</f>
        <v>7076.9899999999907</v>
      </c>
      <c r="M129" s="102">
        <f t="shared" si="2"/>
        <v>280000</v>
      </c>
      <c r="N129" s="102">
        <f>'Form 1a-ABR Office'!M244</f>
        <v>750000</v>
      </c>
      <c r="P129" s="446"/>
      <c r="Q129" s="446"/>
    </row>
    <row r="130" spans="1:17" ht="18" customHeight="1">
      <c r="A130" s="337"/>
      <c r="B130" s="338"/>
      <c r="C130" s="338"/>
      <c r="D130" s="338" t="s">
        <v>177</v>
      </c>
      <c r="E130" s="338"/>
      <c r="F130" s="391"/>
      <c r="G130" s="386" t="s">
        <v>232</v>
      </c>
      <c r="H130" s="308" t="s">
        <v>274</v>
      </c>
      <c r="I130" s="392"/>
      <c r="J130" s="102">
        <f>SUM('Form 1a-ABR Office'!I49+'Form 1a-ABR Office'!I245+'Form 1a-ABR Office'!I372+'Form 1a-ABR Office'!I557+'Form 1a-ABR Office'!I617+'Form 1a-ABR Office'!I743+'Form 1a-ABR Office'!I808)</f>
        <v>215</v>
      </c>
      <c r="K130" s="102">
        <f>SUM('Form 1a-ABR Office'!J49+'Form 1a-ABR Office'!J245+'Form 1a-ABR Office'!J372+'Form 1a-ABR Office'!J557+'Form 1a-ABR Office'!J617+'Form 1a-ABR Office'!J743+'Form 1a-ABR Office'!J808)</f>
        <v>2800</v>
      </c>
      <c r="L130" s="102">
        <f>SUM('Form 1a-ABR Office'!K49+'Form 1a-ABR Office'!K245+'Form 1a-ABR Office'!K372+'Form 1a-ABR Office'!K557+'Form 1a-ABR Office'!K617+'Form 1a-ABR Office'!K743+'Form 1a-ABR Office'!K808)</f>
        <v>25150</v>
      </c>
      <c r="M130" s="102">
        <f>SUM('Form 1a-ABR Office'!L49+'Form 1a-ABR Office'!L245+'Form 1a-ABR Office'!L372+'Form 1a-ABR Office'!L557+'Form 1a-ABR Office'!L617+'Form 1a-ABR Office'!L743+'Form 1a-ABR Office'!L808)</f>
        <v>27950</v>
      </c>
      <c r="N130" s="102">
        <f>SUM('Form 1a-ABR Office'!M49+'Form 1a-ABR Office'!M245+'Form 1a-ABR Office'!M372+'Form 1a-ABR Office'!M557+'Form 1a-ABR Office'!M617+'Form 1a-ABR Office'!M743+'Form 1a-ABR Office'!M808)</f>
        <v>28700</v>
      </c>
      <c r="P130" s="446"/>
      <c r="Q130" s="446"/>
    </row>
    <row r="131" spans="1:17" ht="18" customHeight="1">
      <c r="A131" s="337"/>
      <c r="B131" s="338"/>
      <c r="C131" s="338"/>
      <c r="D131" s="338" t="s">
        <v>178</v>
      </c>
      <c r="E131" s="338"/>
      <c r="F131" s="391"/>
      <c r="G131" s="386" t="s">
        <v>233</v>
      </c>
      <c r="H131" s="308" t="s">
        <v>275</v>
      </c>
      <c r="I131" s="392"/>
      <c r="J131" s="102">
        <f>'Form 1a-ABR Office'!I246</f>
        <v>60505.05</v>
      </c>
      <c r="K131" s="102">
        <f>'Form 1a-ABR Office'!J246</f>
        <v>92869.46</v>
      </c>
      <c r="L131" s="102">
        <f>'Form 1a-ABR Office'!K246</f>
        <v>3130.5399999999936</v>
      </c>
      <c r="M131" s="102">
        <f t="shared" si="2"/>
        <v>96000</v>
      </c>
      <c r="N131" s="102">
        <f>'Form 1a-ABR Office'!M246</f>
        <v>96000</v>
      </c>
      <c r="P131" s="446"/>
      <c r="Q131" s="446"/>
    </row>
    <row r="132" spans="1:17" ht="18" customHeight="1">
      <c r="A132" s="337"/>
      <c r="B132" s="338"/>
      <c r="C132" s="338"/>
      <c r="D132" s="338" t="s">
        <v>179</v>
      </c>
      <c r="E132" s="338"/>
      <c r="F132" s="391"/>
      <c r="G132" s="386" t="s">
        <v>79</v>
      </c>
      <c r="H132" s="308" t="s">
        <v>275</v>
      </c>
      <c r="I132" s="392"/>
      <c r="J132" s="102">
        <f>SUM('Form 1a-ABR Office'!I50+'Form 1a-ABR Office'!I247+'Form 1a-ABR Office'!I313+'Form 1a-ABR Office'!I373+'Form 1a-ABR Office'!I434+'Form 1a-ABR Office'!I494+'Form 1a-ABR Office'!I558+'Form 1a-ABR Office'!I618+'Form 1a-ABR Office'!I680+'Form 1a-ABR Office'!I744+'Form 1a-ABR Office'!I809+'Form 1a-ABR Office'!I880+'Form 1a-ABR Office'!I1000)</f>
        <v>932399.95</v>
      </c>
      <c r="K132" s="102">
        <f>SUM('Form 1a-ABR Office'!J50+'Form 1a-ABR Office'!J247+'Form 1a-ABR Office'!J313+'Form 1a-ABR Office'!J373+'Form 1a-ABR Office'!J434+'Form 1a-ABR Office'!J494+'Form 1a-ABR Office'!J558+'Form 1a-ABR Office'!J618+'Form 1a-ABR Office'!J680+'Form 1a-ABR Office'!J744+'Form 1a-ABR Office'!J809+'Form 1a-ABR Office'!J880+'Form 1a-ABR Office'!J1000)</f>
        <v>930381.80999999994</v>
      </c>
      <c r="L132" s="102">
        <f>SUM('Form 1a-ABR Office'!K50+'Form 1a-ABR Office'!K247+'Form 1a-ABR Office'!K313+'Form 1a-ABR Office'!K373+'Form 1a-ABR Office'!K434+'Form 1a-ABR Office'!K494+'Form 1a-ABR Office'!K558+'Form 1a-ABR Office'!K618+'Form 1a-ABR Office'!K680+'Form 1a-ABR Office'!K744+'Form 1a-ABR Office'!K809+'Form 1a-ABR Office'!K880+'Form 1a-ABR Office'!K1000)</f>
        <v>66018.19</v>
      </c>
      <c r="M132" s="102">
        <f>SUM('Form 1a-ABR Office'!L50+'Form 1a-ABR Office'!L247+'Form 1a-ABR Office'!L313+'Form 1a-ABR Office'!L373+'Form 1a-ABR Office'!L434+'Form 1a-ABR Office'!L494+'Form 1a-ABR Office'!L558+'Form 1a-ABR Office'!L618+'Form 1a-ABR Office'!L680+'Form 1a-ABR Office'!L744+'Form 1a-ABR Office'!L809+'Form 1a-ABR Office'!L880+'Form 1a-ABR Office'!L1000)</f>
        <v>996400</v>
      </c>
      <c r="N132" s="102">
        <f>SUM('Form 1a-ABR Office'!M50+'Form 1a-ABR Office'!M247+'Form 1a-ABR Office'!M313+'Form 1a-ABR Office'!M373+'Form 1a-ABR Office'!M434+'Form 1a-ABR Office'!M494+'Form 1a-ABR Office'!M558+'Form 1a-ABR Office'!M618+'Form 1a-ABR Office'!M680+'Form 1a-ABR Office'!M744+'Form 1a-ABR Office'!M809+'Form 1a-ABR Office'!M880+'Form 1a-ABR Office'!M1000)</f>
        <v>992400</v>
      </c>
      <c r="P132" s="446"/>
      <c r="Q132" s="446"/>
    </row>
    <row r="133" spans="1:17" ht="18" customHeight="1">
      <c r="A133" s="337"/>
      <c r="B133" s="338"/>
      <c r="C133" s="338"/>
      <c r="D133" s="338" t="s">
        <v>180</v>
      </c>
      <c r="E133" s="338"/>
      <c r="F133" s="391"/>
      <c r="G133" s="386" t="s">
        <v>234</v>
      </c>
      <c r="H133" s="308" t="s">
        <v>286</v>
      </c>
      <c r="I133" s="392"/>
      <c r="J133" s="102">
        <f>'Form 1a-ABR Office'!I248</f>
        <v>839982</v>
      </c>
      <c r="K133" s="102">
        <f>'Form 1a-ABR Office'!J248</f>
        <v>712500</v>
      </c>
      <c r="L133" s="102">
        <f>'Form 1a-ABR Office'!K248</f>
        <v>587500</v>
      </c>
      <c r="M133" s="102">
        <f t="shared" si="2"/>
        <v>1300000</v>
      </c>
      <c r="N133" s="102">
        <f>'Form 1a-ABR Office'!M248</f>
        <v>1300000</v>
      </c>
      <c r="P133" s="446"/>
      <c r="Q133" s="446"/>
    </row>
    <row r="134" spans="1:17" ht="18" customHeight="1">
      <c r="A134" s="337"/>
      <c r="B134" s="338"/>
      <c r="C134" s="338"/>
      <c r="D134" s="338" t="s">
        <v>181</v>
      </c>
      <c r="E134" s="338"/>
      <c r="F134" s="391"/>
      <c r="G134" s="386" t="s">
        <v>235</v>
      </c>
      <c r="H134" s="308" t="s">
        <v>287</v>
      </c>
      <c r="I134" s="392"/>
      <c r="J134" s="102">
        <f>SUM('Form 1a-ABR Office'!I53+'Form 1a-ABR Office'!I249)</f>
        <v>233827</v>
      </c>
      <c r="K134" s="102">
        <f>SUM('Form 1a-ABR Office'!J53+'Form 1a-ABR Office'!J249)</f>
        <v>287019</v>
      </c>
      <c r="L134" s="102">
        <f>SUM('Form 1a-ABR Office'!K53+'Form 1a-ABR Office'!K249)</f>
        <v>2981</v>
      </c>
      <c r="M134" s="102">
        <f>SUM('Form 1a-ABR Office'!L53+'Form 1a-ABR Office'!L249)</f>
        <v>290000</v>
      </c>
      <c r="N134" s="102">
        <f>SUM('Form 1a-ABR Office'!M53+'Form 1a-ABR Office'!M249)</f>
        <v>640000</v>
      </c>
      <c r="P134" s="446"/>
      <c r="Q134" s="446"/>
    </row>
    <row r="135" spans="1:17" ht="18" customHeight="1">
      <c r="A135" s="337"/>
      <c r="B135" s="338"/>
      <c r="C135" s="338"/>
      <c r="D135" s="338" t="s">
        <v>436</v>
      </c>
      <c r="E135" s="338"/>
      <c r="F135" s="391"/>
      <c r="G135" s="386" t="s">
        <v>236</v>
      </c>
      <c r="H135" s="308" t="s">
        <v>288</v>
      </c>
      <c r="I135" s="392"/>
      <c r="J135" s="102">
        <f>'Form 1a-ABR Office'!I250</f>
        <v>173536.82</v>
      </c>
      <c r="K135" s="102">
        <f>'Form 1a-ABR Office'!J250</f>
        <v>96353.12</v>
      </c>
      <c r="L135" s="102">
        <f>'Form 1a-ABR Office'!K250</f>
        <v>46.880000000004657</v>
      </c>
      <c r="M135" s="102">
        <f t="shared" si="2"/>
        <v>96400</v>
      </c>
      <c r="N135" s="102">
        <f>'Form 1a-ABR Office'!M250</f>
        <v>200000</v>
      </c>
      <c r="P135" s="446"/>
      <c r="Q135" s="446"/>
    </row>
    <row r="136" spans="1:17" ht="18" customHeight="1">
      <c r="A136" s="337"/>
      <c r="B136" s="338"/>
      <c r="C136" s="338"/>
      <c r="D136" s="338" t="s">
        <v>437</v>
      </c>
      <c r="E136" s="338"/>
      <c r="F136" s="391"/>
      <c r="G136" s="386" t="s">
        <v>80</v>
      </c>
      <c r="H136" s="308" t="s">
        <v>276</v>
      </c>
      <c r="I136" s="392"/>
      <c r="J136" s="102">
        <f>SUM('Form 1a-ABR Office'!I51+'Form 1a-ABR Office'!I251+'Form 1a-ABR Office'!I314+'Form 1a-ABR Office'!I374+'Form 1a-ABR Office'!I435+'Form 1a-ABR Office'!I495+'Form 1a-ABR Office'!I559+'Form 1a-ABR Office'!I619+'Form 1a-ABR Office'!I681+'Form 1a-ABR Office'!I745+'Form 1a-ABR Office'!I810+'Form 1a-ABR Office'!I881+'Form 1a-ABR Office'!I942+'Form 1a-ABR Office'!I1001)</f>
        <v>380159.43</v>
      </c>
      <c r="K136" s="102">
        <f>SUM('Form 1a-ABR Office'!J51+'Form 1a-ABR Office'!J251+'Form 1a-ABR Office'!J314+'Form 1a-ABR Office'!J374+'Form 1a-ABR Office'!J435+'Form 1a-ABR Office'!J495+'Form 1a-ABR Office'!J559+'Form 1a-ABR Office'!J619+'Form 1a-ABR Office'!J681+'Form 1a-ABR Office'!J745+'Form 1a-ABR Office'!J810+'Form 1a-ABR Office'!J881+'Form 1a-ABR Office'!J942+'Form 1a-ABR Office'!J1001)</f>
        <v>196585</v>
      </c>
      <c r="L136" s="102">
        <f>SUM('Form 1a-ABR Office'!K51+'Form 1a-ABR Office'!K251+'Form 1a-ABR Office'!K314+'Form 1a-ABR Office'!K374+'Form 1a-ABR Office'!K435+'Form 1a-ABR Office'!K495+'Form 1a-ABR Office'!K559+'Form 1a-ABR Office'!K619+'Form 1a-ABR Office'!K681+'Form 1a-ABR Office'!K745+'Form 1a-ABR Office'!K810+'Form 1a-ABR Office'!K881+'Form 1a-ABR Office'!K942+'Form 1a-ABR Office'!K1001)</f>
        <v>186556</v>
      </c>
      <c r="M136" s="102">
        <f>SUM('Form 1a-ABR Office'!L51+'Form 1a-ABR Office'!L251+'Form 1a-ABR Office'!L314+'Form 1a-ABR Office'!L374+'Form 1a-ABR Office'!L435+'Form 1a-ABR Office'!L495+'Form 1a-ABR Office'!L559+'Form 1a-ABR Office'!L619+'Form 1a-ABR Office'!L681+'Form 1a-ABR Office'!L745+'Form 1a-ABR Office'!L810+'Form 1a-ABR Office'!L881+'Form 1a-ABR Office'!L942+'Form 1a-ABR Office'!L1001)</f>
        <v>383141</v>
      </c>
      <c r="N136" s="102">
        <f>SUM('Form 1a-ABR Office'!M51+'Form 1a-ABR Office'!M251+'Form 1a-ABR Office'!M314+'Form 1a-ABR Office'!M374+'Form 1a-ABR Office'!M435+'Form 1a-ABR Office'!M495+'Form 1a-ABR Office'!M559+'Form 1a-ABR Office'!M619+'Form 1a-ABR Office'!M681+'Form 1a-ABR Office'!M745+'Form 1a-ABR Office'!M810+'Form 1a-ABR Office'!M881+'Form 1a-ABR Office'!M942+'Form 1a-ABR Office'!M1001)</f>
        <v>901000</v>
      </c>
      <c r="P136" s="446"/>
      <c r="Q136" s="446"/>
    </row>
    <row r="137" spans="1:17" ht="18" customHeight="1">
      <c r="A137" s="337"/>
      <c r="B137" s="338"/>
      <c r="C137" s="338"/>
      <c r="D137" s="338" t="s">
        <v>451</v>
      </c>
      <c r="E137" s="338"/>
      <c r="F137" s="391"/>
      <c r="G137" s="386"/>
      <c r="H137" s="308" t="s">
        <v>449</v>
      </c>
      <c r="I137" s="392"/>
      <c r="J137" s="102">
        <f>'Form 1a-ABR Office'!I252</f>
        <v>199899.94</v>
      </c>
      <c r="K137" s="102">
        <f>'Form 1a-ABR Office'!J252</f>
        <v>196351.51</v>
      </c>
      <c r="L137" s="102">
        <f>'Form 1a-ABR Office'!K252</f>
        <v>848.48999999999069</v>
      </c>
      <c r="M137" s="102">
        <f t="shared" si="2"/>
        <v>197200</v>
      </c>
      <c r="N137" s="102">
        <f>'Form 1a-ABR Office'!M252</f>
        <v>300000</v>
      </c>
      <c r="P137" s="446"/>
      <c r="Q137" s="446"/>
    </row>
    <row r="138" spans="1:17" ht="18" customHeight="1">
      <c r="A138" s="337"/>
      <c r="B138" s="338"/>
      <c r="C138" s="338"/>
      <c r="D138" s="338" t="s">
        <v>182</v>
      </c>
      <c r="E138" s="338"/>
      <c r="F138" s="338"/>
      <c r="G138" s="339" t="s">
        <v>237</v>
      </c>
      <c r="H138" s="304" t="s">
        <v>289</v>
      </c>
      <c r="I138" s="336"/>
      <c r="J138" s="92">
        <f>'Form 1a-ABR Office'!I52</f>
        <v>46125</v>
      </c>
      <c r="K138" s="92">
        <f>'Form 1a-ABR Office'!J52</f>
        <v>52660</v>
      </c>
      <c r="L138" s="92">
        <f>'Form 1a-ABR Office'!K52</f>
        <v>29941</v>
      </c>
      <c r="M138" s="92">
        <f>'Form 1a-ABR Office'!L52</f>
        <v>82601</v>
      </c>
      <c r="N138" s="92">
        <f>'Form 1a-ABR Office'!M52</f>
        <v>70904</v>
      </c>
      <c r="P138" s="446"/>
      <c r="Q138" s="446"/>
    </row>
    <row r="139" spans="1:17" ht="18" customHeight="1">
      <c r="A139" s="337"/>
      <c r="B139" s="338"/>
      <c r="C139" s="338"/>
      <c r="D139" s="338" t="s">
        <v>183</v>
      </c>
      <c r="E139" s="338"/>
      <c r="F139" s="338"/>
      <c r="G139" s="339" t="s">
        <v>238</v>
      </c>
      <c r="H139" s="304" t="s">
        <v>289</v>
      </c>
      <c r="I139" s="336"/>
      <c r="J139" s="92">
        <f>'Form 1a-ABR Office'!I746+'Form 1a-ABR Office'!I811</f>
        <v>2317021.5</v>
      </c>
      <c r="K139" s="92">
        <f>'Form 1a-ABR Office'!J746+'Form 1a-ABR Office'!J811</f>
        <v>2541572</v>
      </c>
      <c r="L139" s="92">
        <f>'Form 1a-ABR Office'!K746+'Form 1a-ABR Office'!K811</f>
        <v>144200.19999999995</v>
      </c>
      <c r="M139" s="102">
        <f t="shared" si="2"/>
        <v>2685772.2</v>
      </c>
      <c r="N139" s="92">
        <f>'Form 1a-ABR Office'!M746+'Form 1a-ABR Office'!M811</f>
        <v>2812882</v>
      </c>
      <c r="P139" s="446"/>
      <c r="Q139" s="446"/>
    </row>
    <row r="140" spans="1:17" ht="18" customHeight="1">
      <c r="A140" s="337"/>
      <c r="B140" s="338"/>
      <c r="C140" s="338"/>
      <c r="D140" s="338" t="s">
        <v>500</v>
      </c>
      <c r="E140" s="338"/>
      <c r="F140" s="338"/>
      <c r="G140" s="339"/>
      <c r="H140" s="304"/>
      <c r="I140" s="336"/>
      <c r="J140" s="92">
        <f>'Form 1a-ABR Office'!I747+'Form 1a-ABR Office'!I812+'Form 1a-ABR Office'!I879</f>
        <v>10602531.300000001</v>
      </c>
      <c r="K140" s="92">
        <f>'Form 1a-ABR Office'!J747+'Form 1a-ABR Office'!J812+'Form 1a-ABR Office'!J879</f>
        <v>6475724.0499999998</v>
      </c>
      <c r="L140" s="92">
        <f>'Form 1a-ABR Office'!K747+'Form 1a-ABR Office'!K812+'Form 1a-ABR Office'!K879</f>
        <v>959271.45000000019</v>
      </c>
      <c r="M140" s="102">
        <f t="shared" si="2"/>
        <v>7434995.5</v>
      </c>
      <c r="N140" s="92">
        <f>'Form 1a-ABR Office'!M747+'Form 1a-ABR Office'!M812+'Form 1a-ABR Office'!M879</f>
        <v>8300000</v>
      </c>
      <c r="P140" s="446"/>
      <c r="Q140" s="446"/>
    </row>
    <row r="141" spans="1:17" ht="18" customHeight="1">
      <c r="A141" s="337"/>
      <c r="B141" s="338"/>
      <c r="C141" s="338"/>
      <c r="D141" s="338" t="s">
        <v>184</v>
      </c>
      <c r="E141" s="338"/>
      <c r="F141" s="338"/>
      <c r="G141" s="339" t="s">
        <v>239</v>
      </c>
      <c r="H141" s="304" t="s">
        <v>290</v>
      </c>
      <c r="I141" s="336"/>
      <c r="J141" s="92">
        <f>SUM('Form 1a-ABR Office'!I560)</f>
        <v>274053.75</v>
      </c>
      <c r="K141" s="92">
        <f>SUM('Form 1a-ABR Office'!J560)</f>
        <v>270993.13</v>
      </c>
      <c r="L141" s="92">
        <f>SUM('Form 1a-ABR Office'!K560)</f>
        <v>29006.869999999995</v>
      </c>
      <c r="M141" s="92">
        <f>SUM('Form 1a-ABR Office'!L560)</f>
        <v>300000</v>
      </c>
      <c r="N141" s="92">
        <f>SUM('Form 1a-ABR Office'!M560)</f>
        <v>400000</v>
      </c>
      <c r="P141" s="446"/>
      <c r="Q141" s="446"/>
    </row>
    <row r="142" spans="1:17" ht="18" customHeight="1">
      <c r="A142" s="337"/>
      <c r="B142" s="338"/>
      <c r="C142" s="338"/>
      <c r="D142" s="338" t="s">
        <v>185</v>
      </c>
      <c r="E142" s="338"/>
      <c r="F142" s="338"/>
      <c r="G142" s="339" t="s">
        <v>81</v>
      </c>
      <c r="H142" s="304" t="s">
        <v>277</v>
      </c>
      <c r="I142" s="336"/>
      <c r="J142" s="92">
        <f>SUM('Form 1a-ABR Office'!I54+'Form 1a-ABR Office'!I315+'Form 1a-ABR Office'!I375+'Form 1a-ABR Office'!I496+'Form 1a-ABR Office'!I561+'Form 1a-ABR Office'!I620+'Form 1a-ABR Office'!I682+'Form 1a-ABR Office'!I748+'Form 1a-ABR Office'!I813+'Form 1a-ABR Office'!I882+'Form 1a-ABR Office'!I943+'Form 1a-ABR Office'!I1002)</f>
        <v>535317</v>
      </c>
      <c r="K142" s="92">
        <f>SUM('Form 1a-ABR Office'!J54+'Form 1a-ABR Office'!J315+'Form 1a-ABR Office'!J375+'Form 1a-ABR Office'!J496+'Form 1a-ABR Office'!J561+'Form 1a-ABR Office'!J620+'Form 1a-ABR Office'!J682+'Form 1a-ABR Office'!J748+'Form 1a-ABR Office'!J813+'Form 1a-ABR Office'!J882+'Form 1a-ABR Office'!J943+'Form 1a-ABR Office'!J1002)</f>
        <v>450531</v>
      </c>
      <c r="L142" s="92">
        <f>SUM('Form 1a-ABR Office'!K54+'Form 1a-ABR Office'!K315+'Form 1a-ABR Office'!K375+'Form 1a-ABR Office'!K496+'Form 1a-ABR Office'!K561+'Form 1a-ABR Office'!K620+'Form 1a-ABR Office'!K682+'Form 1a-ABR Office'!K748+'Form 1a-ABR Office'!K813+'Form 1a-ABR Office'!K882+'Form 1a-ABR Office'!K943+'Form 1a-ABR Office'!K1002)</f>
        <v>349110</v>
      </c>
      <c r="M142" s="92">
        <f>SUM('Form 1a-ABR Office'!L54+'Form 1a-ABR Office'!L315+'Form 1a-ABR Office'!L375+'Form 1a-ABR Office'!L496+'Form 1a-ABR Office'!L561+'Form 1a-ABR Office'!L620+'Form 1a-ABR Office'!L682+'Form 1a-ABR Office'!L748+'Form 1a-ABR Office'!L813+'Form 1a-ABR Office'!L882+'Form 1a-ABR Office'!L943+'Form 1a-ABR Office'!L1002)</f>
        <v>799641</v>
      </c>
      <c r="N142" s="92">
        <f>SUM('Form 1a-ABR Office'!M54+'Form 1a-ABR Office'!M315+'Form 1a-ABR Office'!M375+'Form 1a-ABR Office'!M496+'Form 1a-ABR Office'!M561+'Form 1a-ABR Office'!M620+'Form 1a-ABR Office'!M682+'Form 1a-ABR Office'!M748+'Form 1a-ABR Office'!M813+'Form 1a-ABR Office'!M882+'Form 1a-ABR Office'!M943+'Form 1a-ABR Office'!M1002)</f>
        <v>620000</v>
      </c>
      <c r="P142" s="446"/>
      <c r="Q142" s="446"/>
    </row>
    <row r="143" spans="1:17" ht="18" customHeight="1">
      <c r="A143" s="337"/>
      <c r="B143" s="338"/>
      <c r="C143" s="338"/>
      <c r="D143" s="57" t="s">
        <v>502</v>
      </c>
      <c r="E143" s="57"/>
      <c r="F143" s="58"/>
      <c r="G143" s="59"/>
      <c r="H143" s="60" t="s">
        <v>277</v>
      </c>
      <c r="I143" s="336"/>
      <c r="J143" s="102">
        <f>SUM('Form 1a-ABR Office'!I55+'Form 1a-ABR Office'!I253+'Form 1a-ABR Office'!I316+'Form 1a-ABR Office'!I376+'Form 1a-ABR Office'!I436+'Form 1a-ABR Office'!I497+'Form 1a-ABR Office'!I562+'Form 1a-ABR Office'!I621+'Form 1a-ABR Office'!I683+'Form 1a-ABR Office'!I749+'Form 1a-ABR Office'!I814+'Form 1a-ABR Office'!I883+'Form 1a-ABR Office'!I944+'Form 1a-ABR Office'!I1003)</f>
        <v>3527083.33</v>
      </c>
      <c r="K143" s="92">
        <f>SUM('Form 1a-ABR Office'!J55+'Form 1a-ABR Office'!J253+'Form 1a-ABR Office'!J316+'Form 1a-ABR Office'!J376+'Form 1a-ABR Office'!J436+'Form 1a-ABR Office'!J497+'Form 1a-ABR Office'!J562+'Form 1a-ABR Office'!J621+'Form 1a-ABR Office'!J683+'Form 1a-ABR Office'!J749+'Form 1a-ABR Office'!J814+'Form 1a-ABR Office'!J883+'Form 1a-ABR Office'!J944+'Form 1a-ABR Office'!J1003)</f>
        <v>0</v>
      </c>
      <c r="L143" s="92">
        <f>SUM('Form 1a-ABR Office'!K55+'Form 1a-ABR Office'!K253+'Form 1a-ABR Office'!K316+'Form 1a-ABR Office'!K376+'Form 1a-ABR Office'!K436+'Form 1a-ABR Office'!K497+'Form 1a-ABR Office'!K562+'Form 1a-ABR Office'!K621+'Form 1a-ABR Office'!K683+'Form 1a-ABR Office'!K749+'Form 1a-ABR Office'!K814+'Form 1a-ABR Office'!K883+'Form 1a-ABR Office'!K944+'Form 1a-ABR Office'!K1003)</f>
        <v>0</v>
      </c>
      <c r="M143" s="92">
        <f>SUM('Form 1a-ABR Office'!L55+'Form 1a-ABR Office'!L253+'Form 1a-ABR Office'!L316+'Form 1a-ABR Office'!L376+'Form 1a-ABR Office'!L436+'Form 1a-ABR Office'!L497+'Form 1a-ABR Office'!L562+'Form 1a-ABR Office'!L621+'Form 1a-ABR Office'!L683+'Form 1a-ABR Office'!L749+'Form 1a-ABR Office'!L814+'Form 1a-ABR Office'!L883+'Form 1a-ABR Office'!L944+'Form 1a-ABR Office'!L1003)</f>
        <v>0</v>
      </c>
      <c r="N143" s="92">
        <f>SUM('Form 1a-ABR Office'!M55+'Form 1a-ABR Office'!M253+'Form 1a-ABR Office'!M316+'Form 1a-ABR Office'!M376+'Form 1a-ABR Office'!M436+'Form 1a-ABR Office'!M497+'Form 1a-ABR Office'!M562+'Form 1a-ABR Office'!M621+'Form 1a-ABR Office'!M683+'Form 1a-ABR Office'!M749+'Form 1a-ABR Office'!M814+'Form 1a-ABR Office'!M883+'Form 1a-ABR Office'!M944+'Form 1a-ABR Office'!M1003)</f>
        <v>0</v>
      </c>
      <c r="P143" s="446"/>
      <c r="Q143" s="446"/>
    </row>
    <row r="144" spans="1:17" ht="18" customHeight="1">
      <c r="A144" s="337"/>
      <c r="B144" s="338"/>
      <c r="C144" s="338"/>
      <c r="D144" s="57" t="s">
        <v>503</v>
      </c>
      <c r="E144" s="57"/>
      <c r="F144" s="58"/>
      <c r="G144" s="59"/>
      <c r="H144" s="60" t="s">
        <v>277</v>
      </c>
      <c r="I144" s="336"/>
      <c r="J144" s="92">
        <f>'Form 1a-ABR Office'!I56</f>
        <v>0</v>
      </c>
      <c r="K144" s="92">
        <f>'Form 1a-ABR Office'!J56</f>
        <v>0</v>
      </c>
      <c r="L144" s="92">
        <f>'Form 1a-ABR Office'!K56</f>
        <v>0</v>
      </c>
      <c r="M144" s="92">
        <f>'Form 1a-ABR Office'!L56</f>
        <v>0</v>
      </c>
      <c r="N144" s="92">
        <f>'Form 1a-ABR Office'!M56</f>
        <v>0</v>
      </c>
      <c r="P144" s="446"/>
      <c r="Q144" s="446"/>
    </row>
    <row r="145" spans="1:30" ht="18" customHeight="1">
      <c r="A145" s="337"/>
      <c r="B145" s="338"/>
      <c r="C145" s="338"/>
      <c r="D145" s="57" t="s">
        <v>590</v>
      </c>
      <c r="E145" s="57"/>
      <c r="F145" s="58"/>
      <c r="G145" s="59"/>
      <c r="H145" s="60" t="s">
        <v>591</v>
      </c>
      <c r="I145" s="336"/>
      <c r="J145" s="92">
        <f>'Form 1a-ABR Office'!I57</f>
        <v>288000</v>
      </c>
      <c r="K145" s="92">
        <f>'Form 1a-ABR Office'!J57</f>
        <v>0</v>
      </c>
      <c r="L145" s="92">
        <f>'Form 1a-ABR Office'!K57</f>
        <v>0</v>
      </c>
      <c r="M145" s="92">
        <f>'Form 1a-ABR Office'!L57</f>
        <v>0</v>
      </c>
      <c r="N145" s="92">
        <f>'Form 1a-ABR Office'!M57</f>
        <v>0</v>
      </c>
      <c r="P145" s="446"/>
      <c r="Q145" s="446"/>
    </row>
    <row r="146" spans="1:30" ht="18" customHeight="1" thickBot="1">
      <c r="A146" s="411"/>
      <c r="B146" s="316"/>
      <c r="C146" s="316"/>
      <c r="D146" s="316" t="s">
        <v>488</v>
      </c>
      <c r="E146" s="316"/>
      <c r="F146" s="316"/>
      <c r="G146" s="412"/>
      <c r="H146" s="413" t="s">
        <v>277</v>
      </c>
      <c r="I146" s="414"/>
      <c r="J146" s="151">
        <f>'Form 1a-ABR Office'!I58</f>
        <v>994000</v>
      </c>
      <c r="K146" s="151">
        <f>'Form 1a-ABR Office'!J58</f>
        <v>819000</v>
      </c>
      <c r="L146" s="151">
        <f>'Form 1a-ABR Office'!K58</f>
        <v>31000</v>
      </c>
      <c r="M146" s="151">
        <f>'Form 1a-ABR Office'!L58</f>
        <v>850000</v>
      </c>
      <c r="N146" s="151">
        <f>'Form 1a-ABR Office'!M58</f>
        <v>0</v>
      </c>
      <c r="P146" s="446"/>
      <c r="Q146" s="446"/>
    </row>
    <row r="147" spans="1:30" s="349" customFormat="1" ht="18" customHeight="1" thickBot="1">
      <c r="A147" s="344"/>
      <c r="B147" s="345"/>
      <c r="C147" s="345"/>
      <c r="D147" s="345" t="s">
        <v>322</v>
      </c>
      <c r="E147" s="345"/>
      <c r="F147" s="345"/>
      <c r="G147" s="415"/>
      <c r="H147" s="306"/>
      <c r="I147" s="347"/>
      <c r="J147" s="97">
        <f>SUM(J122:J146)</f>
        <v>32165910.310000002</v>
      </c>
      <c r="K147" s="97">
        <f t="shared" ref="K147:L147" si="3">SUM(K122:K146)</f>
        <v>25773171.73</v>
      </c>
      <c r="L147" s="97">
        <f t="shared" si="3"/>
        <v>3674894.9700000007</v>
      </c>
      <c r="M147" s="97">
        <f t="shared" ref="M147:N147" si="4">SUM(M122:M146)</f>
        <v>29448066.699999999</v>
      </c>
      <c r="N147" s="97">
        <f t="shared" si="4"/>
        <v>33083262</v>
      </c>
      <c r="P147" s="446"/>
      <c r="Q147" s="446"/>
      <c r="R147" s="310"/>
      <c r="S147" s="310"/>
      <c r="T147" s="310"/>
      <c r="U147" s="310"/>
      <c r="V147" s="310"/>
      <c r="W147" s="310"/>
      <c r="X147" s="310"/>
      <c r="Y147" s="310"/>
      <c r="Z147" s="310"/>
      <c r="AA147" s="310"/>
      <c r="AB147" s="310"/>
      <c r="AC147" s="310"/>
      <c r="AD147" s="310"/>
    </row>
    <row r="148" spans="1:30" ht="13.5" customHeight="1">
      <c r="A148" s="350"/>
      <c r="B148" s="351"/>
      <c r="C148" s="351"/>
      <c r="D148" s="351"/>
      <c r="E148" s="351"/>
      <c r="F148" s="351"/>
      <c r="G148" s="416"/>
      <c r="H148" s="303"/>
      <c r="I148" s="353"/>
      <c r="J148" s="93"/>
      <c r="K148" s="9"/>
      <c r="L148" s="10"/>
      <c r="M148" s="9"/>
      <c r="N148" s="9"/>
    </row>
    <row r="149" spans="1:30" ht="18" customHeight="1">
      <c r="A149" s="340"/>
      <c r="B149" s="417" t="s">
        <v>587</v>
      </c>
      <c r="C149" s="417"/>
      <c r="D149" s="417"/>
      <c r="E149" s="417"/>
      <c r="F149" s="417"/>
      <c r="G149" s="342"/>
      <c r="H149" s="305"/>
      <c r="I149" s="343"/>
      <c r="J149" s="151"/>
      <c r="K149" s="5"/>
      <c r="L149" s="16"/>
      <c r="M149" s="5"/>
      <c r="N149" s="5"/>
    </row>
    <row r="150" spans="1:30" ht="18" hidden="1" customHeight="1">
      <c r="A150" s="337"/>
      <c r="B150" s="338"/>
      <c r="C150" s="338"/>
      <c r="D150" s="57" t="s">
        <v>480</v>
      </c>
      <c r="E150" s="57"/>
      <c r="F150" s="58"/>
      <c r="G150" s="59"/>
      <c r="H150" s="60" t="s">
        <v>479</v>
      </c>
      <c r="I150" s="336"/>
      <c r="J150" s="92">
        <f>'Form 1a-ABR Office'!I64</f>
        <v>0</v>
      </c>
      <c r="K150" s="92">
        <f>'Form 1a-ABR Office'!J64</f>
        <v>0</v>
      </c>
      <c r="L150" s="92">
        <f>'Form 1a-ABR Office'!K64</f>
        <v>0</v>
      </c>
      <c r="M150" s="92">
        <f>'Form 1a-ABR Office'!L64</f>
        <v>0</v>
      </c>
      <c r="N150" s="92">
        <f>'Form 1a-ABR Office'!M64</f>
        <v>0</v>
      </c>
      <c r="P150" s="446"/>
      <c r="Q150" s="446"/>
    </row>
    <row r="151" spans="1:30" ht="18" customHeight="1">
      <c r="A151" s="337"/>
      <c r="B151" s="338"/>
      <c r="C151" s="338"/>
      <c r="D151" s="57" t="s">
        <v>433</v>
      </c>
      <c r="E151" s="57"/>
      <c r="F151" s="58"/>
      <c r="G151" s="59" t="s">
        <v>444</v>
      </c>
      <c r="H151" s="60" t="s">
        <v>434</v>
      </c>
      <c r="I151" s="336"/>
      <c r="J151" s="92">
        <f>SUM('Form 1a-ABR Office'!I65)</f>
        <v>299808.28999999998</v>
      </c>
      <c r="K151" s="92">
        <f>SUM('Form 1a-ABR Office'!J65)</f>
        <v>899543.6</v>
      </c>
      <c r="L151" s="92">
        <f>SUM('Form 1a-ABR Office'!K65)</f>
        <v>456.40000000002328</v>
      </c>
      <c r="M151" s="92">
        <f>SUM('Form 1a-ABR Office'!L65)</f>
        <v>900000</v>
      </c>
      <c r="N151" s="92">
        <f>SUM('Form 1a-ABR Office'!M65)</f>
        <v>1000000</v>
      </c>
      <c r="P151" s="446"/>
      <c r="Q151" s="446"/>
    </row>
    <row r="152" spans="1:30" ht="18" customHeight="1">
      <c r="A152" s="337"/>
      <c r="B152" s="338"/>
      <c r="C152" s="338"/>
      <c r="D152" s="57" t="s">
        <v>464</v>
      </c>
      <c r="E152" s="57"/>
      <c r="F152" s="58"/>
      <c r="G152" s="59"/>
      <c r="H152" s="60" t="s">
        <v>443</v>
      </c>
      <c r="I152" s="336"/>
      <c r="J152" s="92">
        <f>SUM('Form 1a-ABR Office'!I754)</f>
        <v>1499571.85</v>
      </c>
      <c r="K152" s="92">
        <f>SUM('Form 1a-ABR Office'!J754)</f>
        <v>0</v>
      </c>
      <c r="L152" s="92">
        <f>SUM('Form 1a-ABR Office'!K754)</f>
        <v>0</v>
      </c>
      <c r="M152" s="92">
        <f>SUM('Form 1a-ABR Office'!L754)</f>
        <v>0</v>
      </c>
      <c r="N152" s="92">
        <f>SUM('Form 1a-ABR Office'!M754)</f>
        <v>0</v>
      </c>
      <c r="P152" s="446"/>
      <c r="Q152" s="446"/>
    </row>
    <row r="153" spans="1:30" ht="18" customHeight="1">
      <c r="A153" s="337"/>
      <c r="B153" s="338"/>
      <c r="C153" s="338"/>
      <c r="D153" s="271" t="s">
        <v>610</v>
      </c>
      <c r="E153" s="271"/>
      <c r="F153" s="272"/>
      <c r="G153" s="273"/>
      <c r="H153" s="275" t="s">
        <v>443</v>
      </c>
      <c r="I153" s="336"/>
      <c r="J153" s="92">
        <f>SUM('Form 1a-ABR Office'!I820)</f>
        <v>0</v>
      </c>
      <c r="K153" s="92">
        <f>SUM('Form 1a-ABR Office'!J820)</f>
        <v>0</v>
      </c>
      <c r="L153" s="92">
        <f>SUM('Form 1a-ABR Office'!K820)</f>
        <v>0</v>
      </c>
      <c r="M153" s="92">
        <f>SUM('Form 1a-ABR Office'!L820)</f>
        <v>0</v>
      </c>
      <c r="N153" s="92">
        <f>SUM('Form 1a-ABR Office'!M820)</f>
        <v>1700000</v>
      </c>
      <c r="P153" s="446"/>
      <c r="Q153" s="446"/>
    </row>
    <row r="154" spans="1:30" ht="18" customHeight="1">
      <c r="A154" s="337"/>
      <c r="B154" s="338"/>
      <c r="C154" s="338"/>
      <c r="D154" s="271" t="s">
        <v>634</v>
      </c>
      <c r="E154" s="271"/>
      <c r="F154" s="272"/>
      <c r="G154" s="273"/>
      <c r="H154" s="275"/>
      <c r="I154" s="336"/>
      <c r="J154" s="92"/>
      <c r="K154" s="92">
        <f>'Form 1a-ABR Office'!J821</f>
        <v>999817.56</v>
      </c>
      <c r="L154" s="92">
        <f>'Form 1a-ABR Office'!K821</f>
        <v>182.43999999994412</v>
      </c>
      <c r="M154" s="92">
        <f>'Form 1a-ABR Office'!L821</f>
        <v>1000000</v>
      </c>
      <c r="N154" s="92">
        <f>'Form 1a-ABR Office'!M821</f>
        <v>0</v>
      </c>
      <c r="P154" s="446"/>
      <c r="Q154" s="446"/>
    </row>
    <row r="155" spans="1:30" ht="18" customHeight="1">
      <c r="A155" s="337"/>
      <c r="B155" s="338"/>
      <c r="C155" s="338"/>
      <c r="D155" s="57" t="s">
        <v>256</v>
      </c>
      <c r="E155" s="57"/>
      <c r="F155" s="58"/>
      <c r="G155" s="59" t="s">
        <v>409</v>
      </c>
      <c r="H155" s="60" t="s">
        <v>410</v>
      </c>
      <c r="I155" s="336"/>
      <c r="J155" s="92">
        <f>SUM('Form 1a-ABR Office'!I61+'Form 1a-ABR Office'!I439+'Form 1a-ABR Office'!I500+'Form 1a-ABR Office'!I565+'Form 1a-ABR Office'!I752+'Form 1a-ABR Office'!I817+'Form 1a-ABR Office'!I886+'Form 1a-ABR Office'!I1006)</f>
        <v>2024197</v>
      </c>
      <c r="K155" s="92">
        <f>SUM('Form 1a-ABR Office'!J61+'Form 1a-ABR Office'!J439+'Form 1a-ABR Office'!J500+'Form 1a-ABR Office'!J565+'Form 1a-ABR Office'!J752+'Form 1a-ABR Office'!J817+'Form 1a-ABR Office'!J886+'Form 1a-ABR Office'!J1006)</f>
        <v>65004.5</v>
      </c>
      <c r="L155" s="92">
        <f>SUM('Form 1a-ABR Office'!K61+'Form 1a-ABR Office'!K439+'Form 1a-ABR Office'!K500+'Form 1a-ABR Office'!K565+'Form 1a-ABR Office'!K752+'Form 1a-ABR Office'!K817+'Form 1a-ABR Office'!K886+'Form 1a-ABR Office'!K1006)</f>
        <v>0</v>
      </c>
      <c r="M155" s="92">
        <f>SUM('Form 1a-ABR Office'!L61+'Form 1a-ABR Office'!L439+'Form 1a-ABR Office'!L500+'Form 1a-ABR Office'!L565+'Form 1a-ABR Office'!L752+'Form 1a-ABR Office'!L817+'Form 1a-ABR Office'!L886+'Form 1a-ABR Office'!L1006)</f>
        <v>65004.5</v>
      </c>
      <c r="N155" s="92">
        <f>SUM('Form 1a-ABR Office'!M61+'Form 1a-ABR Office'!M439+'Form 1a-ABR Office'!M500+'Form 1a-ABR Office'!M565+'Form 1a-ABR Office'!M752+'Form 1a-ABR Office'!M817+'Form 1a-ABR Office'!M886+'Form 1a-ABR Office'!M1006)</f>
        <v>850000</v>
      </c>
      <c r="O155" s="100">
        <f>SUM('Form 1a-ABR Office'!N61+'Form 1a-ABR Office'!N439+'Form 1a-ABR Office'!N500+'Form 1a-ABR Office'!N565+'Form 1a-ABR Office'!N752+'Form 1a-ABR Office'!N817+'Form 1a-ABR Office'!N886+'Form 1a-ABR Office'!N1006)</f>
        <v>0</v>
      </c>
      <c r="P155" s="446"/>
      <c r="Q155" s="446"/>
    </row>
    <row r="156" spans="1:30" ht="18" customHeight="1">
      <c r="A156" s="337"/>
      <c r="B156" s="338"/>
      <c r="C156" s="338"/>
      <c r="D156" s="57" t="s">
        <v>408</v>
      </c>
      <c r="E156" s="57"/>
      <c r="F156" s="58"/>
      <c r="G156" s="59" t="s">
        <v>411</v>
      </c>
      <c r="H156" s="60" t="s">
        <v>481</v>
      </c>
      <c r="I156" s="336"/>
      <c r="J156" s="92">
        <f>SUM('Form 1a-ABR Office'!I379+'Form 1a-ABR Office'!I501+'Form 1a-ABR Office'!I566+'Form 1a-ABR Office'!I625+'Form 1a-ABR Office'!I687+'Form 1a-ABR Office'!I818+'Form 1a-ABR Office'!I887+'Form 1a-ABR Office'!I948)</f>
        <v>629056</v>
      </c>
      <c r="K156" s="92">
        <f>SUM('Form 1a-ABR Office'!J379+'Form 1a-ABR Office'!J501+'Form 1a-ABR Office'!J566+'Form 1a-ABR Office'!J625+'Form 1a-ABR Office'!J687+'Form 1a-ABR Office'!J818+'Form 1a-ABR Office'!J887+'Form 1a-ABR Office'!J948)</f>
        <v>0</v>
      </c>
      <c r="L156" s="92">
        <f>SUM('Form 1a-ABR Office'!K379+'Form 1a-ABR Office'!K501+'Form 1a-ABR Office'!K566+'Form 1a-ABR Office'!K625+'Form 1a-ABR Office'!K687+'Form 1a-ABR Office'!K818+'Form 1a-ABR Office'!K887+'Form 1a-ABR Office'!K948)</f>
        <v>0</v>
      </c>
      <c r="M156" s="92">
        <f>SUM('Form 1a-ABR Office'!L379+'Form 1a-ABR Office'!L501+'Form 1a-ABR Office'!L566+'Form 1a-ABR Office'!L625+'Form 1a-ABR Office'!L687+'Form 1a-ABR Office'!L818+'Form 1a-ABR Office'!L887+'Form 1a-ABR Office'!L948)</f>
        <v>0</v>
      </c>
      <c r="N156" s="92">
        <f>SUM('Form 1a-ABR Office'!M379+'Form 1a-ABR Office'!M501+'Form 1a-ABR Office'!M566+'Form 1a-ABR Office'!M625+'Form 1a-ABR Office'!M687+'Form 1a-ABR Office'!M818+'Form 1a-ABR Office'!M887+'Form 1a-ABR Office'!M948)</f>
        <v>430000</v>
      </c>
      <c r="P156" s="446"/>
      <c r="Q156" s="446"/>
    </row>
    <row r="157" spans="1:30" ht="18" customHeight="1">
      <c r="A157" s="337"/>
      <c r="B157" s="338"/>
      <c r="C157" s="338"/>
      <c r="D157" s="57" t="s">
        <v>416</v>
      </c>
      <c r="E157" s="57"/>
      <c r="F157" s="58"/>
      <c r="G157" s="59" t="s">
        <v>430</v>
      </c>
      <c r="H157" s="60" t="s">
        <v>417</v>
      </c>
      <c r="I157" s="336"/>
      <c r="J157" s="92">
        <f>SUM('Form 1a-ABR Office'!I321)</f>
        <v>0</v>
      </c>
      <c r="K157" s="92">
        <f>SUM('Form 1a-ABR Office'!J321)</f>
        <v>0</v>
      </c>
      <c r="L157" s="92">
        <f>SUM('Form 1a-ABR Office'!K321)</f>
        <v>0</v>
      </c>
      <c r="M157" s="92">
        <f>SUM('Form 1a-ABR Office'!L321)</f>
        <v>0</v>
      </c>
      <c r="N157" s="92">
        <f>SUM('Form 1a-ABR Office'!M321)</f>
        <v>0</v>
      </c>
      <c r="P157" s="446"/>
      <c r="Q157" s="446"/>
    </row>
    <row r="158" spans="1:30" ht="18" customHeight="1">
      <c r="A158" s="337"/>
      <c r="B158" s="338"/>
      <c r="C158" s="338"/>
      <c r="D158" s="57" t="s">
        <v>415</v>
      </c>
      <c r="E158" s="57"/>
      <c r="F158" s="58"/>
      <c r="G158" s="59" t="s">
        <v>440</v>
      </c>
      <c r="H158" s="60" t="s">
        <v>418</v>
      </c>
      <c r="I158" s="336"/>
      <c r="J158" s="92">
        <f>SUM('Form 1a-ABR Office'!I62+'Form 1a-ABR Office'!I256)</f>
        <v>9474800</v>
      </c>
      <c r="K158" s="92">
        <f>SUM('Form 1a-ABR Office'!J62+'Form 1a-ABR Office'!J256)</f>
        <v>1000000</v>
      </c>
      <c r="L158" s="92">
        <f>SUM('Form 1a-ABR Office'!K62+'Form 1a-ABR Office'!K256)</f>
        <v>0</v>
      </c>
      <c r="M158" s="92">
        <f>SUM('Form 1a-ABR Office'!L62+'Form 1a-ABR Office'!L256)</f>
        <v>1000000</v>
      </c>
      <c r="N158" s="92">
        <f>SUM('Form 1a-ABR Office'!M62+'Form 1a-ABR Office'!M256)</f>
        <v>1800000</v>
      </c>
      <c r="P158" s="446"/>
      <c r="Q158" s="446"/>
    </row>
    <row r="159" spans="1:30" ht="18" customHeight="1">
      <c r="A159" s="337"/>
      <c r="B159" s="338"/>
      <c r="C159" s="338"/>
      <c r="D159" s="57" t="s">
        <v>635</v>
      </c>
      <c r="E159" s="57"/>
      <c r="F159" s="58"/>
      <c r="G159" s="59"/>
      <c r="H159" s="60"/>
      <c r="I159" s="336"/>
      <c r="J159" s="92"/>
      <c r="K159" s="92">
        <f>'Form 1a-ABR Office'!J822</f>
        <v>1990000</v>
      </c>
      <c r="L159" s="92">
        <f>'Form 1a-ABR Office'!K822</f>
        <v>10000</v>
      </c>
      <c r="M159" s="92">
        <f>'Form 1a-ABR Office'!L822</f>
        <v>2000000</v>
      </c>
      <c r="N159" s="92">
        <f>'Form 1a-ABR Office'!M822</f>
        <v>0</v>
      </c>
      <c r="P159" s="446"/>
      <c r="Q159" s="446"/>
    </row>
    <row r="160" spans="1:30" ht="18" customHeight="1">
      <c r="A160" s="337"/>
      <c r="B160" s="338"/>
      <c r="C160" s="338"/>
      <c r="D160" s="57" t="s">
        <v>630</v>
      </c>
      <c r="E160" s="57"/>
      <c r="F160" s="58"/>
      <c r="G160" s="59"/>
      <c r="H160" s="60" t="s">
        <v>631</v>
      </c>
      <c r="I160" s="336"/>
      <c r="J160" s="92"/>
      <c r="K160" s="92">
        <f>'Form 1a-ABR Office'!J823</f>
        <v>1498000</v>
      </c>
      <c r="L160" s="92">
        <f>'Form 1a-ABR Office'!K823</f>
        <v>2000</v>
      </c>
      <c r="M160" s="92">
        <f>'Form 1a-ABR Office'!L823</f>
        <v>1500000</v>
      </c>
      <c r="N160" s="92"/>
      <c r="P160" s="446"/>
      <c r="Q160" s="446"/>
    </row>
    <row r="161" spans="1:30" ht="18" customHeight="1">
      <c r="A161" s="337"/>
      <c r="B161" s="338"/>
      <c r="C161" s="338"/>
      <c r="D161" s="57" t="s">
        <v>492</v>
      </c>
      <c r="E161" s="57"/>
      <c r="F161" s="58"/>
      <c r="G161" s="59" t="s">
        <v>413</v>
      </c>
      <c r="H161" s="60" t="s">
        <v>414</v>
      </c>
      <c r="I161" s="336"/>
      <c r="J161" s="92">
        <f>SUM('Form 1a-ABR Office'!I756+'Form 1a-ABR Office'!I819)</f>
        <v>267069</v>
      </c>
      <c r="K161" s="92">
        <f>SUM('Form 1a-ABR Office'!J756+'Form 1a-ABR Office'!J819)</f>
        <v>0</v>
      </c>
      <c r="L161" s="92">
        <f>SUM('Form 1a-ABR Office'!K756+'Form 1a-ABR Office'!K819)</f>
        <v>0</v>
      </c>
      <c r="M161" s="92">
        <f>SUM('Form 1a-ABR Office'!L756+'Form 1a-ABR Office'!L819)</f>
        <v>0</v>
      </c>
      <c r="N161" s="92">
        <f>SUM('Form 1a-ABR Office'!M756+'Form 1a-ABR Office'!M819)</f>
        <v>60000</v>
      </c>
      <c r="P161" s="446"/>
      <c r="Q161" s="446"/>
    </row>
    <row r="162" spans="1:30" ht="18" customHeight="1" thickBot="1">
      <c r="A162" s="337"/>
      <c r="B162" s="338"/>
      <c r="C162" s="338"/>
      <c r="D162" s="460"/>
      <c r="E162" s="57"/>
      <c r="F162" s="58"/>
      <c r="G162" s="59"/>
      <c r="H162" s="60"/>
      <c r="I162" s="336"/>
      <c r="J162" s="92"/>
      <c r="K162" s="92"/>
      <c r="L162" s="92"/>
      <c r="M162" s="102"/>
      <c r="N162" s="92"/>
      <c r="P162" s="446"/>
      <c r="Q162" s="446"/>
    </row>
    <row r="163" spans="1:30" ht="18" customHeight="1" thickBot="1">
      <c r="A163" s="387"/>
      <c r="B163" s="418"/>
      <c r="C163" s="418"/>
      <c r="D163" s="345" t="s">
        <v>323</v>
      </c>
      <c r="E163" s="418"/>
      <c r="F163" s="418"/>
      <c r="G163" s="419"/>
      <c r="H163" s="420"/>
      <c r="I163" s="421"/>
      <c r="J163" s="97">
        <f>SUM(J150:J162)</f>
        <v>14194502.140000001</v>
      </c>
      <c r="K163" s="97">
        <f>SUM(K150:K162)</f>
        <v>6452365.6600000001</v>
      </c>
      <c r="L163" s="97">
        <f>SUM(L150:L162)</f>
        <v>12638.839999999967</v>
      </c>
      <c r="M163" s="97">
        <f>SUM(M150:M162)</f>
        <v>6465004.5</v>
      </c>
      <c r="N163" s="97">
        <f>SUM(N150:N162)</f>
        <v>5840000</v>
      </c>
      <c r="P163" s="446"/>
      <c r="Q163" s="446"/>
    </row>
    <row r="164" spans="1:30" ht="18" customHeight="1" thickBot="1">
      <c r="A164" s="387"/>
      <c r="B164" s="345" t="s">
        <v>588</v>
      </c>
      <c r="C164" s="418"/>
      <c r="D164" s="345"/>
      <c r="E164" s="418"/>
      <c r="F164" s="418"/>
      <c r="G164" s="419"/>
      <c r="H164" s="420"/>
      <c r="I164" s="421"/>
      <c r="J164" s="97">
        <v>0</v>
      </c>
      <c r="K164" s="97">
        <v>0</v>
      </c>
      <c r="L164" s="97">
        <v>0</v>
      </c>
      <c r="M164" s="97">
        <v>0</v>
      </c>
      <c r="N164" s="97">
        <v>0</v>
      </c>
      <c r="P164" s="446"/>
      <c r="Q164" s="446"/>
    </row>
    <row r="165" spans="1:30" ht="6" customHeight="1">
      <c r="A165" s="350"/>
      <c r="B165" s="351"/>
      <c r="C165" s="351"/>
      <c r="D165" s="380"/>
      <c r="E165" s="351"/>
      <c r="F165" s="351"/>
      <c r="G165" s="416"/>
      <c r="H165" s="303"/>
      <c r="I165" s="353"/>
      <c r="J165" s="157"/>
      <c r="K165" s="17"/>
      <c r="L165" s="18"/>
      <c r="M165" s="17"/>
      <c r="N165" s="17"/>
      <c r="P165" s="446"/>
      <c r="Q165" s="446"/>
    </row>
    <row r="166" spans="1:30" ht="18" customHeight="1">
      <c r="A166" s="337"/>
      <c r="B166" s="334" t="s">
        <v>187</v>
      </c>
      <c r="C166" s="338"/>
      <c r="D166" s="338"/>
      <c r="E166" s="338"/>
      <c r="F166" s="338"/>
      <c r="G166" s="339"/>
      <c r="H166" s="304"/>
      <c r="I166" s="336"/>
      <c r="J166" s="92"/>
      <c r="K166" s="11"/>
      <c r="L166" s="12"/>
      <c r="M166" s="11"/>
      <c r="N166" s="11"/>
      <c r="P166" s="446"/>
      <c r="Q166" s="446"/>
    </row>
    <row r="167" spans="1:30" ht="18" customHeight="1">
      <c r="A167" s="337"/>
      <c r="B167" s="338"/>
      <c r="C167" s="338"/>
      <c r="D167" s="338" t="s">
        <v>188</v>
      </c>
      <c r="E167" s="338"/>
      <c r="F167" s="338"/>
      <c r="G167" s="339"/>
      <c r="H167" s="304"/>
      <c r="I167" s="336"/>
      <c r="J167" s="92">
        <f>'Form 1a-ABR Office'!I117</f>
        <v>40340706.640000001</v>
      </c>
      <c r="K167" s="92">
        <f>'Form 1a-ABR Office'!J117</f>
        <v>33670422.260000005</v>
      </c>
      <c r="L167" s="92">
        <f>'Form 1a-ABR Office'!K117</f>
        <v>5334443.1899999976</v>
      </c>
      <c r="M167" s="92">
        <f>'Form 1a-ABR Office'!L117</f>
        <v>39004865.450000003</v>
      </c>
      <c r="N167" s="92">
        <f>'Form 1a-ABR Office'!M117</f>
        <v>39853711.600000001</v>
      </c>
      <c r="P167" s="446"/>
      <c r="Q167" s="446"/>
    </row>
    <row r="168" spans="1:30" ht="18" customHeight="1">
      <c r="A168" s="337"/>
      <c r="B168" s="338"/>
      <c r="C168" s="338"/>
      <c r="D168" s="338" t="s">
        <v>105</v>
      </c>
      <c r="E168" s="338"/>
      <c r="F168" s="338"/>
      <c r="G168" s="335"/>
      <c r="H168" s="304"/>
      <c r="I168" s="336"/>
      <c r="J168" s="92">
        <f>'Form 1a-ABR Office'!I118</f>
        <v>6431158.3600000003</v>
      </c>
      <c r="K168" s="92">
        <f>'Form 1a-ABR Office'!J118</f>
        <v>4753177.07</v>
      </c>
      <c r="L168" s="92">
        <f>'Form 1a-ABR Office'!K118</f>
        <v>5610988.6799999997</v>
      </c>
      <c r="M168" s="92">
        <f>'Form 1a-ABR Office'!L118</f>
        <v>10364165.75</v>
      </c>
      <c r="N168" s="92">
        <f>'Form 1a-ABR Office'!M118</f>
        <v>10932427.9</v>
      </c>
      <c r="P168" s="446"/>
      <c r="Q168" s="446"/>
    </row>
    <row r="169" spans="1:30" ht="18" customHeight="1">
      <c r="A169" s="337"/>
      <c r="B169" s="338"/>
      <c r="C169" s="338"/>
      <c r="D169" s="338" t="s">
        <v>189</v>
      </c>
      <c r="E169" s="338"/>
      <c r="F169" s="338"/>
      <c r="G169" s="335"/>
      <c r="H169" s="304"/>
      <c r="I169" s="336"/>
      <c r="J169" s="92">
        <f>'Form 1a-ABR Office'!I119</f>
        <v>21000</v>
      </c>
      <c r="K169" s="92">
        <f>'Form 1a-ABR Office'!J119</f>
        <v>21000</v>
      </c>
      <c r="L169" s="92">
        <f>'Form 1a-ABR Office'!K119</f>
        <v>0</v>
      </c>
      <c r="M169" s="92">
        <f>'Form 1a-ABR Office'!L119</f>
        <v>21000</v>
      </c>
      <c r="N169" s="92">
        <f>'Form 1a-ABR Office'!M119</f>
        <v>21000</v>
      </c>
      <c r="P169" s="446"/>
      <c r="Q169" s="446"/>
    </row>
    <row r="170" spans="1:30" ht="18" customHeight="1" thickBot="1">
      <c r="A170" s="340"/>
      <c r="B170" s="341"/>
      <c r="C170" s="341"/>
      <c r="D170" s="341" t="s">
        <v>190</v>
      </c>
      <c r="E170" s="341"/>
      <c r="F170" s="341"/>
      <c r="G170" s="378"/>
      <c r="H170" s="305"/>
      <c r="I170" s="343"/>
      <c r="J170" s="151">
        <f>'Form 1a-ABR Office'!I127+'Form 1a-ABR Office'!I190+'Form 1a-ABR Office'!I384-J167-J168-J169</f>
        <v>59307288.520000011</v>
      </c>
      <c r="K170" s="151">
        <f>'Form 1a-ABR Office'!J127+'Form 1a-ABR Office'!J190+'Form 1a-ABR Office'!J384-K167-K168-K169</f>
        <v>48410085.420000009</v>
      </c>
      <c r="L170" s="151">
        <f>'Form 1a-ABR Office'!K127+'Form 1a-ABR Office'!K190+'Form 1a-ABR Office'!K384-L167-L168-L169</f>
        <v>4290866.8500000034</v>
      </c>
      <c r="M170" s="151">
        <f>'Form 1a-ABR Office'!L127+'Form 1a-ABR Office'!L190+'Form 1a-ABR Office'!L384-M167-M168-M169</f>
        <v>52700952.269999996</v>
      </c>
      <c r="N170" s="151">
        <f>'Form 1a-ABR Office'!M127+'Form 1a-ABR Office'!M190+'Form 1a-ABR Office'!M384-N167-N168-N169</f>
        <v>50830097.159999996</v>
      </c>
      <c r="P170" s="446"/>
      <c r="Q170" s="446"/>
    </row>
    <row r="171" spans="1:30" s="349" customFormat="1" ht="18" customHeight="1" thickBot="1">
      <c r="A171" s="344"/>
      <c r="B171" s="345"/>
      <c r="C171" s="345"/>
      <c r="D171" s="345"/>
      <c r="E171" s="345"/>
      <c r="F171" s="450" t="s">
        <v>74</v>
      </c>
      <c r="G171" s="346"/>
      <c r="H171" s="306"/>
      <c r="I171" s="347"/>
      <c r="J171" s="97">
        <f>SUM(J119+J147+J163+J167+J168+J169+J170)</f>
        <v>231311195.77000001</v>
      </c>
      <c r="K171" s="97">
        <f>SUM(K119+K147+K163+K167+K168+K169+K170)</f>
        <v>195410473.07000002</v>
      </c>
      <c r="L171" s="97">
        <f>SUM(L119+L147+L163+L167+L168+L169+L170)</f>
        <v>24659885.403999999</v>
      </c>
      <c r="M171" s="97">
        <f>SUM(M119+M147+M163+M167+M168+M169+M170)</f>
        <v>220070358.47399998</v>
      </c>
      <c r="N171" s="97">
        <f>SUM(N119+N147+N163+N167+N168+N169+N170)</f>
        <v>218638986.46000001</v>
      </c>
      <c r="P171" s="446"/>
      <c r="Q171" s="446"/>
      <c r="R171" s="310"/>
      <c r="S171" s="310"/>
      <c r="T171" s="310"/>
      <c r="U171" s="310"/>
      <c r="V171" s="310"/>
      <c r="W171" s="310"/>
      <c r="X171" s="310"/>
      <c r="Y171" s="310"/>
      <c r="Z171" s="310"/>
      <c r="AA171" s="310"/>
      <c r="AB171" s="310"/>
      <c r="AC171" s="310"/>
      <c r="AD171" s="310"/>
    </row>
    <row r="172" spans="1:30" s="349" customFormat="1" ht="18" customHeight="1">
      <c r="A172" s="355"/>
      <c r="B172" s="355"/>
      <c r="C172" s="355"/>
      <c r="D172" s="355"/>
      <c r="E172" s="355"/>
      <c r="F172" s="454"/>
      <c r="G172" s="370"/>
      <c r="H172" s="356"/>
      <c r="I172" s="357"/>
      <c r="J172" s="154"/>
      <c r="K172" s="154"/>
      <c r="L172" s="154"/>
      <c r="M172" s="154"/>
      <c r="N172" s="154"/>
      <c r="P172" s="310"/>
      <c r="Q172" s="310"/>
      <c r="R172" s="310"/>
      <c r="S172" s="310"/>
      <c r="T172" s="310"/>
      <c r="U172" s="310"/>
      <c r="V172" s="310"/>
      <c r="W172" s="310"/>
      <c r="X172" s="310"/>
      <c r="Y172" s="310"/>
      <c r="Z172" s="310"/>
      <c r="AA172" s="310"/>
      <c r="AB172" s="310"/>
      <c r="AC172" s="310"/>
      <c r="AD172" s="310"/>
    </row>
    <row r="173" spans="1:30" s="349" customFormat="1" ht="18" customHeight="1">
      <c r="A173" s="551" t="s">
        <v>578</v>
      </c>
      <c r="B173" s="551"/>
      <c r="C173" s="551"/>
      <c r="D173" s="551"/>
      <c r="E173" s="551"/>
      <c r="F173" s="551"/>
      <c r="G173" s="370"/>
      <c r="H173" s="552" t="s">
        <v>602</v>
      </c>
      <c r="I173" s="552"/>
      <c r="J173" s="552"/>
      <c r="K173" s="552" t="s">
        <v>603</v>
      </c>
      <c r="L173" s="552"/>
      <c r="M173" s="552"/>
      <c r="N173" s="552"/>
      <c r="P173" s="310"/>
      <c r="Q173" s="310"/>
      <c r="R173" s="310"/>
      <c r="S173" s="310"/>
      <c r="T173" s="310"/>
      <c r="U173" s="310"/>
      <c r="V173" s="310"/>
      <c r="W173" s="310"/>
      <c r="X173" s="310"/>
      <c r="Y173" s="310"/>
      <c r="Z173" s="310"/>
      <c r="AA173" s="310"/>
      <c r="AB173" s="310"/>
      <c r="AC173" s="310"/>
      <c r="AD173" s="310"/>
    </row>
    <row r="174" spans="1:30" s="349" customFormat="1" ht="18" customHeight="1">
      <c r="A174" s="551"/>
      <c r="B174" s="551"/>
      <c r="C174" s="551"/>
      <c r="D174" s="551"/>
      <c r="E174" s="551"/>
      <c r="F174" s="551"/>
      <c r="G174" s="370"/>
      <c r="H174" s="552"/>
      <c r="I174" s="552"/>
      <c r="J174" s="552"/>
      <c r="K174" s="552"/>
      <c r="L174" s="552"/>
      <c r="M174" s="552"/>
      <c r="N174" s="552"/>
      <c r="P174" s="310"/>
      <c r="Q174" s="310"/>
      <c r="R174" s="310"/>
      <c r="S174" s="310"/>
      <c r="T174" s="310"/>
      <c r="U174" s="310"/>
      <c r="V174" s="310"/>
      <c r="W174" s="310"/>
      <c r="X174" s="310"/>
      <c r="Y174" s="310"/>
      <c r="Z174" s="310"/>
      <c r="AA174" s="310"/>
      <c r="AB174" s="310"/>
      <c r="AC174" s="310"/>
      <c r="AD174" s="310"/>
    </row>
    <row r="175" spans="1:30" s="349" customFormat="1" ht="18" customHeight="1">
      <c r="A175" s="355"/>
      <c r="B175" s="355"/>
      <c r="C175" s="355"/>
      <c r="D175" s="355"/>
      <c r="E175" s="355"/>
      <c r="F175" s="454"/>
      <c r="G175" s="370"/>
      <c r="H175" s="356"/>
      <c r="I175" s="357"/>
      <c r="J175" s="154"/>
      <c r="K175" s="154"/>
      <c r="L175" s="154"/>
      <c r="M175" s="154"/>
      <c r="N175" s="154"/>
      <c r="P175" s="310"/>
      <c r="Q175" s="310"/>
      <c r="R175" s="310"/>
      <c r="S175" s="310"/>
      <c r="T175" s="310"/>
      <c r="U175" s="310"/>
      <c r="V175" s="310"/>
      <c r="W175" s="310"/>
      <c r="X175" s="310"/>
      <c r="Y175" s="310"/>
      <c r="Z175" s="310"/>
      <c r="AA175" s="310"/>
      <c r="AB175" s="310"/>
      <c r="AC175" s="310"/>
      <c r="AD175" s="310"/>
    </row>
    <row r="176" spans="1:30" ht="18" customHeight="1">
      <c r="B176" s="349"/>
      <c r="H176" s="359"/>
      <c r="I176" s="422"/>
      <c r="J176" s="359"/>
      <c r="K176" s="19"/>
      <c r="L176" s="20"/>
      <c r="M176" s="20"/>
      <c r="N176" s="19"/>
    </row>
    <row r="177" spans="1:30" ht="18" hidden="1" customHeight="1">
      <c r="J177" s="161">
        <v>172385776.63999999</v>
      </c>
      <c r="K177" s="161">
        <v>231311195.77000004</v>
      </c>
      <c r="L177" s="360">
        <v>20958937.760000002</v>
      </c>
      <c r="M177" s="360">
        <v>252270133.53</v>
      </c>
      <c r="N177" s="161">
        <v>203126352.77000001</v>
      </c>
    </row>
    <row r="178" spans="1:30" ht="18" hidden="1" customHeight="1">
      <c r="J178" s="446">
        <f>J177-J171</f>
        <v>-58925419.130000025</v>
      </c>
      <c r="K178" s="446">
        <f>K177-K171</f>
        <v>35900722.700000018</v>
      </c>
      <c r="L178" s="446">
        <f>L177-L171</f>
        <v>-3700947.6439999975</v>
      </c>
      <c r="M178" s="446">
        <f>M177-M171</f>
        <v>32199775.056000024</v>
      </c>
      <c r="N178" s="446">
        <f>N177-N171</f>
        <v>-15512633.689999998</v>
      </c>
    </row>
    <row r="179" spans="1:30" ht="18" customHeight="1">
      <c r="J179" s="161"/>
      <c r="K179" s="161"/>
      <c r="L179" s="161"/>
      <c r="M179" s="161"/>
      <c r="N179" s="161"/>
    </row>
    <row r="180" spans="1:30" ht="18" customHeight="1">
      <c r="J180" s="166"/>
      <c r="K180" s="166"/>
      <c r="L180" s="166"/>
      <c r="M180" s="166"/>
      <c r="N180" s="166"/>
    </row>
    <row r="181" spans="1:30" s="390" customFormat="1" ht="20.100000000000001" customHeight="1">
      <c r="A181" s="254" t="s">
        <v>577</v>
      </c>
      <c r="B181" s="252"/>
      <c r="C181" s="252"/>
      <c r="D181" s="252"/>
      <c r="E181" s="252"/>
      <c r="F181" s="169"/>
      <c r="G181" s="169"/>
      <c r="H181" s="169"/>
      <c r="I181" s="169"/>
      <c r="J181" s="169"/>
      <c r="K181" s="169"/>
      <c r="L181" s="169"/>
      <c r="M181" s="169"/>
      <c r="N181" s="169"/>
      <c r="P181" s="310"/>
      <c r="Q181" s="310"/>
      <c r="R181" s="310"/>
      <c r="S181" s="310"/>
      <c r="T181" s="310"/>
      <c r="U181" s="310"/>
      <c r="V181" s="310"/>
      <c r="W181" s="310"/>
      <c r="X181" s="310"/>
      <c r="Y181" s="310"/>
      <c r="Z181" s="310"/>
      <c r="AA181" s="310"/>
      <c r="AB181" s="310"/>
      <c r="AC181" s="310"/>
      <c r="AD181" s="310"/>
    </row>
    <row r="182" spans="1:30" s="390" customFormat="1" ht="20.100000000000001" customHeight="1">
      <c r="A182" s="249"/>
      <c r="B182" s="253"/>
      <c r="C182" s="253"/>
      <c r="D182" s="253"/>
      <c r="E182" s="253"/>
      <c r="F182" s="169"/>
      <c r="G182" s="169"/>
      <c r="H182" s="169"/>
      <c r="I182" s="169"/>
      <c r="J182" s="169"/>
      <c r="K182" s="169"/>
      <c r="L182" s="169"/>
      <c r="M182" s="169"/>
      <c r="N182" s="169"/>
      <c r="P182" s="310"/>
      <c r="Q182" s="310"/>
      <c r="R182" s="310"/>
      <c r="S182" s="310"/>
      <c r="T182" s="310"/>
      <c r="U182" s="310"/>
      <c r="V182" s="310"/>
      <c r="W182" s="310"/>
      <c r="X182" s="310"/>
      <c r="Y182" s="310"/>
      <c r="Z182" s="310"/>
      <c r="AA182" s="310"/>
      <c r="AB182" s="310"/>
      <c r="AC182" s="310"/>
      <c r="AD182" s="310"/>
    </row>
    <row r="183" spans="1:30" s="390" customFormat="1" ht="20.100000000000001" customHeight="1">
      <c r="A183" s="554" t="s">
        <v>549</v>
      </c>
      <c r="B183" s="554"/>
      <c r="C183" s="554"/>
      <c r="D183" s="554"/>
      <c r="E183" s="554"/>
      <c r="F183" s="554"/>
      <c r="G183" s="554"/>
      <c r="H183" s="554"/>
      <c r="I183" s="554"/>
      <c r="J183" s="554"/>
      <c r="K183" s="554"/>
      <c r="L183" s="554"/>
      <c r="M183" s="554"/>
      <c r="N183" s="554"/>
      <c r="P183" s="310"/>
      <c r="Q183" s="310"/>
      <c r="R183" s="310"/>
      <c r="S183" s="310"/>
      <c r="T183" s="310"/>
      <c r="U183" s="310"/>
      <c r="V183" s="310"/>
      <c r="W183" s="310"/>
      <c r="X183" s="310"/>
      <c r="Y183" s="310"/>
      <c r="Z183" s="310"/>
      <c r="AA183" s="310"/>
      <c r="AB183" s="310"/>
      <c r="AC183" s="310"/>
      <c r="AD183" s="310"/>
    </row>
    <row r="184" spans="1:30" s="390" customFormat="1" ht="20.100000000000001" customHeight="1">
      <c r="A184" s="246"/>
      <c r="B184" s="246"/>
      <c r="C184" s="246"/>
      <c r="D184" s="246"/>
      <c r="E184" s="246"/>
      <c r="F184" s="169"/>
      <c r="G184" s="169"/>
      <c r="H184" s="169"/>
      <c r="I184" s="169"/>
      <c r="J184" s="169"/>
      <c r="K184" s="169"/>
      <c r="L184" s="169"/>
      <c r="M184" s="169"/>
      <c r="N184" s="169"/>
      <c r="P184" s="310"/>
      <c r="Q184" s="310"/>
      <c r="R184" s="310"/>
      <c r="S184" s="310"/>
      <c r="T184" s="310"/>
      <c r="U184" s="310"/>
      <c r="V184" s="310"/>
      <c r="W184" s="310"/>
      <c r="X184" s="310"/>
      <c r="Y184" s="310"/>
      <c r="Z184" s="310"/>
      <c r="AA184" s="310"/>
      <c r="AB184" s="310"/>
      <c r="AC184" s="310"/>
      <c r="AD184" s="310"/>
    </row>
    <row r="185" spans="1:30" s="390" customFormat="1" ht="20.100000000000001" customHeight="1">
      <c r="A185" s="555" t="s">
        <v>583</v>
      </c>
      <c r="B185" s="555"/>
      <c r="C185" s="555"/>
      <c r="D185" s="555"/>
      <c r="E185" s="555"/>
      <c r="F185" s="251"/>
      <c r="G185" s="251"/>
      <c r="H185" s="251" t="s">
        <v>551</v>
      </c>
      <c r="I185" s="251"/>
      <c r="J185" s="247">
        <f>$J$78</f>
        <v>2024</v>
      </c>
      <c r="K185" s="245"/>
      <c r="L185" s="169"/>
      <c r="M185" s="169"/>
      <c r="N185" s="169"/>
      <c r="P185" s="310"/>
      <c r="Q185" s="310"/>
      <c r="R185" s="310"/>
      <c r="S185" s="310"/>
      <c r="T185" s="310"/>
      <c r="U185" s="310"/>
      <c r="V185" s="310"/>
      <c r="W185" s="310"/>
      <c r="X185" s="310"/>
      <c r="Y185" s="310"/>
      <c r="Z185" s="310"/>
      <c r="AA185" s="310"/>
      <c r="AB185" s="310"/>
      <c r="AC185" s="310"/>
      <c r="AD185" s="310"/>
    </row>
    <row r="186" spans="1:30" s="390" customFormat="1" ht="20.100000000000001" customHeight="1">
      <c r="A186" s="243" t="s">
        <v>581</v>
      </c>
      <c r="B186" s="248"/>
      <c r="C186" s="250"/>
      <c r="D186" s="250"/>
      <c r="E186" s="250"/>
      <c r="F186" s="169"/>
      <c r="G186" s="169"/>
      <c r="H186" s="169"/>
      <c r="I186" s="169"/>
      <c r="J186" s="169"/>
      <c r="K186" s="169"/>
      <c r="L186" s="169"/>
      <c r="M186" s="169"/>
      <c r="N186" s="169"/>
      <c r="P186" s="310"/>
      <c r="Q186" s="310"/>
      <c r="R186" s="310"/>
      <c r="S186" s="310"/>
      <c r="T186" s="310"/>
      <c r="U186" s="310"/>
      <c r="V186" s="310"/>
      <c r="W186" s="310"/>
      <c r="X186" s="310"/>
      <c r="Y186" s="310"/>
      <c r="Z186" s="310"/>
      <c r="AA186" s="310"/>
      <c r="AB186" s="310"/>
      <c r="AC186" s="310"/>
      <c r="AD186" s="310"/>
    </row>
    <row r="187" spans="1:30" s="349" customFormat="1" ht="18" customHeight="1">
      <c r="A187" s="243" t="s">
        <v>582</v>
      </c>
      <c r="B187" s="248"/>
      <c r="C187" s="250"/>
      <c r="D187" s="250"/>
      <c r="E187" s="250"/>
      <c r="F187" s="310"/>
      <c r="G187" s="359"/>
      <c r="H187" s="310"/>
      <c r="I187" s="316"/>
      <c r="J187" s="310"/>
      <c r="K187" s="310"/>
      <c r="L187" s="360"/>
      <c r="M187" s="360"/>
      <c r="N187" s="372"/>
      <c r="P187" s="310"/>
      <c r="Q187" s="310"/>
      <c r="R187" s="310"/>
      <c r="S187" s="310"/>
      <c r="T187" s="310"/>
      <c r="U187" s="310"/>
      <c r="V187" s="310"/>
      <c r="W187" s="310"/>
      <c r="X187" s="310"/>
      <c r="Y187" s="310"/>
      <c r="Z187" s="310"/>
      <c r="AA187" s="310"/>
      <c r="AB187" s="310"/>
      <c r="AC187" s="310"/>
      <c r="AD187" s="310"/>
    </row>
    <row r="188" spans="1:30" ht="18" hidden="1" customHeight="1" thickBot="1">
      <c r="A188" s="553" t="s">
        <v>10</v>
      </c>
      <c r="B188" s="553"/>
      <c r="C188" s="553"/>
      <c r="D188" s="553"/>
      <c r="E188" s="553"/>
      <c r="F188" s="553"/>
      <c r="G188" s="553"/>
      <c r="H188" s="553"/>
      <c r="I188" s="553"/>
      <c r="J188" s="553"/>
      <c r="K188" s="553"/>
      <c r="L188" s="553"/>
      <c r="M188" s="553"/>
      <c r="N188" s="553"/>
    </row>
    <row r="189" spans="1:30" s="316" customFormat="1" ht="18" hidden="1" customHeight="1">
      <c r="A189" s="311"/>
      <c r="B189" s="312"/>
      <c r="C189" s="312"/>
      <c r="D189" s="312"/>
      <c r="E189" s="312"/>
      <c r="F189" s="312"/>
      <c r="G189" s="313"/>
      <c r="H189" s="314"/>
      <c r="I189" s="314"/>
      <c r="J189" s="314"/>
      <c r="K189" s="556"/>
      <c r="L189" s="557"/>
      <c r="M189" s="558"/>
      <c r="N189" s="315"/>
      <c r="P189" s="310"/>
      <c r="Q189" s="310"/>
      <c r="R189" s="310"/>
      <c r="S189" s="310"/>
      <c r="T189" s="310"/>
      <c r="U189" s="310"/>
      <c r="V189" s="310"/>
      <c r="W189" s="310"/>
      <c r="X189" s="310"/>
      <c r="Y189" s="310"/>
      <c r="Z189" s="310"/>
      <c r="AA189" s="310"/>
      <c r="AB189" s="310"/>
      <c r="AC189" s="310"/>
      <c r="AD189" s="310"/>
    </row>
    <row r="190" spans="1:30" s="316" customFormat="1" ht="18" hidden="1" customHeight="1">
      <c r="A190" s="542" t="s">
        <v>3</v>
      </c>
      <c r="B190" s="543"/>
      <c r="C190" s="543"/>
      <c r="D190" s="543"/>
      <c r="E190" s="543"/>
      <c r="F190" s="543"/>
      <c r="G190" s="317"/>
      <c r="H190" s="317" t="s">
        <v>1</v>
      </c>
      <c r="I190" s="318" t="s">
        <v>2</v>
      </c>
      <c r="J190" s="317" t="s">
        <v>6</v>
      </c>
      <c r="K190" s="559" t="s">
        <v>247</v>
      </c>
      <c r="L190" s="560"/>
      <c r="M190" s="561"/>
      <c r="N190" s="319" t="s">
        <v>7</v>
      </c>
      <c r="P190" s="310"/>
      <c r="Q190" s="310"/>
      <c r="R190" s="310"/>
      <c r="S190" s="310"/>
      <c r="T190" s="310"/>
      <c r="U190" s="310"/>
      <c r="V190" s="310"/>
      <c r="W190" s="310"/>
      <c r="X190" s="310"/>
      <c r="Y190" s="310"/>
      <c r="Z190" s="310"/>
      <c r="AA190" s="310"/>
      <c r="AB190" s="310"/>
      <c r="AC190" s="310"/>
      <c r="AD190" s="310"/>
    </row>
    <row r="191" spans="1:30" s="316" customFormat="1" ht="18" hidden="1" customHeight="1">
      <c r="A191" s="320"/>
      <c r="G191" s="321"/>
      <c r="H191" s="317" t="s">
        <v>4</v>
      </c>
      <c r="I191" s="318" t="s">
        <v>5</v>
      </c>
      <c r="J191" s="322">
        <v>2020</v>
      </c>
      <c r="K191" s="317" t="s">
        <v>191</v>
      </c>
      <c r="L191" s="323" t="s">
        <v>194</v>
      </c>
      <c r="M191" s="317">
        <v>2021</v>
      </c>
      <c r="N191" s="324">
        <v>2022</v>
      </c>
      <c r="P191" s="310"/>
      <c r="Q191" s="310"/>
      <c r="R191" s="310"/>
      <c r="S191" s="310"/>
      <c r="T191" s="310"/>
      <c r="U191" s="310"/>
      <c r="V191" s="310"/>
      <c r="W191" s="310"/>
      <c r="X191" s="310"/>
      <c r="Y191" s="310"/>
      <c r="Z191" s="310"/>
      <c r="AA191" s="310"/>
      <c r="AB191" s="310"/>
      <c r="AC191" s="310"/>
      <c r="AD191" s="310"/>
    </row>
    <row r="192" spans="1:30" s="316" customFormat="1" ht="18" hidden="1" customHeight="1">
      <c r="A192" s="320"/>
      <c r="G192" s="321"/>
      <c r="H192" s="317"/>
      <c r="I192" s="317"/>
      <c r="J192" s="317" t="s">
        <v>191</v>
      </c>
      <c r="K192" s="317">
        <v>2021</v>
      </c>
      <c r="L192" s="317">
        <v>2021</v>
      </c>
      <c r="M192" s="323" t="s">
        <v>442</v>
      </c>
      <c r="N192" s="319" t="s">
        <v>196</v>
      </c>
      <c r="P192" s="310"/>
      <c r="Q192" s="310"/>
      <c r="R192" s="310"/>
      <c r="S192" s="310"/>
      <c r="T192" s="310"/>
      <c r="U192" s="310"/>
      <c r="V192" s="310"/>
      <c r="W192" s="310"/>
      <c r="X192" s="310"/>
      <c r="Y192" s="310"/>
      <c r="Z192" s="310"/>
      <c r="AA192" s="310"/>
      <c r="AB192" s="310"/>
      <c r="AC192" s="310"/>
      <c r="AD192" s="310"/>
    </row>
    <row r="193" spans="1:30" s="316" customFormat="1" ht="18" hidden="1" customHeight="1" thickBot="1">
      <c r="A193" s="320"/>
      <c r="G193" s="321"/>
      <c r="H193" s="325"/>
      <c r="I193" s="325"/>
      <c r="J193" s="325"/>
      <c r="K193" s="325"/>
      <c r="L193" s="326"/>
      <c r="M193" s="326"/>
      <c r="N193" s="327"/>
      <c r="P193" s="310"/>
      <c r="Q193" s="310"/>
      <c r="R193" s="310"/>
      <c r="S193" s="310"/>
      <c r="T193" s="310"/>
      <c r="U193" s="310"/>
      <c r="V193" s="310"/>
      <c r="W193" s="310"/>
      <c r="X193" s="310"/>
      <c r="Y193" s="310"/>
      <c r="Z193" s="310"/>
      <c r="AA193" s="310"/>
      <c r="AB193" s="310"/>
      <c r="AC193" s="310"/>
      <c r="AD193" s="310"/>
    </row>
    <row r="194" spans="1:30" ht="18" hidden="1" customHeight="1">
      <c r="A194" s="328" t="s">
        <v>109</v>
      </c>
      <c r="B194" s="329" t="s">
        <v>110</v>
      </c>
      <c r="C194" s="329"/>
      <c r="D194" s="329"/>
      <c r="E194" s="329"/>
      <c r="F194" s="329"/>
      <c r="G194" s="330"/>
      <c r="H194" s="331"/>
      <c r="I194" s="332"/>
      <c r="J194" s="55">
        <v>0</v>
      </c>
      <c r="K194" s="55">
        <v>0</v>
      </c>
      <c r="L194" s="55">
        <v>0</v>
      </c>
      <c r="M194" s="55">
        <f>SUM(K194:L194)</f>
        <v>0</v>
      </c>
      <c r="N194" s="55">
        <f>SUM(L194:M194)</f>
        <v>0</v>
      </c>
    </row>
    <row r="195" spans="1:30" ht="18" hidden="1" customHeight="1">
      <c r="A195" s="333" t="s">
        <v>111</v>
      </c>
      <c r="B195" s="334" t="s">
        <v>112</v>
      </c>
      <c r="C195" s="334"/>
      <c r="D195" s="334"/>
      <c r="E195" s="334"/>
      <c r="F195" s="334"/>
      <c r="G195" s="335"/>
      <c r="H195" s="304"/>
      <c r="I195" s="336"/>
      <c r="J195" s="104"/>
      <c r="K195" s="21"/>
      <c r="L195" s="22"/>
      <c r="M195" s="21"/>
      <c r="N195" s="21"/>
    </row>
    <row r="196" spans="1:30" ht="18" hidden="1" customHeight="1">
      <c r="A196" s="333"/>
      <c r="B196" s="334" t="s">
        <v>144</v>
      </c>
      <c r="C196" s="334"/>
      <c r="D196" s="334"/>
      <c r="E196" s="334"/>
      <c r="F196" s="334"/>
      <c r="G196" s="335"/>
      <c r="H196" s="304"/>
      <c r="I196" s="336"/>
      <c r="J196" s="104"/>
      <c r="K196" s="21"/>
      <c r="L196" s="22"/>
      <c r="M196" s="21"/>
      <c r="N196" s="21"/>
    </row>
    <row r="197" spans="1:30" ht="18" hidden="1" customHeight="1">
      <c r="A197" s="337"/>
      <c r="B197" s="338"/>
      <c r="C197" s="338" t="s">
        <v>38</v>
      </c>
      <c r="D197" s="338"/>
      <c r="E197" s="338"/>
      <c r="F197" s="338"/>
      <c r="G197" s="335"/>
      <c r="H197" s="304"/>
      <c r="I197" s="336"/>
      <c r="J197" s="104"/>
      <c r="K197" s="21"/>
      <c r="L197" s="22"/>
      <c r="M197" s="21"/>
      <c r="N197" s="21"/>
    </row>
    <row r="198" spans="1:30" ht="18" hidden="1" customHeight="1">
      <c r="A198" s="337"/>
      <c r="B198" s="338"/>
      <c r="C198" s="338"/>
      <c r="D198" s="338" t="s">
        <v>113</v>
      </c>
      <c r="E198" s="338" t="s">
        <v>197</v>
      </c>
      <c r="F198" s="338"/>
      <c r="G198" s="335"/>
      <c r="H198" s="304"/>
      <c r="I198" s="336"/>
      <c r="J198" s="104"/>
      <c r="K198" s="21"/>
      <c r="L198" s="22"/>
      <c r="M198" s="21"/>
      <c r="N198" s="21"/>
    </row>
    <row r="199" spans="1:30" ht="18" hidden="1" customHeight="1">
      <c r="A199" s="337"/>
      <c r="B199" s="338"/>
      <c r="C199" s="338"/>
      <c r="D199" s="338"/>
      <c r="E199" s="338" t="s">
        <v>198</v>
      </c>
      <c r="F199" s="338"/>
      <c r="G199" s="339" t="s">
        <v>324</v>
      </c>
      <c r="H199" s="304" t="s">
        <v>317</v>
      </c>
      <c r="I199" s="336" t="s">
        <v>312</v>
      </c>
      <c r="J199" s="95">
        <v>4364257.92</v>
      </c>
      <c r="K199" s="23">
        <v>4880328.78</v>
      </c>
      <c r="L199" s="24">
        <v>1600000</v>
      </c>
      <c r="M199" s="23">
        <f>L199+K199</f>
        <v>6480328.7800000003</v>
      </c>
      <c r="N199" s="23">
        <v>0</v>
      </c>
    </row>
    <row r="200" spans="1:30" ht="18" hidden="1" customHeight="1" thickBot="1">
      <c r="A200" s="340"/>
      <c r="B200" s="341"/>
      <c r="C200" s="341"/>
      <c r="D200" s="341"/>
      <c r="E200" s="341" t="s">
        <v>199</v>
      </c>
      <c r="F200" s="341"/>
      <c r="G200" s="342" t="s">
        <v>325</v>
      </c>
      <c r="H200" s="305" t="s">
        <v>293</v>
      </c>
      <c r="I200" s="343" t="s">
        <v>312</v>
      </c>
      <c r="J200" s="105">
        <v>74217.67</v>
      </c>
      <c r="K200" s="25">
        <v>107939.05</v>
      </c>
      <c r="L200" s="24">
        <v>60000</v>
      </c>
      <c r="M200" s="25">
        <f>L200+K200</f>
        <v>167939.05</v>
      </c>
      <c r="N200" s="25">
        <v>0</v>
      </c>
    </row>
    <row r="201" spans="1:30" s="349" customFormat="1" ht="18" hidden="1" customHeight="1" thickBot="1">
      <c r="A201" s="344"/>
      <c r="B201" s="345"/>
      <c r="C201" s="345" t="s">
        <v>114</v>
      </c>
      <c r="D201" s="345"/>
      <c r="E201" s="345"/>
      <c r="F201" s="345"/>
      <c r="G201" s="346"/>
      <c r="H201" s="306"/>
      <c r="I201" s="347"/>
      <c r="J201" s="106">
        <f>SUM(J198:J200)</f>
        <v>4438475.59</v>
      </c>
      <c r="K201" s="106">
        <f>SUM(K198:K200)</f>
        <v>4988267.83</v>
      </c>
      <c r="L201" s="348">
        <f>SUM(L198:L200)</f>
        <v>1660000</v>
      </c>
      <c r="M201" s="106">
        <f>SUM(M198:M200)</f>
        <v>6648267.8300000001</v>
      </c>
      <c r="N201" s="106">
        <f>SUM(N198:N200)</f>
        <v>0</v>
      </c>
      <c r="P201" s="310"/>
      <c r="Q201" s="310"/>
      <c r="R201" s="310"/>
      <c r="S201" s="310"/>
      <c r="T201" s="310"/>
      <c r="U201" s="310"/>
      <c r="V201" s="310"/>
      <c r="W201" s="310"/>
      <c r="X201" s="310"/>
      <c r="Y201" s="310"/>
      <c r="Z201" s="310"/>
      <c r="AA201" s="310"/>
      <c r="AB201" s="310"/>
      <c r="AC201" s="310"/>
      <c r="AD201" s="310"/>
    </row>
    <row r="202" spans="1:30" ht="18" hidden="1" customHeight="1">
      <c r="A202" s="350"/>
      <c r="B202" s="351"/>
      <c r="C202" s="351" t="s">
        <v>39</v>
      </c>
      <c r="D202" s="351"/>
      <c r="E202" s="351"/>
      <c r="F202" s="351"/>
      <c r="G202" s="352"/>
      <c r="H202" s="303"/>
      <c r="I202" s="353"/>
      <c r="J202" s="94"/>
      <c r="K202" s="26"/>
      <c r="L202" s="27"/>
      <c r="M202" s="26"/>
      <c r="N202" s="26"/>
    </row>
    <row r="203" spans="1:30" ht="18" hidden="1" customHeight="1">
      <c r="A203" s="337"/>
      <c r="B203" s="338"/>
      <c r="C203" s="338"/>
      <c r="D203" s="338" t="s">
        <v>115</v>
      </c>
      <c r="E203" s="338"/>
      <c r="F203" s="338"/>
      <c r="G203" s="335"/>
      <c r="H203" s="304"/>
      <c r="I203" s="336"/>
      <c r="J203" s="95"/>
      <c r="K203" s="23"/>
      <c r="L203" s="24"/>
      <c r="M203" s="23"/>
      <c r="N203" s="23"/>
    </row>
    <row r="204" spans="1:30" ht="18" hidden="1" customHeight="1">
      <c r="A204" s="337"/>
      <c r="B204" s="338"/>
      <c r="C204" s="338"/>
      <c r="D204" s="338"/>
      <c r="E204" s="338" t="s">
        <v>201</v>
      </c>
      <c r="F204" s="338" t="s">
        <v>200</v>
      </c>
      <c r="G204" s="339" t="s">
        <v>326</v>
      </c>
      <c r="H204" s="304" t="s">
        <v>299</v>
      </c>
      <c r="I204" s="336" t="s">
        <v>312</v>
      </c>
      <c r="J204" s="95">
        <v>302543</v>
      </c>
      <c r="K204" s="23">
        <v>306454</v>
      </c>
      <c r="L204" s="24">
        <v>60000</v>
      </c>
      <c r="M204" s="23">
        <f t="shared" ref="M204:M219" si="5">L204+K204</f>
        <v>366454</v>
      </c>
      <c r="N204" s="23">
        <v>280000</v>
      </c>
    </row>
    <row r="205" spans="1:30" ht="18" hidden="1" customHeight="1">
      <c r="A205" s="337"/>
      <c r="B205" s="338"/>
      <c r="C205" s="338"/>
      <c r="D205" s="338"/>
      <c r="E205" s="338" t="s">
        <v>202</v>
      </c>
      <c r="F205" s="338"/>
      <c r="G205" s="339" t="s">
        <v>327</v>
      </c>
      <c r="H205" s="304" t="s">
        <v>301</v>
      </c>
      <c r="I205" s="336" t="s">
        <v>312</v>
      </c>
      <c r="J205" s="95">
        <v>878381.41</v>
      </c>
      <c r="K205" s="23">
        <v>906942.97</v>
      </c>
      <c r="L205" s="24">
        <v>110000</v>
      </c>
      <c r="M205" s="23">
        <f t="shared" si="5"/>
        <v>1016942.97</v>
      </c>
      <c r="N205" s="23">
        <v>850000</v>
      </c>
    </row>
    <row r="206" spans="1:30" ht="18" hidden="1" customHeight="1">
      <c r="A206" s="337"/>
      <c r="B206" s="338"/>
      <c r="C206" s="338"/>
      <c r="D206" s="338"/>
      <c r="E206" s="338" t="s">
        <v>496</v>
      </c>
      <c r="F206" s="338"/>
      <c r="G206" s="339"/>
      <c r="H206" s="304" t="s">
        <v>301</v>
      </c>
      <c r="I206" s="336" t="s">
        <v>312</v>
      </c>
      <c r="J206" s="95">
        <v>0</v>
      </c>
      <c r="K206" s="23">
        <v>0</v>
      </c>
      <c r="L206" s="24">
        <v>0</v>
      </c>
      <c r="M206" s="23">
        <v>0</v>
      </c>
      <c r="N206" s="23">
        <v>60000</v>
      </c>
    </row>
    <row r="207" spans="1:30" ht="18" hidden="1" customHeight="1">
      <c r="A207" s="337"/>
      <c r="B207" s="338"/>
      <c r="C207" s="338"/>
      <c r="D207" s="338"/>
      <c r="E207" s="338" t="s">
        <v>497</v>
      </c>
      <c r="F207" s="338"/>
      <c r="G207" s="339" t="s">
        <v>328</v>
      </c>
      <c r="H207" s="304" t="s">
        <v>318</v>
      </c>
      <c r="I207" s="336" t="s">
        <v>312</v>
      </c>
      <c r="J207" s="95">
        <v>47744.2</v>
      </c>
      <c r="K207" s="23">
        <v>40410</v>
      </c>
      <c r="L207" s="24">
        <v>3000</v>
      </c>
      <c r="M207" s="23">
        <f t="shared" si="5"/>
        <v>43410</v>
      </c>
      <c r="N207" s="23">
        <v>40000</v>
      </c>
    </row>
    <row r="208" spans="1:30" ht="18" hidden="1" customHeight="1">
      <c r="A208" s="337"/>
      <c r="B208" s="338"/>
      <c r="C208" s="338"/>
      <c r="D208" s="338"/>
      <c r="E208" s="338" t="s">
        <v>498</v>
      </c>
      <c r="F208" s="338"/>
      <c r="G208" s="339"/>
      <c r="H208" s="304" t="s">
        <v>304</v>
      </c>
      <c r="I208" s="336" t="s">
        <v>312</v>
      </c>
      <c r="J208" s="95">
        <v>0</v>
      </c>
      <c r="K208" s="23">
        <v>0</v>
      </c>
      <c r="L208" s="24"/>
      <c r="M208" s="23"/>
      <c r="N208" s="23">
        <v>700000</v>
      </c>
    </row>
    <row r="209" spans="1:30" ht="18" hidden="1" customHeight="1">
      <c r="A209" s="337"/>
      <c r="B209" s="338"/>
      <c r="C209" s="338"/>
      <c r="D209" s="338"/>
      <c r="E209" s="338" t="s">
        <v>499</v>
      </c>
      <c r="F209" s="338"/>
      <c r="G209" s="339"/>
      <c r="H209" s="304" t="s">
        <v>318</v>
      </c>
      <c r="I209" s="336" t="s">
        <v>312</v>
      </c>
      <c r="J209" s="95">
        <v>0</v>
      </c>
      <c r="K209" s="23">
        <v>0</v>
      </c>
      <c r="L209" s="24"/>
      <c r="M209" s="23"/>
      <c r="N209" s="23">
        <v>45000</v>
      </c>
    </row>
    <row r="210" spans="1:30" ht="18" hidden="1" customHeight="1">
      <c r="A210" s="337"/>
      <c r="B210" s="338"/>
      <c r="C210" s="338"/>
      <c r="D210" s="338" t="s">
        <v>135</v>
      </c>
      <c r="E210" s="338"/>
      <c r="F210" s="338"/>
      <c r="G210" s="335"/>
      <c r="H210" s="304"/>
      <c r="I210" s="336"/>
      <c r="J210" s="95"/>
      <c r="K210" s="23"/>
      <c r="L210" s="24"/>
      <c r="M210" s="23"/>
      <c r="N210" s="23"/>
    </row>
    <row r="211" spans="1:30" ht="18" hidden="1" customHeight="1">
      <c r="A211" s="337"/>
      <c r="B211" s="338"/>
      <c r="C211" s="338"/>
      <c r="D211" s="338"/>
      <c r="E211" s="338" t="s">
        <v>203</v>
      </c>
      <c r="F211" s="338"/>
      <c r="G211" s="339" t="s">
        <v>329</v>
      </c>
      <c r="H211" s="304" t="s">
        <v>307</v>
      </c>
      <c r="I211" s="336" t="s">
        <v>312</v>
      </c>
      <c r="J211" s="95">
        <v>244670</v>
      </c>
      <c r="K211" s="23">
        <v>250510</v>
      </c>
      <c r="L211" s="24">
        <v>30000</v>
      </c>
      <c r="M211" s="23">
        <f t="shared" si="5"/>
        <v>280510</v>
      </c>
      <c r="N211" s="23">
        <v>230000</v>
      </c>
    </row>
    <row r="212" spans="1:30" ht="18" hidden="1" customHeight="1">
      <c r="A212" s="337"/>
      <c r="B212" s="338"/>
      <c r="C212" s="338"/>
      <c r="D212" s="338"/>
      <c r="E212" s="338" t="s">
        <v>204</v>
      </c>
      <c r="F212" s="338"/>
      <c r="G212" s="339" t="s">
        <v>330</v>
      </c>
      <c r="H212" s="304" t="s">
        <v>319</v>
      </c>
      <c r="I212" s="336" t="s">
        <v>312</v>
      </c>
      <c r="J212" s="95">
        <v>1068502</v>
      </c>
      <c r="K212" s="23">
        <v>204000</v>
      </c>
      <c r="L212" s="24">
        <v>896000</v>
      </c>
      <c r="M212" s="23">
        <f t="shared" si="5"/>
        <v>1100000</v>
      </c>
      <c r="N212" s="23">
        <v>300000</v>
      </c>
    </row>
    <row r="213" spans="1:30" ht="18" hidden="1" customHeight="1">
      <c r="A213" s="337"/>
      <c r="B213" s="338"/>
      <c r="C213" s="338"/>
      <c r="D213" s="338"/>
      <c r="E213" s="338" t="s">
        <v>205</v>
      </c>
      <c r="F213" s="338"/>
      <c r="G213" s="339" t="s">
        <v>331</v>
      </c>
      <c r="H213" s="304" t="s">
        <v>319</v>
      </c>
      <c r="I213" s="336" t="s">
        <v>312</v>
      </c>
      <c r="J213" s="95">
        <v>287550</v>
      </c>
      <c r="K213" s="23">
        <v>64040</v>
      </c>
      <c r="L213" s="24">
        <v>195960</v>
      </c>
      <c r="M213" s="23">
        <f t="shared" si="5"/>
        <v>260000</v>
      </c>
      <c r="N213" s="23">
        <v>100000</v>
      </c>
    </row>
    <row r="214" spans="1:30" ht="18" hidden="1" customHeight="1">
      <c r="A214" s="337"/>
      <c r="B214" s="338"/>
      <c r="C214" s="338"/>
      <c r="D214" s="338"/>
      <c r="E214" s="338" t="s">
        <v>206</v>
      </c>
      <c r="F214" s="338"/>
      <c r="G214" s="339" t="s">
        <v>332</v>
      </c>
      <c r="H214" s="304" t="s">
        <v>320</v>
      </c>
      <c r="I214" s="336" t="s">
        <v>312</v>
      </c>
      <c r="J214" s="95">
        <v>339135</v>
      </c>
      <c r="K214" s="23">
        <v>316975</v>
      </c>
      <c r="L214" s="24">
        <v>3025</v>
      </c>
      <c r="M214" s="23">
        <f t="shared" si="5"/>
        <v>320000</v>
      </c>
      <c r="N214" s="23">
        <v>320000</v>
      </c>
    </row>
    <row r="215" spans="1:30" ht="18" hidden="1" customHeight="1">
      <c r="A215" s="337"/>
      <c r="B215" s="338"/>
      <c r="C215" s="338"/>
      <c r="D215" s="338"/>
      <c r="E215" s="338" t="s">
        <v>207</v>
      </c>
      <c r="F215" s="338"/>
      <c r="G215" s="335"/>
      <c r="H215" s="304"/>
      <c r="I215" s="336"/>
      <c r="J215" s="95"/>
      <c r="K215" s="23"/>
      <c r="L215" s="24"/>
      <c r="M215" s="23"/>
      <c r="N215" s="23"/>
    </row>
    <row r="216" spans="1:30" ht="18" hidden="1" customHeight="1">
      <c r="A216" s="337"/>
      <c r="B216" s="338"/>
      <c r="C216" s="338"/>
      <c r="D216" s="338"/>
      <c r="E216" s="338"/>
      <c r="F216" s="338" t="s">
        <v>208</v>
      </c>
      <c r="G216" s="339" t="s">
        <v>333</v>
      </c>
      <c r="H216" s="304" t="s">
        <v>321</v>
      </c>
      <c r="I216" s="336" t="s">
        <v>312</v>
      </c>
      <c r="J216" s="95">
        <v>2677346</v>
      </c>
      <c r="K216" s="23">
        <v>1883214</v>
      </c>
      <c r="L216" s="24">
        <f>2900000-K216</f>
        <v>1016786</v>
      </c>
      <c r="M216" s="23">
        <f t="shared" si="5"/>
        <v>2900000</v>
      </c>
      <c r="N216" s="23">
        <v>2900000</v>
      </c>
    </row>
    <row r="217" spans="1:30" ht="18" hidden="1" customHeight="1">
      <c r="A217" s="337"/>
      <c r="B217" s="338"/>
      <c r="C217" s="338"/>
      <c r="D217" s="338"/>
      <c r="E217" s="338"/>
      <c r="F217" s="338" t="s">
        <v>209</v>
      </c>
      <c r="G217" s="339" t="s">
        <v>334</v>
      </c>
      <c r="H217" s="304" t="s">
        <v>321</v>
      </c>
      <c r="I217" s="336" t="s">
        <v>312</v>
      </c>
      <c r="J217" s="95">
        <v>1606630</v>
      </c>
      <c r="K217" s="23">
        <v>908860</v>
      </c>
      <c r="L217" s="24">
        <v>591140</v>
      </c>
      <c r="M217" s="23">
        <f t="shared" si="5"/>
        <v>1500000</v>
      </c>
      <c r="N217" s="23">
        <v>1500000</v>
      </c>
    </row>
    <row r="218" spans="1:30" ht="18" hidden="1" customHeight="1">
      <c r="A218" s="337"/>
      <c r="B218" s="338"/>
      <c r="C218" s="338"/>
      <c r="D218" s="338"/>
      <c r="E218" s="338"/>
      <c r="F218" s="338" t="s">
        <v>210</v>
      </c>
      <c r="G218" s="339" t="s">
        <v>335</v>
      </c>
      <c r="H218" s="304" t="s">
        <v>321</v>
      </c>
      <c r="I218" s="336" t="s">
        <v>312</v>
      </c>
      <c r="J218" s="95">
        <v>1348016.2</v>
      </c>
      <c r="K218" s="23">
        <v>776080.65</v>
      </c>
      <c r="L218" s="24">
        <v>523919.35</v>
      </c>
      <c r="M218" s="23">
        <f t="shared" si="5"/>
        <v>1300000</v>
      </c>
      <c r="N218" s="23">
        <v>1300000</v>
      </c>
    </row>
    <row r="219" spans="1:30" ht="18" hidden="1" customHeight="1" thickBot="1">
      <c r="A219" s="340"/>
      <c r="B219" s="341"/>
      <c r="C219" s="341"/>
      <c r="D219" s="341"/>
      <c r="E219" s="341"/>
      <c r="F219" s="341" t="s">
        <v>211</v>
      </c>
      <c r="G219" s="342" t="s">
        <v>336</v>
      </c>
      <c r="H219" s="305" t="s">
        <v>321</v>
      </c>
      <c r="I219" s="343" t="s">
        <v>312</v>
      </c>
      <c r="J219" s="101">
        <v>0</v>
      </c>
      <c r="K219" s="28">
        <v>11400</v>
      </c>
      <c r="L219" s="24">
        <v>0</v>
      </c>
      <c r="M219" s="28">
        <f t="shared" si="5"/>
        <v>11400</v>
      </c>
      <c r="N219" s="107">
        <v>0</v>
      </c>
    </row>
    <row r="220" spans="1:30" s="349" customFormat="1" ht="18" hidden="1" customHeight="1" thickBot="1">
      <c r="A220" s="354"/>
      <c r="B220" s="345"/>
      <c r="C220" s="345" t="s">
        <v>8</v>
      </c>
      <c r="D220" s="345"/>
      <c r="E220" s="345"/>
      <c r="F220" s="345"/>
      <c r="G220" s="346"/>
      <c r="H220" s="306"/>
      <c r="I220" s="347"/>
      <c r="J220" s="106">
        <f>SUM(J204:J219)</f>
        <v>8800517.8100000005</v>
      </c>
      <c r="K220" s="106">
        <f>SUM(K204:K219)</f>
        <v>5668886.6200000001</v>
      </c>
      <c r="L220" s="348">
        <f>SUM(L204:L219)</f>
        <v>3429830.35</v>
      </c>
      <c r="M220" s="106">
        <f>SUM(M204:M219)</f>
        <v>9098716.9699999988</v>
      </c>
      <c r="N220" s="108">
        <f>SUM(N204:N219)</f>
        <v>8625000</v>
      </c>
      <c r="P220" s="310"/>
      <c r="Q220" s="310"/>
      <c r="R220" s="310"/>
      <c r="S220" s="310"/>
      <c r="T220" s="310"/>
      <c r="U220" s="310"/>
      <c r="V220" s="310"/>
      <c r="W220" s="310"/>
      <c r="X220" s="310"/>
      <c r="Y220" s="310"/>
      <c r="Z220" s="310"/>
      <c r="AA220" s="310"/>
      <c r="AB220" s="310"/>
      <c r="AC220" s="310"/>
      <c r="AD220" s="310"/>
    </row>
    <row r="221" spans="1:30" s="349" customFormat="1" ht="18" hidden="1" customHeight="1" thickBot="1">
      <c r="A221" s="354" t="s">
        <v>9</v>
      </c>
      <c r="B221" s="345"/>
      <c r="C221" s="345"/>
      <c r="D221" s="345"/>
      <c r="E221" s="345"/>
      <c r="F221" s="345"/>
      <c r="G221" s="346"/>
      <c r="H221" s="306"/>
      <c r="I221" s="347"/>
      <c r="J221" s="106">
        <f>SUM(J220+J201+J194)</f>
        <v>13238993.4</v>
      </c>
      <c r="K221" s="106">
        <f>SUM(K220+K201+K194)</f>
        <v>10657154.449999999</v>
      </c>
      <c r="L221" s="348">
        <f>SUM(L220+L201+L194)</f>
        <v>5089830.3499999996</v>
      </c>
      <c r="M221" s="106">
        <f>SUM(M220+M201+M194)</f>
        <v>15746984.799999999</v>
      </c>
      <c r="N221" s="108">
        <f>SUM(N220+N201+N194)</f>
        <v>8625000</v>
      </c>
      <c r="P221" s="310"/>
      <c r="Q221" s="310"/>
      <c r="R221" s="310"/>
      <c r="S221" s="310"/>
      <c r="T221" s="310"/>
      <c r="U221" s="310"/>
      <c r="V221" s="310"/>
      <c r="W221" s="310"/>
      <c r="X221" s="310"/>
      <c r="Y221" s="310"/>
      <c r="Z221" s="310"/>
      <c r="AA221" s="310"/>
      <c r="AB221" s="310"/>
      <c r="AC221" s="310"/>
      <c r="AD221" s="310"/>
    </row>
    <row r="222" spans="1:30" s="349" customFormat="1" ht="18" customHeight="1">
      <c r="A222" s="355"/>
      <c r="B222" s="355"/>
      <c r="C222" s="355"/>
      <c r="D222" s="355"/>
      <c r="E222" s="355"/>
      <c r="F222" s="355"/>
      <c r="G222" s="370"/>
      <c r="H222" s="356"/>
      <c r="I222" s="357"/>
      <c r="J222" s="109"/>
      <c r="K222" s="109"/>
      <c r="L222" s="358"/>
      <c r="M222" s="358"/>
      <c r="N222" s="109"/>
      <c r="P222" s="310"/>
      <c r="Q222" s="310"/>
      <c r="R222" s="310"/>
      <c r="S222" s="310"/>
      <c r="T222" s="310"/>
      <c r="U222" s="310"/>
      <c r="V222" s="310"/>
      <c r="W222" s="310"/>
      <c r="X222" s="310"/>
      <c r="Y222" s="310"/>
      <c r="Z222" s="310"/>
      <c r="AA222" s="310"/>
      <c r="AB222" s="310"/>
      <c r="AC222" s="310"/>
      <c r="AD222" s="310"/>
    </row>
    <row r="223" spans="1:30" s="349" customFormat="1" ht="18" customHeight="1" thickBot="1">
      <c r="A223" s="553" t="s">
        <v>10</v>
      </c>
      <c r="B223" s="553"/>
      <c r="C223" s="553"/>
      <c r="D223" s="553"/>
      <c r="E223" s="553"/>
      <c r="F223" s="553"/>
      <c r="G223" s="553"/>
      <c r="H223" s="553"/>
      <c r="I223" s="553"/>
      <c r="J223" s="553"/>
      <c r="K223" s="553"/>
      <c r="L223" s="553"/>
      <c r="M223" s="553"/>
      <c r="N223" s="553"/>
      <c r="P223" s="310"/>
      <c r="Q223" s="310"/>
      <c r="R223" s="310"/>
      <c r="S223" s="310"/>
      <c r="T223" s="310"/>
      <c r="U223" s="310"/>
      <c r="V223" s="310"/>
      <c r="W223" s="310"/>
      <c r="X223" s="310"/>
      <c r="Y223" s="310"/>
      <c r="Z223" s="310"/>
      <c r="AA223" s="310"/>
      <c r="AB223" s="310"/>
      <c r="AC223" s="310"/>
      <c r="AD223" s="310"/>
    </row>
    <row r="224" spans="1:30" s="349" customFormat="1" ht="18" customHeight="1">
      <c r="A224" s="311"/>
      <c r="B224" s="312"/>
      <c r="C224" s="312"/>
      <c r="D224" s="312"/>
      <c r="E224" s="312"/>
      <c r="F224" s="312"/>
      <c r="G224" s="313"/>
      <c r="H224" s="314"/>
      <c r="I224" s="314"/>
      <c r="J224" s="314"/>
      <c r="K224" s="453"/>
      <c r="L224" s="451"/>
      <c r="M224" s="452"/>
      <c r="N224" s="315"/>
    </row>
    <row r="225" spans="1:14" s="349" customFormat="1" ht="18" customHeight="1">
      <c r="A225" s="542" t="s">
        <v>3</v>
      </c>
      <c r="B225" s="543"/>
      <c r="C225" s="543"/>
      <c r="D225" s="543"/>
      <c r="E225" s="543"/>
      <c r="F225" s="543"/>
      <c r="G225" s="317"/>
      <c r="H225" s="317" t="s">
        <v>1</v>
      </c>
      <c r="I225" s="318" t="s">
        <v>2</v>
      </c>
      <c r="J225" s="317" t="s">
        <v>6</v>
      </c>
      <c r="K225" s="544" t="s">
        <v>247</v>
      </c>
      <c r="L225" s="543"/>
      <c r="M225" s="545"/>
      <c r="N225" s="319" t="s">
        <v>7</v>
      </c>
    </row>
    <row r="226" spans="1:14" s="349" customFormat="1" ht="18" customHeight="1">
      <c r="A226" s="320"/>
      <c r="B226" s="316"/>
      <c r="C226" s="316"/>
      <c r="D226" s="316"/>
      <c r="E226" s="316"/>
      <c r="F226" s="316"/>
      <c r="G226" s="321"/>
      <c r="H226" s="317" t="s">
        <v>4</v>
      </c>
      <c r="I226" s="318" t="s">
        <v>5</v>
      </c>
      <c r="J226" s="322">
        <v>2022</v>
      </c>
      <c r="K226" s="317">
        <v>2023</v>
      </c>
      <c r="L226" s="323" t="s">
        <v>194</v>
      </c>
      <c r="M226" s="317" t="s">
        <v>11</v>
      </c>
      <c r="N226" s="324">
        <v>2024</v>
      </c>
    </row>
    <row r="227" spans="1:14" s="349" customFormat="1" ht="18" customHeight="1">
      <c r="A227" s="320"/>
      <c r="B227" s="316"/>
      <c r="C227" s="316"/>
      <c r="D227" s="316"/>
      <c r="E227" s="316"/>
      <c r="F227" s="316"/>
      <c r="G227" s="321"/>
      <c r="H227" s="317"/>
      <c r="I227" s="317"/>
      <c r="J227" s="317" t="s">
        <v>191</v>
      </c>
      <c r="K227" s="317" t="s">
        <v>191</v>
      </c>
      <c r="L227" s="317">
        <v>2022</v>
      </c>
      <c r="M227" s="323"/>
      <c r="N227" s="319" t="s">
        <v>196</v>
      </c>
    </row>
    <row r="228" spans="1:14" s="349" customFormat="1" ht="10.5" customHeight="1" thickBot="1">
      <c r="A228" s="549"/>
      <c r="B228" s="550"/>
      <c r="C228" s="550"/>
      <c r="D228" s="550"/>
      <c r="E228" s="550"/>
      <c r="F228" s="550"/>
      <c r="G228" s="325"/>
      <c r="H228" s="325"/>
      <c r="I228" s="325"/>
      <c r="J228" s="325"/>
      <c r="K228" s="325"/>
      <c r="L228" s="326"/>
      <c r="M228" s="326"/>
      <c r="N228" s="327"/>
    </row>
    <row r="229" spans="1:14" ht="18" customHeight="1">
      <c r="A229" s="379" t="s">
        <v>584</v>
      </c>
      <c r="B229" s="380"/>
      <c r="C229" s="380"/>
      <c r="D229" s="380"/>
      <c r="E229" s="380"/>
      <c r="F229" s="380"/>
      <c r="G229" s="352"/>
      <c r="H229" s="303"/>
      <c r="I229" s="353"/>
      <c r="J229" s="94"/>
      <c r="K229" s="26"/>
      <c r="L229" s="27"/>
      <c r="M229" s="27"/>
      <c r="N229" s="26"/>
    </row>
    <row r="230" spans="1:14" ht="18" customHeight="1">
      <c r="A230" s="333"/>
      <c r="B230" s="334" t="s">
        <v>585</v>
      </c>
      <c r="C230" s="334"/>
      <c r="D230" s="334"/>
      <c r="E230" s="334"/>
      <c r="F230" s="334"/>
      <c r="G230" s="335"/>
      <c r="H230" s="304"/>
      <c r="I230" s="336"/>
      <c r="J230" s="95"/>
      <c r="K230" s="23"/>
      <c r="L230" s="24"/>
      <c r="M230" s="24"/>
      <c r="N230" s="23"/>
    </row>
    <row r="231" spans="1:14" ht="18" customHeight="1">
      <c r="A231" s="337"/>
      <c r="B231" s="338"/>
      <c r="C231" s="338" t="s">
        <v>148</v>
      </c>
      <c r="D231" s="338"/>
      <c r="E231" s="338"/>
      <c r="F231" s="338"/>
      <c r="G231" s="335"/>
      <c r="H231" s="304"/>
      <c r="I231" s="336"/>
      <c r="J231" s="95"/>
      <c r="K231" s="23"/>
      <c r="L231" s="24"/>
      <c r="M231" s="24"/>
      <c r="N231" s="23"/>
    </row>
    <row r="232" spans="1:14" ht="18" customHeight="1">
      <c r="A232" s="337"/>
      <c r="B232" s="338"/>
      <c r="C232" s="338"/>
      <c r="D232" s="338" t="s">
        <v>149</v>
      </c>
      <c r="E232" s="338"/>
      <c r="F232" s="338"/>
      <c r="G232" s="335" t="s">
        <v>213</v>
      </c>
      <c r="H232" s="304" t="s">
        <v>257</v>
      </c>
      <c r="I232" s="336"/>
      <c r="J232" s="95">
        <f>'Form 1a-ABR Office'!I1032</f>
        <v>3940171</v>
      </c>
      <c r="K232" s="95">
        <f>'Form 1a-ABR Office'!J1032</f>
        <v>3851850.44</v>
      </c>
      <c r="L232" s="95">
        <f>'Form 1a-ABR Office'!K1032</f>
        <v>236147.56000000006</v>
      </c>
      <c r="M232" s="95">
        <f>'Form 1a-ABR Office'!L1032</f>
        <v>4087998</v>
      </c>
      <c r="N232" s="95">
        <f>'Form 1a-ABR Office'!M1032</f>
        <v>4084492</v>
      </c>
    </row>
    <row r="233" spans="1:14" ht="18" customHeight="1">
      <c r="A233" s="337"/>
      <c r="B233" s="338"/>
      <c r="C233" s="338"/>
      <c r="D233" s="338" t="s">
        <v>106</v>
      </c>
      <c r="E233" s="338"/>
      <c r="F233" s="338"/>
      <c r="G233" s="335" t="s">
        <v>84</v>
      </c>
      <c r="H233" s="304" t="s">
        <v>313</v>
      </c>
      <c r="I233" s="336"/>
      <c r="J233" s="95">
        <f>'Form 1a-ABR Office'!I1033</f>
        <v>0</v>
      </c>
      <c r="K233" s="95">
        <f>'Form 1a-ABR Office'!J1033</f>
        <v>0</v>
      </c>
      <c r="L233" s="95">
        <f>'Form 1a-ABR Office'!K1033</f>
        <v>0</v>
      </c>
      <c r="M233" s="95">
        <f>'Form 1a-ABR Office'!L1033</f>
        <v>0</v>
      </c>
      <c r="N233" s="95">
        <f>'Form 1a-ABR Office'!M1033</f>
        <v>0</v>
      </c>
    </row>
    <row r="234" spans="1:14" ht="18" customHeight="1">
      <c r="A234" s="337"/>
      <c r="B234" s="338"/>
      <c r="C234" s="338" t="s">
        <v>150</v>
      </c>
      <c r="D234" s="338"/>
      <c r="E234" s="338"/>
      <c r="F234" s="338"/>
      <c r="G234" s="335"/>
      <c r="H234" s="304"/>
      <c r="I234" s="336"/>
      <c r="J234" s="95"/>
      <c r="K234" s="23"/>
      <c r="L234" s="24"/>
      <c r="M234" s="23"/>
      <c r="N234" s="23"/>
    </row>
    <row r="235" spans="1:14" ht="18" customHeight="1">
      <c r="A235" s="337"/>
      <c r="B235" s="338"/>
      <c r="C235" s="338"/>
      <c r="D235" s="338" t="s">
        <v>151</v>
      </c>
      <c r="E235" s="338"/>
      <c r="F235" s="338"/>
      <c r="G235" s="335" t="s">
        <v>214</v>
      </c>
      <c r="H235" s="304" t="s">
        <v>258</v>
      </c>
      <c r="I235" s="336"/>
      <c r="J235" s="95">
        <f>'Form 1a-ABR Office'!I1035</f>
        <v>576000</v>
      </c>
      <c r="K235" s="95">
        <f>'Form 1a-ABR Office'!J1035</f>
        <v>529000</v>
      </c>
      <c r="L235" s="95">
        <f>'Form 1a-ABR Office'!K1035</f>
        <v>47000</v>
      </c>
      <c r="M235" s="95">
        <f t="shared" ref="M235:M236" si="6">K235+L235</f>
        <v>576000</v>
      </c>
      <c r="N235" s="95">
        <f>'Form 1a-ABR Office'!M1035</f>
        <v>576000</v>
      </c>
    </row>
    <row r="236" spans="1:14" ht="18" customHeight="1">
      <c r="A236" s="337"/>
      <c r="B236" s="338"/>
      <c r="C236" s="338"/>
      <c r="D236" s="338" t="s">
        <v>162</v>
      </c>
      <c r="E236" s="338"/>
      <c r="F236" s="338"/>
      <c r="G236" s="335" t="s">
        <v>217</v>
      </c>
      <c r="H236" s="304" t="s">
        <v>261</v>
      </c>
      <c r="I236" s="336"/>
      <c r="J236" s="95">
        <f>'Form 1a-ABR Office'!I1036</f>
        <v>144000</v>
      </c>
      <c r="K236" s="95">
        <f>'Form 1a-ABR Office'!J1036</f>
        <v>132000</v>
      </c>
      <c r="L236" s="95">
        <f>'Form 1a-ABR Office'!K1036</f>
        <v>12000</v>
      </c>
      <c r="M236" s="95">
        <f t="shared" si="6"/>
        <v>144000</v>
      </c>
      <c r="N236" s="95">
        <f>'Form 1a-ABR Office'!M1036</f>
        <v>144000</v>
      </c>
    </row>
    <row r="237" spans="1:14" s="396" customFormat="1" ht="18" customHeight="1">
      <c r="A237" s="395"/>
      <c r="B237" s="391"/>
      <c r="C237" s="391"/>
      <c r="D237" s="391" t="s">
        <v>618</v>
      </c>
      <c r="E237" s="391"/>
      <c r="F237" s="391"/>
      <c r="G237" s="393" t="s">
        <v>218</v>
      </c>
      <c r="H237" s="308" t="s">
        <v>278</v>
      </c>
      <c r="I237" s="392"/>
      <c r="J237" s="506">
        <f>'Form 1a-ABR Office'!I1037</f>
        <v>19800</v>
      </c>
      <c r="K237" s="506">
        <f>'Form 1a-ABR Office'!J1037</f>
        <v>17850</v>
      </c>
      <c r="L237" s="506">
        <f>'Form 1a-ABR Office'!K1037</f>
        <v>1950</v>
      </c>
      <c r="M237" s="506">
        <f>'Form 1a-ABR Office'!L1037</f>
        <v>19800</v>
      </c>
      <c r="N237" s="506">
        <f>'Form 1a-ABR Office'!M1037</f>
        <v>19800</v>
      </c>
    </row>
    <row r="238" spans="1:14" ht="18" customHeight="1">
      <c r="A238" s="337"/>
      <c r="B238" s="338"/>
      <c r="C238" s="338"/>
      <c r="D238" s="338" t="s">
        <v>365</v>
      </c>
      <c r="E238" s="338"/>
      <c r="F238" s="338"/>
      <c r="G238" s="339" t="s">
        <v>219</v>
      </c>
      <c r="H238" s="304" t="s">
        <v>262</v>
      </c>
      <c r="I238" s="336"/>
      <c r="J238" s="95">
        <f>'Form 1a-ABR Office'!I1038</f>
        <v>120000</v>
      </c>
      <c r="K238" s="95">
        <f>'Form 1a-ABR Office'!J1038</f>
        <v>115000</v>
      </c>
      <c r="L238" s="95">
        <f>'Form 1a-ABR Office'!K1038</f>
        <v>5000</v>
      </c>
      <c r="M238" s="95">
        <f>'Form 1a-ABR Office'!L1038</f>
        <v>120000</v>
      </c>
      <c r="N238" s="95">
        <f>'Form 1a-ABR Office'!M1038</f>
        <v>120000</v>
      </c>
    </row>
    <row r="239" spans="1:14" ht="18" customHeight="1">
      <c r="A239" s="337"/>
      <c r="B239" s="338"/>
      <c r="C239" s="338"/>
      <c r="D239" s="338" t="s">
        <v>164</v>
      </c>
      <c r="E239" s="338"/>
      <c r="F239" s="338"/>
      <c r="G239" s="335" t="s">
        <v>108</v>
      </c>
      <c r="H239" s="304" t="s">
        <v>263</v>
      </c>
      <c r="I239" s="336"/>
      <c r="J239" s="95">
        <f>'Form 1a-ABR Office'!I1039</f>
        <v>20000</v>
      </c>
      <c r="K239" s="95">
        <f>'Form 1a-ABR Office'!J1039</f>
        <v>0</v>
      </c>
      <c r="L239" s="95">
        <f>'Form 1a-ABR Office'!K1039</f>
        <v>5000</v>
      </c>
      <c r="M239" s="95">
        <f>'Form 1a-ABR Office'!L1039</f>
        <v>5000</v>
      </c>
      <c r="N239" s="95">
        <f>'Form 1a-ABR Office'!M1039</f>
        <v>20000</v>
      </c>
    </row>
    <row r="240" spans="1:14" ht="18" customHeight="1">
      <c r="A240" s="337"/>
      <c r="B240" s="338"/>
      <c r="C240" s="338"/>
      <c r="D240" s="338" t="s">
        <v>487</v>
      </c>
      <c r="E240" s="338"/>
      <c r="F240" s="338"/>
      <c r="G240" s="335"/>
      <c r="H240" s="304" t="str">
        <f>'[1]LBP NO. 2'!H1004</f>
        <v>5-01-02-990</v>
      </c>
      <c r="I240" s="336"/>
      <c r="J240" s="95">
        <f>'Form 1a-ABR Office'!I1040</f>
        <v>0</v>
      </c>
      <c r="K240" s="95">
        <f>'Form 1a-ABR Office'!J1040</f>
        <v>0</v>
      </c>
      <c r="L240" s="95">
        <f>'Form 1a-ABR Office'!K1040</f>
        <v>0</v>
      </c>
      <c r="M240" s="95">
        <f>'Form 1a-ABR Office'!L1040</f>
        <v>0</v>
      </c>
      <c r="N240" s="95">
        <f>'Form 1a-ABR Office'!M1040</f>
        <v>0</v>
      </c>
    </row>
    <row r="241" spans="1:30" ht="18" customHeight="1">
      <c r="A241" s="337"/>
      <c r="B241" s="338"/>
      <c r="C241" s="338"/>
      <c r="D241" s="338" t="s">
        <v>165</v>
      </c>
      <c r="E241" s="338"/>
      <c r="F241" s="338"/>
      <c r="G241" s="335" t="s">
        <v>220</v>
      </c>
      <c r="H241" s="304" t="s">
        <v>279</v>
      </c>
      <c r="I241" s="336"/>
      <c r="J241" s="95">
        <f>'Form 1a-ABR Office'!I1042</f>
        <v>21336</v>
      </c>
      <c r="K241" s="95">
        <f>'Form 1a-ABR Office'!J1042</f>
        <v>3556</v>
      </c>
      <c r="L241" s="95">
        <f>'Form 1a-ABR Office'!K1042</f>
        <v>17780</v>
      </c>
      <c r="M241" s="95">
        <f>'Form 1a-ABR Office'!L1042</f>
        <v>21336</v>
      </c>
      <c r="N241" s="95">
        <f>'Form 1a-ABR Office'!M1042</f>
        <v>21336</v>
      </c>
    </row>
    <row r="242" spans="1:30" ht="18" customHeight="1">
      <c r="A242" s="337"/>
      <c r="B242" s="338"/>
      <c r="C242" s="338"/>
      <c r="D242" s="338" t="s">
        <v>67</v>
      </c>
      <c r="E242" s="338"/>
      <c r="F242" s="338"/>
      <c r="G242" s="335" t="s">
        <v>221</v>
      </c>
      <c r="H242" s="304" t="s">
        <v>280</v>
      </c>
      <c r="I242" s="336"/>
      <c r="J242" s="95">
        <f>'Form 1a-ABR Office'!I1043</f>
        <v>100000</v>
      </c>
      <c r="K242" s="95">
        <f>'Form 1a-ABR Office'!J1043</f>
        <v>67962.87</v>
      </c>
      <c r="L242" s="95">
        <f>'Form 1a-ABR Office'!K1043</f>
        <v>32037.130000000005</v>
      </c>
      <c r="M242" s="95">
        <f>'Form 1a-ABR Office'!L1043</f>
        <v>100000</v>
      </c>
      <c r="N242" s="95">
        <f>'Form 1a-ABR Office'!M1043</f>
        <v>100000</v>
      </c>
    </row>
    <row r="243" spans="1:30" ht="18" customHeight="1">
      <c r="A243" s="337"/>
      <c r="B243" s="338"/>
      <c r="C243" s="338"/>
      <c r="D243" s="338" t="s">
        <v>166</v>
      </c>
      <c r="E243" s="338"/>
      <c r="F243" s="338"/>
      <c r="G243" s="335" t="s">
        <v>222</v>
      </c>
      <c r="H243" s="304" t="s">
        <v>264</v>
      </c>
      <c r="I243" s="336"/>
      <c r="J243" s="95">
        <f>'Form 1a-ABR Office'!I1044</f>
        <v>120000</v>
      </c>
      <c r="K243" s="95">
        <f>'Form 1a-ABR Office'!J1044</f>
        <v>115000</v>
      </c>
      <c r="L243" s="95">
        <f>'Form 1a-ABR Office'!K1044</f>
        <v>5000</v>
      </c>
      <c r="M243" s="95">
        <f>'Form 1a-ABR Office'!L1044</f>
        <v>120000</v>
      </c>
      <c r="N243" s="95">
        <f>'Form 1a-ABR Office'!M1044</f>
        <v>120000</v>
      </c>
    </row>
    <row r="244" spans="1:30" ht="18" customHeight="1">
      <c r="A244" s="337"/>
      <c r="B244" s="338"/>
      <c r="C244" s="338"/>
      <c r="D244" s="338" t="s">
        <v>427</v>
      </c>
      <c r="E244" s="338"/>
      <c r="F244" s="338"/>
      <c r="G244" s="335" t="s">
        <v>108</v>
      </c>
      <c r="H244" s="304" t="s">
        <v>263</v>
      </c>
      <c r="I244" s="336"/>
      <c r="J244" s="95">
        <f>'Form 1a-ABR Office'!I1045</f>
        <v>328301</v>
      </c>
      <c r="K244" s="95">
        <f>'Form 1a-ABR Office'!J1045</f>
        <v>317484</v>
      </c>
      <c r="L244" s="95">
        <f>'Form 1a-ABR Office'!K1045</f>
        <v>23136</v>
      </c>
      <c r="M244" s="95">
        <f>'Form 1a-ABR Office'!L1045</f>
        <v>340620</v>
      </c>
      <c r="N244" s="95">
        <f>'Form 1a-ABR Office'!M1045</f>
        <v>340223</v>
      </c>
    </row>
    <row r="245" spans="1:30" ht="18" customHeight="1">
      <c r="A245" s="337"/>
      <c r="B245" s="338"/>
      <c r="C245" s="338"/>
      <c r="D245" s="338" t="s">
        <v>475</v>
      </c>
      <c r="E245" s="338"/>
      <c r="F245" s="338"/>
      <c r="G245" s="335"/>
      <c r="H245" s="304" t="s">
        <v>263</v>
      </c>
      <c r="I245" s="336"/>
      <c r="J245" s="95">
        <f>'Form 1a-ABR Office'!I1041</f>
        <v>220000</v>
      </c>
      <c r="K245" s="95">
        <f>'Form 1a-ABR Office'!J1041</f>
        <v>0</v>
      </c>
      <c r="L245" s="95">
        <f>'Form 1a-ABR Office'!K1041</f>
        <v>0</v>
      </c>
      <c r="M245" s="95">
        <f>'Form 1a-ABR Office'!L1041</f>
        <v>0</v>
      </c>
      <c r="N245" s="95">
        <f>'Form 1a-ABR Office'!M1041</f>
        <v>0</v>
      </c>
    </row>
    <row r="246" spans="1:30" ht="18" customHeight="1">
      <c r="A246" s="337"/>
      <c r="B246" s="338"/>
      <c r="C246" s="338"/>
      <c r="D246" s="338" t="s">
        <v>167</v>
      </c>
      <c r="E246" s="338"/>
      <c r="F246" s="338"/>
      <c r="G246" s="335" t="s">
        <v>223</v>
      </c>
      <c r="H246" s="304" t="s">
        <v>265</v>
      </c>
      <c r="I246" s="336"/>
      <c r="J246" s="95">
        <f>'Form 1a-ABR Office'!I1046</f>
        <v>328392</v>
      </c>
      <c r="K246" s="95">
        <f>'Form 1a-ABR Office'!J1046</f>
        <v>328627</v>
      </c>
      <c r="L246" s="95">
        <f>'Form 1a-ABR Office'!K1046</f>
        <v>12086</v>
      </c>
      <c r="M246" s="95">
        <f>'Form 1a-ABR Office'!L1046</f>
        <v>340713</v>
      </c>
      <c r="N246" s="95">
        <f>'Form 1a-ABR Office'!M1046</f>
        <v>340453</v>
      </c>
    </row>
    <row r="247" spans="1:30" ht="18" customHeight="1">
      <c r="A247" s="337"/>
      <c r="B247" s="338"/>
      <c r="C247" s="338"/>
      <c r="D247" s="338" t="s">
        <v>249</v>
      </c>
      <c r="E247" s="338"/>
      <c r="F247" s="338"/>
      <c r="G247" s="335" t="s">
        <v>224</v>
      </c>
      <c r="H247" s="304" t="s">
        <v>266</v>
      </c>
      <c r="I247" s="336"/>
      <c r="J247" s="95">
        <f>'Form 1a-ABR Office'!I1047</f>
        <v>474000</v>
      </c>
      <c r="K247" s="95">
        <f>'Form 1a-ABR Office'!J1047</f>
        <v>434655.48</v>
      </c>
      <c r="L247" s="95">
        <f>'Form 1a-ABR Office'!K1047</f>
        <v>56344.520000000019</v>
      </c>
      <c r="M247" s="95">
        <f>'Form 1a-ABR Office'!L1047</f>
        <v>491000</v>
      </c>
      <c r="N247" s="95">
        <f>'Form 1a-ABR Office'!M1047</f>
        <v>491000</v>
      </c>
    </row>
    <row r="248" spans="1:30" ht="18" customHeight="1">
      <c r="A248" s="337"/>
      <c r="B248" s="338"/>
      <c r="C248" s="338"/>
      <c r="D248" s="338" t="s">
        <v>168</v>
      </c>
      <c r="E248" s="338"/>
      <c r="F248" s="338"/>
      <c r="G248" s="335" t="s">
        <v>225</v>
      </c>
      <c r="H248" s="304" t="s">
        <v>267</v>
      </c>
      <c r="I248" s="336"/>
      <c r="J248" s="95">
        <f>'Form 1a-ABR Office'!I1048</f>
        <v>43200</v>
      </c>
      <c r="K248" s="95">
        <f>'Form 1a-ABR Office'!J1048</f>
        <v>25700</v>
      </c>
      <c r="L248" s="95">
        <f>'Form 1a-ABR Office'!K1048</f>
        <v>17500</v>
      </c>
      <c r="M248" s="95">
        <f>'Form 1a-ABR Office'!L1048</f>
        <v>43200</v>
      </c>
      <c r="N248" s="95">
        <f>'Form 1a-ABR Office'!M1048</f>
        <v>43200</v>
      </c>
    </row>
    <row r="249" spans="1:30" ht="18" customHeight="1">
      <c r="A249" s="337"/>
      <c r="B249" s="338"/>
      <c r="C249" s="338"/>
      <c r="D249" s="338" t="s">
        <v>169</v>
      </c>
      <c r="E249" s="338"/>
      <c r="F249" s="338"/>
      <c r="G249" s="335" t="s">
        <v>226</v>
      </c>
      <c r="H249" s="304" t="s">
        <v>268</v>
      </c>
      <c r="I249" s="336"/>
      <c r="J249" s="95">
        <f>'Form 1a-ABR Office'!I1049</f>
        <v>80000</v>
      </c>
      <c r="K249" s="95">
        <f>'Form 1a-ABR Office'!J1049</f>
        <v>71083.600000000006</v>
      </c>
      <c r="L249" s="95">
        <f>'Form 1a-ABR Office'!K1049</f>
        <v>20916.399999999994</v>
      </c>
      <c r="M249" s="95">
        <f>'Form 1a-ABR Office'!L1049</f>
        <v>92000</v>
      </c>
      <c r="N249" s="95">
        <f>'Form 1a-ABR Office'!M1049</f>
        <v>102500</v>
      </c>
    </row>
    <row r="250" spans="1:30" ht="18" customHeight="1">
      <c r="A250" s="337"/>
      <c r="B250" s="338"/>
      <c r="C250" s="338"/>
      <c r="D250" s="338" t="s">
        <v>248</v>
      </c>
      <c r="E250" s="338"/>
      <c r="F250" s="338"/>
      <c r="G250" s="335" t="s">
        <v>227</v>
      </c>
      <c r="H250" s="304" t="s">
        <v>269</v>
      </c>
      <c r="I250" s="336"/>
      <c r="J250" s="95">
        <f>'Form 1a-ABR Office'!I1050</f>
        <v>28800</v>
      </c>
      <c r="K250" s="95">
        <f>'Form 1a-ABR Office'!J1050</f>
        <v>24700</v>
      </c>
      <c r="L250" s="95">
        <f>'Form 1a-ABR Office'!K1050</f>
        <v>4100</v>
      </c>
      <c r="M250" s="95">
        <f>'Form 1a-ABR Office'!L1050</f>
        <v>28800</v>
      </c>
      <c r="N250" s="95">
        <f>'Form 1a-ABR Office'!M1050</f>
        <v>28800</v>
      </c>
    </row>
    <row r="251" spans="1:30" ht="18" customHeight="1">
      <c r="A251" s="337"/>
      <c r="B251" s="338"/>
      <c r="C251" s="338"/>
      <c r="D251" s="338" t="s">
        <v>69</v>
      </c>
      <c r="E251" s="338"/>
      <c r="F251" s="338"/>
      <c r="G251" s="339"/>
      <c r="H251" s="304" t="s">
        <v>270</v>
      </c>
      <c r="I251" s="336"/>
      <c r="J251" s="95">
        <f>'Form 1a-ABR Office'!I1051</f>
        <v>0</v>
      </c>
      <c r="K251" s="95">
        <f>'Form 1a-ABR Office'!J1051</f>
        <v>87316.36</v>
      </c>
      <c r="L251" s="95">
        <f>'Form 1a-ABR Office'!K1051</f>
        <v>0</v>
      </c>
      <c r="M251" s="95">
        <f>'Form 1a-ABR Office'!L1051</f>
        <v>87316.36</v>
      </c>
      <c r="N251" s="95">
        <f>'Form 1a-ABR Office'!M1051</f>
        <v>0</v>
      </c>
    </row>
    <row r="252" spans="1:30" ht="18" customHeight="1">
      <c r="A252" s="337"/>
      <c r="B252" s="338"/>
      <c r="C252" s="338"/>
      <c r="D252" s="341" t="s">
        <v>171</v>
      </c>
      <c r="E252" s="341"/>
      <c r="F252" s="341"/>
      <c r="G252" s="342" t="s">
        <v>82</v>
      </c>
      <c r="H252" s="305" t="s">
        <v>281</v>
      </c>
      <c r="I252" s="336"/>
      <c r="J252" s="95">
        <f>'Form 1a-ABR Office'!I1052</f>
        <v>405000</v>
      </c>
      <c r="K252" s="95">
        <f>'Form 1a-ABR Office'!J1052</f>
        <v>0</v>
      </c>
      <c r="L252" s="95">
        <f>'Form 1a-ABR Office'!K1052</f>
        <v>389683.64</v>
      </c>
      <c r="M252" s="95">
        <f>'Form 1a-ABR Office'!L1052</f>
        <v>389683.64</v>
      </c>
      <c r="N252" s="95">
        <f>'Form 1a-ABR Office'!M1052</f>
        <v>400000</v>
      </c>
    </row>
    <row r="253" spans="1:30" ht="18" customHeight="1">
      <c r="A253" s="337"/>
      <c r="B253" s="338"/>
      <c r="C253" s="338"/>
      <c r="D253" s="271" t="s">
        <v>589</v>
      </c>
      <c r="E253" s="271"/>
      <c r="F253" s="272"/>
      <c r="G253" s="273"/>
      <c r="H253" s="275" t="s">
        <v>281</v>
      </c>
      <c r="I253" s="336"/>
      <c r="J253" s="95">
        <f>'Form 1a-ABR Office'!I1053</f>
        <v>0</v>
      </c>
      <c r="K253" s="95">
        <f>'Form 1a-ABR Office'!J1053</f>
        <v>0</v>
      </c>
      <c r="L253" s="95">
        <f>'Form 1a-ABR Office'!K1053</f>
        <v>600000</v>
      </c>
      <c r="M253" s="95">
        <f>'Form 1a-ABR Office'!L1053</f>
        <v>600000</v>
      </c>
      <c r="N253" s="95">
        <f>'Form 1a-ABR Office'!M1053</f>
        <v>1800000</v>
      </c>
    </row>
    <row r="254" spans="1:30" ht="18" customHeight="1" thickBot="1">
      <c r="A254" s="424"/>
      <c r="B254" s="316"/>
      <c r="C254" s="316"/>
      <c r="D254" s="316" t="s">
        <v>476</v>
      </c>
      <c r="E254" s="316"/>
      <c r="F254" s="316"/>
      <c r="G254" s="412" t="s">
        <v>82</v>
      </c>
      <c r="H254" s="413" t="s">
        <v>281</v>
      </c>
      <c r="I254" s="414"/>
      <c r="J254" s="94">
        <f>'Form 1a-ABR Office'!I1054</f>
        <v>240000</v>
      </c>
      <c r="K254" s="94">
        <f>'Form 1a-ABR Office'!J1054</f>
        <v>0</v>
      </c>
      <c r="L254" s="94">
        <f>'Form 1a-ABR Office'!K1054</f>
        <v>0</v>
      </c>
      <c r="M254" s="94">
        <f>'Form 1a-ABR Office'!L1054</f>
        <v>0</v>
      </c>
      <c r="N254" s="94">
        <f>'Form 1a-ABR Office'!M1054</f>
        <v>0</v>
      </c>
    </row>
    <row r="255" spans="1:30" ht="18" customHeight="1" thickBot="1">
      <c r="A255" s="514"/>
      <c r="B255" s="316"/>
      <c r="C255" s="316"/>
      <c r="D255" s="316" t="s">
        <v>619</v>
      </c>
      <c r="E255" s="316"/>
      <c r="F255" s="316"/>
      <c r="G255" s="412"/>
      <c r="H255" s="413" t="s">
        <v>281</v>
      </c>
      <c r="I255" s="414"/>
      <c r="J255" s="105"/>
      <c r="K255" s="105">
        <f>'Form 1a-ABR Office'!J1056</f>
        <v>702500</v>
      </c>
      <c r="L255" s="105">
        <f>'Form 1a-ABR Office'!K1056</f>
        <v>0</v>
      </c>
      <c r="M255" s="105">
        <f>'Form 1a-ABR Office'!L1056</f>
        <v>702500</v>
      </c>
      <c r="N255" s="105">
        <f>'Form 1a-ABR Office'!M1056</f>
        <v>0</v>
      </c>
    </row>
    <row r="256" spans="1:30" s="349" customFormat="1" ht="18" customHeight="1" thickBot="1">
      <c r="A256" s="354"/>
      <c r="B256" s="345"/>
      <c r="C256" s="345"/>
      <c r="D256" s="345" t="s">
        <v>68</v>
      </c>
      <c r="E256" s="345"/>
      <c r="F256" s="345"/>
      <c r="G256" s="346"/>
      <c r="H256" s="306"/>
      <c r="I256" s="347"/>
      <c r="J256" s="106">
        <f>SUM(J232:J255)</f>
        <v>7209000</v>
      </c>
      <c r="K256" s="106">
        <f t="shared" ref="K256:N256" si="7">SUM(K232:K255)</f>
        <v>6824285.7499999991</v>
      </c>
      <c r="L256" s="106">
        <f t="shared" si="7"/>
        <v>1485681.25</v>
      </c>
      <c r="M256" s="106">
        <f t="shared" si="7"/>
        <v>8309967</v>
      </c>
      <c r="N256" s="106">
        <f t="shared" si="7"/>
        <v>8751804</v>
      </c>
      <c r="P256" s="310"/>
      <c r="Q256" s="446"/>
      <c r="R256" s="310"/>
      <c r="S256" s="310"/>
      <c r="T256" s="310"/>
      <c r="U256" s="310"/>
      <c r="V256" s="310"/>
      <c r="W256" s="310"/>
      <c r="X256" s="310"/>
      <c r="Y256" s="310"/>
      <c r="Z256" s="310"/>
      <c r="AA256" s="310"/>
      <c r="AB256" s="310"/>
      <c r="AC256" s="310"/>
      <c r="AD256" s="310"/>
    </row>
    <row r="257" spans="1:30" ht="18" customHeight="1">
      <c r="A257" s="350"/>
      <c r="B257" s="425" t="s">
        <v>586</v>
      </c>
      <c r="C257" s="426"/>
      <c r="D257" s="426"/>
      <c r="E257" s="426"/>
      <c r="F257" s="426"/>
      <c r="G257" s="352"/>
      <c r="H257" s="303"/>
      <c r="I257" s="353"/>
      <c r="J257" s="94"/>
      <c r="K257" s="26"/>
      <c r="L257" s="27"/>
      <c r="M257" s="26"/>
      <c r="N257" s="26"/>
    </row>
    <row r="258" spans="1:30" ht="18" customHeight="1">
      <c r="A258" s="337"/>
      <c r="B258" s="338"/>
      <c r="C258" s="338"/>
      <c r="D258" s="338" t="s">
        <v>173</v>
      </c>
      <c r="E258" s="338"/>
      <c r="F258" s="338"/>
      <c r="G258" s="335" t="s">
        <v>75</v>
      </c>
      <c r="H258" s="304" t="s">
        <v>271</v>
      </c>
      <c r="I258" s="336"/>
      <c r="J258" s="95">
        <f>'Form 1a-ABR Office'!I1059</f>
        <v>23050</v>
      </c>
      <c r="K258" s="95">
        <f>'Form 1a-ABR Office'!J1059</f>
        <v>27750</v>
      </c>
      <c r="L258" s="95">
        <f>'Form 1a-ABR Office'!K1059</f>
        <v>22250</v>
      </c>
      <c r="M258" s="95">
        <f>'Form 1a-ABR Office'!L1059</f>
        <v>50000</v>
      </c>
      <c r="N258" s="95">
        <f>'Form 1a-ABR Office'!M1059</f>
        <v>50000</v>
      </c>
    </row>
    <row r="259" spans="1:30" ht="18" customHeight="1">
      <c r="A259" s="337"/>
      <c r="B259" s="338"/>
      <c r="C259" s="338"/>
      <c r="D259" s="338" t="s">
        <v>107</v>
      </c>
      <c r="E259" s="338"/>
      <c r="F259" s="338"/>
      <c r="G259" s="335" t="s">
        <v>76</v>
      </c>
      <c r="H259" s="304" t="s">
        <v>272</v>
      </c>
      <c r="I259" s="336"/>
      <c r="J259" s="80">
        <f>'Form 1a-ABR Office'!I1060</f>
        <v>21325</v>
      </c>
      <c r="K259" s="80">
        <f>'Form 1a-ABR Office'!J1060</f>
        <v>38382.33</v>
      </c>
      <c r="L259" s="80">
        <f>'Form 1a-ABR Office'!K1060</f>
        <v>1617.6699999999983</v>
      </c>
      <c r="M259" s="80">
        <f>'Form 1a-ABR Office'!L1060</f>
        <v>40000</v>
      </c>
      <c r="N259" s="80">
        <f>'Form 1a-ABR Office'!M1060</f>
        <v>40000</v>
      </c>
    </row>
    <row r="260" spans="1:30" ht="18" customHeight="1">
      <c r="A260" s="337"/>
      <c r="B260" s="338"/>
      <c r="C260" s="338"/>
      <c r="D260" s="338" t="s">
        <v>73</v>
      </c>
      <c r="E260" s="338"/>
      <c r="F260" s="338"/>
      <c r="G260" s="335" t="s">
        <v>78</v>
      </c>
      <c r="H260" s="304" t="s">
        <v>273</v>
      </c>
      <c r="I260" s="336"/>
      <c r="J260" s="95">
        <f>'Form 1a-ABR Office'!I1061</f>
        <v>309868.05</v>
      </c>
      <c r="K260" s="95">
        <f>'Form 1a-ABR Office'!J1061</f>
        <v>374159</v>
      </c>
      <c r="L260" s="95">
        <f>'Form 1a-ABR Office'!K1061</f>
        <v>75841</v>
      </c>
      <c r="M260" s="95">
        <f>'Form 1a-ABR Office'!L1061</f>
        <v>450000</v>
      </c>
      <c r="N260" s="95">
        <f>'Form 1a-ABR Office'!M1061</f>
        <v>550000</v>
      </c>
    </row>
    <row r="261" spans="1:30" ht="18" customHeight="1">
      <c r="A261" s="337"/>
      <c r="B261" s="338"/>
      <c r="C261" s="338"/>
      <c r="D261" s="338" t="s">
        <v>179</v>
      </c>
      <c r="E261" s="338"/>
      <c r="F261" s="338"/>
      <c r="G261" s="335" t="s">
        <v>79</v>
      </c>
      <c r="H261" s="304" t="s">
        <v>275</v>
      </c>
      <c r="I261" s="336"/>
      <c r="J261" s="95">
        <f>'Form 1a-ABR Office'!I1063</f>
        <v>12000</v>
      </c>
      <c r="K261" s="95">
        <f>'Form 1a-ABR Office'!J1063</f>
        <v>12000</v>
      </c>
      <c r="L261" s="95">
        <f>'Form 1a-ABR Office'!K1063</f>
        <v>0</v>
      </c>
      <c r="M261" s="95">
        <f>'Form 1a-ABR Office'!L1063</f>
        <v>12000</v>
      </c>
      <c r="N261" s="95">
        <f>'Form 1a-ABR Office'!M1063</f>
        <v>12000</v>
      </c>
    </row>
    <row r="262" spans="1:30" ht="18" customHeight="1">
      <c r="A262" s="337"/>
      <c r="B262" s="338"/>
      <c r="C262" s="338"/>
      <c r="D262" s="338" t="s">
        <v>437</v>
      </c>
      <c r="E262" s="338"/>
      <c r="F262" s="338"/>
      <c r="G262" s="335" t="s">
        <v>80</v>
      </c>
      <c r="H262" s="304" t="s">
        <v>276</v>
      </c>
      <c r="I262" s="336"/>
      <c r="J262" s="95">
        <f>'Form 1a-ABR Office'!I1066</f>
        <v>16200</v>
      </c>
      <c r="K262" s="95">
        <f>'Form 1a-ABR Office'!J1066</f>
        <v>2400</v>
      </c>
      <c r="L262" s="95">
        <f>'Form 1a-ABR Office'!K1066</f>
        <v>37600</v>
      </c>
      <c r="M262" s="95">
        <f>'Form 1a-ABR Office'!L1066</f>
        <v>40000</v>
      </c>
      <c r="N262" s="95">
        <f>'Form 1a-ABR Office'!M1066</f>
        <v>40000</v>
      </c>
    </row>
    <row r="263" spans="1:30" ht="18" customHeight="1">
      <c r="A263" s="337"/>
      <c r="B263" s="338"/>
      <c r="C263" s="338"/>
      <c r="D263" s="338" t="s">
        <v>448</v>
      </c>
      <c r="E263" s="338"/>
      <c r="F263" s="338"/>
      <c r="G263" s="335"/>
      <c r="H263" s="304" t="s">
        <v>449</v>
      </c>
      <c r="I263" s="336"/>
      <c r="J263" s="95">
        <f>'Form 1a-ABR Office'!I1065</f>
        <v>98298.15</v>
      </c>
      <c r="K263" s="95">
        <f>'Form 1a-ABR Office'!J1065</f>
        <v>184112.13</v>
      </c>
      <c r="L263" s="95">
        <f>'Form 1a-ABR Office'!K1065</f>
        <v>187343.91999999998</v>
      </c>
      <c r="M263" s="95">
        <f>'Form 1a-ABR Office'!L1065</f>
        <v>371456.05</v>
      </c>
      <c r="N263" s="95">
        <f>'Form 1a-ABR Office'!M1065</f>
        <v>276000</v>
      </c>
    </row>
    <row r="264" spans="1:30" ht="18" customHeight="1" thickBot="1">
      <c r="A264" s="340"/>
      <c r="B264" s="341"/>
      <c r="C264" s="341"/>
      <c r="D264" s="271" t="s">
        <v>70</v>
      </c>
      <c r="E264" s="271"/>
      <c r="F264" s="272"/>
      <c r="G264" s="273" t="s">
        <v>242</v>
      </c>
      <c r="H264" s="275" t="s">
        <v>316</v>
      </c>
      <c r="I264" s="343"/>
      <c r="J264" s="101">
        <f>'Form 1a-ABR Office'!I1067</f>
        <v>259235.24</v>
      </c>
      <c r="K264" s="101">
        <f>'Form 1a-ABR Office'!J1067</f>
        <v>259235.24</v>
      </c>
      <c r="L264" s="101">
        <f>'Form 1a-ABR Office'!K1067</f>
        <v>10764.760000000009</v>
      </c>
      <c r="M264" s="101">
        <f>'Form 1a-ABR Office'!L1067</f>
        <v>270000</v>
      </c>
      <c r="N264" s="101">
        <f>'Form 1a-ABR Office'!M1067</f>
        <v>270000</v>
      </c>
    </row>
    <row r="265" spans="1:30" s="349" customFormat="1" ht="18" customHeight="1" thickBot="1">
      <c r="A265" s="344"/>
      <c r="B265" s="345"/>
      <c r="C265" s="345"/>
      <c r="D265" s="345" t="s">
        <v>322</v>
      </c>
      <c r="E265" s="345"/>
      <c r="F265" s="345"/>
      <c r="G265" s="415"/>
      <c r="H265" s="306"/>
      <c r="I265" s="347"/>
      <c r="J265" s="106">
        <f>SUM(J258:J264)</f>
        <v>739976.44</v>
      </c>
      <c r="K265" s="106">
        <f t="shared" ref="K265:N265" si="8">SUM(K258:K264)</f>
        <v>898038.7</v>
      </c>
      <c r="L265" s="106">
        <f t="shared" si="8"/>
        <v>335417.34999999998</v>
      </c>
      <c r="M265" s="106">
        <f t="shared" si="8"/>
        <v>1233456.05</v>
      </c>
      <c r="N265" s="106">
        <f t="shared" si="8"/>
        <v>1238000</v>
      </c>
      <c r="P265" s="310"/>
      <c r="Q265" s="446"/>
      <c r="R265" s="310"/>
      <c r="S265" s="310"/>
      <c r="T265" s="310"/>
      <c r="U265" s="310"/>
      <c r="V265" s="310"/>
      <c r="W265" s="310"/>
      <c r="X265" s="310"/>
      <c r="Y265" s="310"/>
      <c r="Z265" s="310"/>
      <c r="AA265" s="310"/>
      <c r="AB265" s="310"/>
      <c r="AC265" s="310"/>
      <c r="AD265" s="310"/>
    </row>
    <row r="266" spans="1:30" s="349" customFormat="1" ht="18" customHeight="1">
      <c r="A266" s="379"/>
      <c r="B266" s="380"/>
      <c r="C266" s="380"/>
      <c r="D266" s="380"/>
      <c r="E266" s="380"/>
      <c r="F266" s="380"/>
      <c r="G266" s="427"/>
      <c r="H266" s="117"/>
      <c r="I266" s="428"/>
      <c r="J266" s="158"/>
      <c r="K266" s="158"/>
      <c r="L266" s="429"/>
      <c r="M266" s="158"/>
      <c r="N266" s="158"/>
      <c r="P266" s="310"/>
      <c r="Q266" s="310"/>
      <c r="R266" s="310"/>
      <c r="S266" s="310"/>
      <c r="T266" s="310"/>
      <c r="U266" s="310"/>
      <c r="V266" s="310"/>
      <c r="W266" s="310"/>
      <c r="X266" s="310"/>
      <c r="Y266" s="310"/>
      <c r="Z266" s="310"/>
      <c r="AA266" s="310"/>
      <c r="AB266" s="310"/>
      <c r="AC266" s="310"/>
      <c r="AD266" s="310"/>
    </row>
    <row r="267" spans="1:30" ht="18" customHeight="1">
      <c r="A267" s="337"/>
      <c r="B267" s="334" t="s">
        <v>587</v>
      </c>
      <c r="C267" s="334"/>
      <c r="D267" s="334"/>
      <c r="E267" s="334"/>
      <c r="F267" s="334"/>
      <c r="G267" s="335"/>
      <c r="H267" s="304"/>
      <c r="I267" s="336"/>
      <c r="J267" s="95"/>
      <c r="K267" s="95"/>
      <c r="L267" s="95"/>
      <c r="M267" s="23"/>
      <c r="N267" s="95"/>
    </row>
    <row r="268" spans="1:30" ht="18" customHeight="1">
      <c r="A268" s="337"/>
      <c r="B268" s="334"/>
      <c r="C268" s="334"/>
      <c r="D268" s="338" t="s">
        <v>256</v>
      </c>
      <c r="E268" s="334"/>
      <c r="F268" s="334"/>
      <c r="G268" s="335"/>
      <c r="H268" s="304" t="s">
        <v>410</v>
      </c>
      <c r="I268" s="336"/>
      <c r="J268" s="95">
        <f>'Form 1a-ABR Office'!I1070</f>
        <v>30000</v>
      </c>
      <c r="K268" s="95">
        <f>'Form 1a-ABR Office'!J1070</f>
        <v>0</v>
      </c>
      <c r="L268" s="95">
        <f>'Form 1a-ABR Office'!K1070</f>
        <v>0</v>
      </c>
      <c r="M268" s="95">
        <f>'Form 1a-ABR Office'!L1070</f>
        <v>0</v>
      </c>
      <c r="N268" s="95">
        <f>'Form 1a-ABR Office'!M1070</f>
        <v>60000</v>
      </c>
    </row>
    <row r="269" spans="1:30" ht="18" customHeight="1">
      <c r="A269" s="337"/>
      <c r="B269" s="334"/>
      <c r="C269" s="334"/>
      <c r="D269" s="271" t="s">
        <v>416</v>
      </c>
      <c r="E269" s="271"/>
      <c r="F269" s="272"/>
      <c r="G269" s="273" t="s">
        <v>430</v>
      </c>
      <c r="H269" s="275" t="s">
        <v>417</v>
      </c>
      <c r="I269" s="336"/>
      <c r="J269" s="95">
        <f>'Form 1a-ABR Office'!I1071</f>
        <v>0</v>
      </c>
      <c r="K269" s="95">
        <f>'Form 1a-ABR Office'!J1071</f>
        <v>0</v>
      </c>
      <c r="L269" s="95">
        <f>'Form 1a-ABR Office'!K1071</f>
        <v>100000</v>
      </c>
      <c r="M269" s="95">
        <f>'Form 1a-ABR Office'!L1071</f>
        <v>100000</v>
      </c>
      <c r="N269" s="95">
        <f>'Form 1a-ABR Office'!M1071</f>
        <v>0</v>
      </c>
    </row>
    <row r="270" spans="1:30" ht="18" customHeight="1" thickBot="1">
      <c r="A270" s="337"/>
      <c r="B270" s="334"/>
      <c r="C270" s="334"/>
      <c r="D270" s="338" t="s">
        <v>493</v>
      </c>
      <c r="E270" s="338"/>
      <c r="F270" s="430"/>
      <c r="G270" s="431"/>
      <c r="H270" s="304" t="s">
        <v>453</v>
      </c>
      <c r="I270" s="336"/>
      <c r="J270" s="95">
        <f>'Form 1a-ABR Office'!I1072</f>
        <v>177950</v>
      </c>
      <c r="K270" s="95">
        <f>'Form 1a-ABR Office'!J1072</f>
        <v>0</v>
      </c>
      <c r="L270" s="95">
        <f>'Form 1a-ABR Office'!K1072</f>
        <v>0</v>
      </c>
      <c r="M270" s="95">
        <f>'Form 1a-ABR Office'!L1072</f>
        <v>0</v>
      </c>
      <c r="N270" s="95">
        <f>'Form 1a-ABR Office'!M1072</f>
        <v>0</v>
      </c>
    </row>
    <row r="271" spans="1:30" s="349" customFormat="1" ht="18" customHeight="1" thickBot="1">
      <c r="A271" s="344"/>
      <c r="B271" s="345"/>
      <c r="C271" s="345"/>
      <c r="D271" s="345" t="s">
        <v>323</v>
      </c>
      <c r="E271" s="345"/>
      <c r="F271" s="345"/>
      <c r="G271" s="346"/>
      <c r="H271" s="346"/>
      <c r="I271" s="347"/>
      <c r="J271" s="106">
        <f>SUM(J268:J270)</f>
        <v>207950</v>
      </c>
      <c r="K271" s="106">
        <f>SUM(K268:K270)</f>
        <v>0</v>
      </c>
      <c r="L271" s="106">
        <f>SUM(L268:L270)</f>
        <v>100000</v>
      </c>
      <c r="M271" s="106">
        <f>SUM(M268:M270)</f>
        <v>100000</v>
      </c>
      <c r="N271" s="106">
        <f>SUM(N268:N270)</f>
        <v>60000</v>
      </c>
      <c r="P271" s="310"/>
      <c r="Q271" s="446"/>
      <c r="R271" s="310"/>
      <c r="S271" s="310"/>
      <c r="T271" s="310"/>
      <c r="U271" s="310"/>
      <c r="V271" s="310"/>
      <c r="W271" s="310"/>
      <c r="X271" s="310"/>
      <c r="Y271" s="310"/>
      <c r="Z271" s="310"/>
      <c r="AA271" s="310"/>
      <c r="AB271" s="310"/>
      <c r="AC271" s="310"/>
      <c r="AD271" s="310"/>
    </row>
    <row r="272" spans="1:30" ht="18" customHeight="1" thickBot="1">
      <c r="A272" s="337"/>
      <c r="B272" s="334" t="s">
        <v>588</v>
      </c>
      <c r="C272" s="334"/>
      <c r="D272" s="334"/>
      <c r="E272" s="334"/>
      <c r="F272" s="334"/>
      <c r="G272" s="335"/>
      <c r="H272" s="304"/>
      <c r="I272" s="336"/>
      <c r="J272" s="95">
        <v>0</v>
      </c>
      <c r="K272" s="95">
        <v>0</v>
      </c>
      <c r="L272" s="95">
        <v>0</v>
      </c>
      <c r="M272" s="23">
        <f>L272+K272</f>
        <v>0</v>
      </c>
      <c r="N272" s="95">
        <v>0</v>
      </c>
    </row>
    <row r="273" spans="1:30" s="349" customFormat="1" ht="18" customHeight="1" thickBot="1">
      <c r="A273" s="344"/>
      <c r="B273" s="345"/>
      <c r="C273" s="345"/>
      <c r="D273" s="345"/>
      <c r="E273" s="345"/>
      <c r="F273" s="450" t="s">
        <v>74</v>
      </c>
      <c r="G273" s="346"/>
      <c r="H273" s="346"/>
      <c r="I273" s="347"/>
      <c r="J273" s="97">
        <f>J272+J271+J265+J256</f>
        <v>8156926.4399999995</v>
      </c>
      <c r="K273" s="97">
        <f>K272+K271+K265+K256</f>
        <v>7722324.4499999993</v>
      </c>
      <c r="L273" s="97">
        <f>L272+L271+L265+L256</f>
        <v>1921098.6</v>
      </c>
      <c r="M273" s="97">
        <f>M272+M271+M265+M256</f>
        <v>9643423.0500000007</v>
      </c>
      <c r="N273" s="97">
        <f>N272+N271+N265+N256</f>
        <v>10049804</v>
      </c>
      <c r="P273" s="310"/>
      <c r="Q273" s="310"/>
      <c r="R273" s="310"/>
      <c r="S273" s="310"/>
      <c r="T273" s="310"/>
      <c r="U273" s="310"/>
      <c r="V273" s="310"/>
      <c r="W273" s="310"/>
      <c r="X273" s="310"/>
      <c r="Y273" s="310"/>
      <c r="Z273" s="310"/>
      <c r="AA273" s="310"/>
      <c r="AB273" s="310"/>
      <c r="AC273" s="310"/>
      <c r="AD273" s="310"/>
    </row>
    <row r="274" spans="1:30" s="349" customFormat="1" ht="18" customHeight="1">
      <c r="A274" s="355"/>
      <c r="B274" s="355"/>
      <c r="C274" s="355"/>
      <c r="D274" s="355"/>
      <c r="E274" s="355"/>
      <c r="F274" s="454"/>
      <c r="G274" s="370"/>
      <c r="H274" s="370"/>
      <c r="I274" s="357"/>
      <c r="J274" s="154"/>
      <c r="K274" s="154"/>
      <c r="L274" s="154"/>
      <c r="M274" s="154"/>
      <c r="N274" s="154"/>
      <c r="P274" s="310"/>
      <c r="Q274" s="310"/>
      <c r="R274" s="310"/>
      <c r="S274" s="310"/>
      <c r="T274" s="310"/>
      <c r="U274" s="310"/>
      <c r="V274" s="310"/>
      <c r="W274" s="310"/>
      <c r="X274" s="310"/>
      <c r="Y274" s="310"/>
      <c r="Z274" s="310"/>
      <c r="AA274" s="310"/>
      <c r="AB274" s="310"/>
      <c r="AC274" s="310"/>
      <c r="AD274" s="310"/>
    </row>
    <row r="275" spans="1:30" s="349" customFormat="1" ht="18" customHeight="1">
      <c r="A275" s="355"/>
      <c r="B275" s="355"/>
      <c r="C275" s="355"/>
      <c r="D275" s="355"/>
      <c r="E275" s="355"/>
      <c r="F275" s="454"/>
      <c r="G275" s="370"/>
      <c r="H275" s="370"/>
      <c r="I275" s="357"/>
      <c r="J275" s="154"/>
      <c r="K275" s="154"/>
      <c r="L275" s="154"/>
      <c r="M275" s="154"/>
      <c r="N275" s="154"/>
      <c r="P275" s="310"/>
      <c r="Q275" s="310"/>
      <c r="R275" s="310"/>
      <c r="S275" s="310"/>
      <c r="T275" s="310"/>
      <c r="U275" s="310"/>
      <c r="V275" s="310"/>
      <c r="W275" s="310"/>
      <c r="X275" s="310"/>
      <c r="Y275" s="310"/>
      <c r="Z275" s="310"/>
      <c r="AA275" s="310"/>
      <c r="AB275" s="310"/>
      <c r="AC275" s="310"/>
      <c r="AD275" s="310"/>
    </row>
    <row r="276" spans="1:30" s="349" customFormat="1" ht="18" customHeight="1">
      <c r="A276" s="551" t="s">
        <v>578</v>
      </c>
      <c r="B276" s="551"/>
      <c r="C276" s="551"/>
      <c r="D276" s="551"/>
      <c r="E276" s="551"/>
      <c r="F276" s="551"/>
      <c r="G276" s="370"/>
      <c r="H276" s="552" t="s">
        <v>602</v>
      </c>
      <c r="I276" s="552"/>
      <c r="J276" s="552"/>
      <c r="K276" s="552" t="s">
        <v>603</v>
      </c>
      <c r="L276" s="552"/>
      <c r="M276" s="552"/>
      <c r="N276" s="552"/>
      <c r="P276" s="310"/>
      <c r="Q276" s="310"/>
      <c r="R276" s="310"/>
      <c r="S276" s="310"/>
      <c r="T276" s="310"/>
      <c r="U276" s="310"/>
      <c r="V276" s="310"/>
      <c r="W276" s="310"/>
      <c r="X276" s="310"/>
      <c r="Y276" s="310"/>
      <c r="Z276" s="310"/>
      <c r="AA276" s="310"/>
      <c r="AB276" s="310"/>
      <c r="AC276" s="310"/>
      <c r="AD276" s="310"/>
    </row>
    <row r="277" spans="1:30" s="349" customFormat="1" ht="18" customHeight="1">
      <c r="A277" s="551"/>
      <c r="B277" s="551"/>
      <c r="C277" s="551"/>
      <c r="D277" s="551"/>
      <c r="E277" s="551"/>
      <c r="F277" s="551"/>
      <c r="G277" s="370"/>
      <c r="H277" s="552"/>
      <c r="I277" s="552"/>
      <c r="J277" s="552"/>
      <c r="K277" s="552"/>
      <c r="L277" s="552"/>
      <c r="M277" s="552"/>
      <c r="N277" s="552"/>
      <c r="P277" s="310"/>
      <c r="Q277" s="310"/>
      <c r="R277" s="310"/>
      <c r="S277" s="310"/>
      <c r="T277" s="310"/>
      <c r="U277" s="310"/>
      <c r="V277" s="310"/>
      <c r="W277" s="310"/>
      <c r="X277" s="310"/>
      <c r="Y277" s="310"/>
      <c r="Z277" s="310"/>
      <c r="AA277" s="310"/>
      <c r="AB277" s="310"/>
      <c r="AC277" s="310"/>
      <c r="AD277" s="310"/>
    </row>
    <row r="278" spans="1:30" s="349" customFormat="1" ht="18" customHeight="1">
      <c r="A278" s="355"/>
      <c r="B278" s="355"/>
      <c r="C278" s="355"/>
      <c r="D278" s="355"/>
      <c r="E278" s="355"/>
      <c r="F278" s="454"/>
      <c r="G278" s="370"/>
      <c r="H278" s="370"/>
      <c r="I278" s="357"/>
      <c r="J278" s="154"/>
      <c r="K278" s="154"/>
      <c r="L278" s="154"/>
      <c r="M278" s="154"/>
      <c r="N278" s="154"/>
      <c r="P278" s="310"/>
      <c r="Q278" s="310"/>
      <c r="R278" s="310"/>
      <c r="S278" s="310"/>
      <c r="T278" s="310"/>
      <c r="U278" s="310"/>
      <c r="V278" s="310"/>
      <c r="W278" s="310"/>
      <c r="X278" s="310"/>
      <c r="Y278" s="310"/>
      <c r="Z278" s="310"/>
      <c r="AA278" s="310"/>
      <c r="AB278" s="310"/>
      <c r="AC278" s="310"/>
      <c r="AD278" s="310"/>
    </row>
    <row r="279" spans="1:30" s="349" customFormat="1" ht="18" customHeight="1">
      <c r="A279" s="355"/>
      <c r="B279" s="355"/>
      <c r="C279" s="355"/>
      <c r="D279" s="355"/>
      <c r="E279" s="355"/>
      <c r="F279" s="454"/>
      <c r="G279" s="370"/>
      <c r="H279" s="370"/>
      <c r="I279" s="357"/>
      <c r="J279" s="154"/>
      <c r="K279" s="154"/>
      <c r="L279" s="154"/>
      <c r="M279" s="154"/>
      <c r="N279" s="154"/>
      <c r="P279" s="310"/>
      <c r="Q279" s="310"/>
      <c r="R279" s="310"/>
      <c r="S279" s="310"/>
      <c r="T279" s="310"/>
      <c r="U279" s="310"/>
      <c r="V279" s="310"/>
      <c r="W279" s="310"/>
      <c r="X279" s="310"/>
      <c r="Y279" s="310"/>
      <c r="Z279" s="310"/>
      <c r="AA279" s="310"/>
      <c r="AB279" s="310"/>
      <c r="AC279" s="310"/>
      <c r="AD279" s="310"/>
    </row>
    <row r="280" spans="1:30" s="349" customFormat="1" ht="18" customHeight="1">
      <c r="A280" s="355"/>
      <c r="B280" s="355"/>
      <c r="C280" s="355"/>
      <c r="D280" s="355"/>
      <c r="E280" s="355"/>
      <c r="F280" s="454"/>
      <c r="G280" s="370"/>
      <c r="H280" s="370"/>
      <c r="I280" s="357"/>
      <c r="J280" s="154"/>
      <c r="K280" s="154"/>
      <c r="L280" s="154"/>
      <c r="M280" s="154"/>
      <c r="N280" s="154"/>
      <c r="P280" s="310"/>
      <c r="Q280" s="310"/>
      <c r="R280" s="310"/>
      <c r="S280" s="310"/>
      <c r="T280" s="310"/>
      <c r="U280" s="310"/>
      <c r="V280" s="310"/>
      <c r="W280" s="310"/>
      <c r="X280" s="310"/>
      <c r="Y280" s="310"/>
      <c r="Z280" s="310"/>
      <c r="AA280" s="310"/>
      <c r="AB280" s="310"/>
      <c r="AC280" s="310"/>
      <c r="AD280" s="310"/>
    </row>
    <row r="281" spans="1:30" s="349" customFormat="1" ht="18" customHeight="1">
      <c r="A281" s="355"/>
      <c r="B281" s="355"/>
      <c r="C281" s="355"/>
      <c r="D281" s="355"/>
      <c r="E281" s="355"/>
      <c r="F281" s="454"/>
      <c r="G281" s="370"/>
      <c r="H281" s="154"/>
      <c r="I281" s="154">
        <f>I273+I171</f>
        <v>0</v>
      </c>
      <c r="J281" s="154">
        <f>J273+J171</f>
        <v>239468122.21000001</v>
      </c>
      <c r="K281" s="154">
        <f t="shared" ref="K281:M281" si="9">K273+K171</f>
        <v>203132797.52000001</v>
      </c>
      <c r="L281" s="154">
        <f t="shared" si="9"/>
        <v>26580984.004000001</v>
      </c>
      <c r="M281" s="154">
        <f t="shared" si="9"/>
        <v>229713781.52399999</v>
      </c>
      <c r="N281" s="154">
        <f>N273+N171</f>
        <v>228688790.46000001</v>
      </c>
      <c r="P281" s="310"/>
      <c r="Q281" s="310"/>
      <c r="R281" s="310"/>
      <c r="S281" s="310"/>
      <c r="T281" s="310"/>
      <c r="U281" s="310"/>
      <c r="V281" s="310"/>
      <c r="W281" s="310"/>
      <c r="X281" s="310"/>
      <c r="Y281" s="310"/>
      <c r="Z281" s="310"/>
      <c r="AA281" s="310"/>
      <c r="AB281" s="310"/>
      <c r="AC281" s="310"/>
      <c r="AD281" s="310"/>
    </row>
    <row r="282" spans="1:30" s="349" customFormat="1" ht="18" customHeight="1">
      <c r="A282" s="355"/>
      <c r="B282" s="355"/>
      <c r="C282" s="355"/>
      <c r="D282" s="355"/>
      <c r="E282" s="355"/>
      <c r="F282" s="454"/>
      <c r="G282" s="370"/>
      <c r="H282" s="370"/>
      <c r="I282" s="357"/>
      <c r="J282" s="154"/>
      <c r="K282" s="154"/>
      <c r="L282" s="154"/>
      <c r="M282" s="154"/>
      <c r="N282" s="154"/>
      <c r="P282" s="310"/>
      <c r="Q282" s="310"/>
      <c r="R282" s="310"/>
      <c r="S282" s="310"/>
      <c r="T282" s="310"/>
      <c r="U282" s="310"/>
      <c r="V282" s="310"/>
      <c r="W282" s="310"/>
      <c r="X282" s="310"/>
      <c r="Y282" s="310"/>
      <c r="Z282" s="310"/>
      <c r="AA282" s="310"/>
      <c r="AB282" s="310"/>
      <c r="AC282" s="310"/>
      <c r="AD282" s="310"/>
    </row>
    <row r="283" spans="1:30" s="349" customFormat="1" ht="18" customHeight="1">
      <c r="A283" s="355"/>
      <c r="B283" s="355"/>
      <c r="C283" s="355"/>
      <c r="D283" s="355"/>
      <c r="E283" s="355"/>
      <c r="F283" s="454"/>
      <c r="G283" s="370"/>
      <c r="H283" s="370"/>
      <c r="I283" s="357"/>
      <c r="J283" s="154"/>
      <c r="K283" s="154"/>
      <c r="L283" s="154"/>
      <c r="M283" s="154"/>
      <c r="N283" s="154"/>
      <c r="P283" s="310"/>
      <c r="Q283" s="310"/>
      <c r="R283" s="310"/>
      <c r="S283" s="310"/>
      <c r="T283" s="310"/>
      <c r="U283" s="310"/>
      <c r="V283" s="310"/>
      <c r="W283" s="310"/>
      <c r="X283" s="310"/>
      <c r="Y283" s="310"/>
      <c r="Z283" s="310"/>
      <c r="AA283" s="310"/>
      <c r="AB283" s="310"/>
      <c r="AC283" s="310"/>
      <c r="AD283" s="310"/>
    </row>
    <row r="284" spans="1:30" s="349" customFormat="1" ht="18" customHeight="1">
      <c r="A284" s="355"/>
      <c r="B284" s="355"/>
      <c r="C284" s="355"/>
      <c r="D284" s="355"/>
      <c r="E284" s="355"/>
      <c r="F284" s="454"/>
      <c r="G284" s="370"/>
      <c r="H284" s="370"/>
      <c r="I284" s="357"/>
      <c r="J284" s="154"/>
      <c r="K284" s="154"/>
      <c r="L284" s="154"/>
      <c r="M284" s="154"/>
      <c r="N284" s="154"/>
      <c r="P284" s="310"/>
      <c r="Q284" s="310"/>
      <c r="R284" s="310"/>
      <c r="S284" s="310"/>
      <c r="T284" s="310"/>
      <c r="U284" s="310"/>
      <c r="V284" s="310"/>
      <c r="W284" s="310"/>
      <c r="X284" s="310"/>
      <c r="Y284" s="310"/>
      <c r="Z284" s="310"/>
      <c r="AA284" s="310"/>
      <c r="AB284" s="310"/>
      <c r="AC284" s="310"/>
      <c r="AD284" s="310"/>
    </row>
    <row r="285" spans="1:30" s="349" customFormat="1" ht="18" customHeight="1">
      <c r="A285" s="355"/>
      <c r="B285" s="355"/>
      <c r="C285" s="355"/>
      <c r="D285" s="355"/>
      <c r="E285" s="355"/>
      <c r="F285" s="454"/>
      <c r="G285" s="370"/>
      <c r="H285" s="370"/>
      <c r="I285" s="357"/>
      <c r="J285" s="154"/>
      <c r="K285" s="154"/>
      <c r="L285" s="154"/>
      <c r="M285" s="154"/>
      <c r="N285" s="154"/>
      <c r="P285" s="310"/>
      <c r="Q285" s="310"/>
      <c r="R285" s="310"/>
      <c r="S285" s="310"/>
      <c r="T285" s="310"/>
      <c r="U285" s="310"/>
      <c r="V285" s="310"/>
      <c r="W285" s="310"/>
      <c r="X285" s="310"/>
      <c r="Y285" s="310"/>
      <c r="Z285" s="310"/>
      <c r="AA285" s="310"/>
      <c r="AB285" s="310"/>
      <c r="AC285" s="310"/>
      <c r="AD285" s="310"/>
    </row>
    <row r="286" spans="1:30" s="349" customFormat="1" ht="18" customHeight="1">
      <c r="A286" s="355"/>
      <c r="B286" s="355"/>
      <c r="C286" s="355"/>
      <c r="D286" s="355"/>
      <c r="E286" s="355"/>
      <c r="F286" s="454"/>
      <c r="G286" s="370"/>
      <c r="H286" s="370"/>
      <c r="I286" s="357"/>
      <c r="J286" s="154"/>
      <c r="K286" s="154"/>
      <c r="L286" s="154"/>
      <c r="M286" s="154"/>
      <c r="N286" s="154"/>
      <c r="P286" s="310"/>
      <c r="Q286" s="310"/>
      <c r="R286" s="310"/>
      <c r="S286" s="310"/>
      <c r="T286" s="310"/>
      <c r="U286" s="310"/>
      <c r="V286" s="310"/>
      <c r="W286" s="310"/>
      <c r="X286" s="310"/>
      <c r="Y286" s="310"/>
      <c r="Z286" s="310"/>
      <c r="AA286" s="310"/>
      <c r="AB286" s="310"/>
      <c r="AC286" s="310"/>
      <c r="AD286" s="310"/>
    </row>
    <row r="287" spans="1:30" s="349" customFormat="1" ht="18" customHeight="1">
      <c r="A287" s="355"/>
      <c r="B287" s="355"/>
      <c r="C287" s="355"/>
      <c r="D287" s="355"/>
      <c r="E287" s="355"/>
      <c r="F287" s="454"/>
      <c r="G287" s="370"/>
      <c r="H287" s="370"/>
      <c r="I287" s="357"/>
      <c r="J287" s="154"/>
      <c r="K287" s="154"/>
      <c r="L287" s="154"/>
      <c r="M287" s="154"/>
      <c r="N287" s="154"/>
      <c r="P287" s="310"/>
      <c r="Q287" s="310"/>
      <c r="R287" s="310"/>
      <c r="S287" s="310"/>
      <c r="T287" s="310"/>
      <c r="U287" s="310"/>
      <c r="V287" s="310"/>
      <c r="W287" s="310"/>
      <c r="X287" s="310"/>
      <c r="Y287" s="310"/>
      <c r="Z287" s="310"/>
      <c r="AA287" s="310"/>
      <c r="AB287" s="310"/>
      <c r="AC287" s="310"/>
      <c r="AD287" s="310"/>
    </row>
    <row r="288" spans="1:30" s="349" customFormat="1" ht="18" customHeight="1">
      <c r="A288" s="355"/>
      <c r="B288" s="355"/>
      <c r="C288" s="355"/>
      <c r="D288" s="355"/>
      <c r="E288" s="355"/>
      <c r="F288" s="454"/>
      <c r="G288" s="370"/>
      <c r="H288" s="370"/>
      <c r="I288" s="357"/>
      <c r="J288" s="154"/>
      <c r="K288" s="154"/>
      <c r="L288" s="154"/>
      <c r="M288" s="154"/>
      <c r="N288" s="154"/>
      <c r="P288" s="310"/>
      <c r="Q288" s="310"/>
      <c r="R288" s="310"/>
      <c r="S288" s="310"/>
      <c r="T288" s="310"/>
      <c r="U288" s="310"/>
      <c r="V288" s="310"/>
      <c r="W288" s="310"/>
      <c r="X288" s="310"/>
      <c r="Y288" s="310"/>
      <c r="Z288" s="310"/>
      <c r="AA288" s="310"/>
      <c r="AB288" s="310"/>
      <c r="AC288" s="310"/>
      <c r="AD288" s="310"/>
    </row>
    <row r="289" spans="1:30" s="349" customFormat="1" ht="18" customHeight="1">
      <c r="A289" s="355"/>
      <c r="B289" s="355"/>
      <c r="C289" s="355"/>
      <c r="D289" s="355"/>
      <c r="E289" s="355"/>
      <c r="F289" s="454"/>
      <c r="G289" s="370"/>
      <c r="H289" s="370"/>
      <c r="I289" s="357"/>
      <c r="J289" s="154"/>
      <c r="K289" s="154"/>
      <c r="L289" s="154"/>
      <c r="M289" s="154"/>
      <c r="N289" s="154"/>
      <c r="P289" s="310"/>
      <c r="Q289" s="310"/>
      <c r="R289" s="310"/>
      <c r="S289" s="310"/>
      <c r="T289" s="310"/>
      <c r="U289" s="310"/>
      <c r="V289" s="310"/>
      <c r="W289" s="310"/>
      <c r="X289" s="310"/>
      <c r="Y289" s="310"/>
      <c r="Z289" s="310"/>
      <c r="AA289" s="310"/>
      <c r="AB289" s="310"/>
      <c r="AC289" s="310"/>
      <c r="AD289" s="310"/>
    </row>
    <row r="290" spans="1:30" s="349" customFormat="1" ht="18" customHeight="1">
      <c r="A290" s="355"/>
      <c r="B290" s="355"/>
      <c r="C290" s="355"/>
      <c r="D290" s="355"/>
      <c r="E290" s="355"/>
      <c r="F290" s="454"/>
      <c r="G290" s="370"/>
      <c r="H290" s="370"/>
      <c r="I290" s="357"/>
      <c r="J290" s="154"/>
      <c r="K290" s="154"/>
      <c r="L290" s="154"/>
      <c r="M290" s="154"/>
      <c r="N290" s="154"/>
      <c r="P290" s="310"/>
      <c r="Q290" s="310"/>
      <c r="R290" s="310"/>
      <c r="S290" s="310"/>
      <c r="T290" s="310"/>
      <c r="U290" s="310"/>
      <c r="V290" s="310"/>
      <c r="W290" s="310"/>
      <c r="X290" s="310"/>
      <c r="Y290" s="310"/>
      <c r="Z290" s="310"/>
      <c r="AA290" s="310"/>
      <c r="AB290" s="310"/>
      <c r="AC290" s="310"/>
      <c r="AD290" s="310"/>
    </row>
    <row r="291" spans="1:30" s="349" customFormat="1" ht="18" customHeight="1">
      <c r="A291" s="355"/>
      <c r="B291" s="355"/>
      <c r="C291" s="355"/>
      <c r="D291" s="355"/>
      <c r="E291" s="355"/>
      <c r="F291" s="454"/>
      <c r="G291" s="370"/>
      <c r="H291" s="370"/>
      <c r="I291" s="357"/>
      <c r="J291" s="154"/>
      <c r="K291" s="154"/>
      <c r="L291" s="154"/>
      <c r="M291" s="154"/>
      <c r="N291" s="154"/>
      <c r="P291" s="310"/>
      <c r="Q291" s="310"/>
      <c r="R291" s="310"/>
      <c r="S291" s="310"/>
      <c r="T291" s="310"/>
      <c r="U291" s="310"/>
      <c r="V291" s="310"/>
      <c r="W291" s="310"/>
      <c r="X291" s="310"/>
      <c r="Y291" s="310"/>
      <c r="Z291" s="310"/>
      <c r="AA291" s="310"/>
      <c r="AB291" s="310"/>
      <c r="AC291" s="310"/>
      <c r="AD291" s="310"/>
    </row>
    <row r="292" spans="1:30" s="349" customFormat="1" ht="18" customHeight="1">
      <c r="A292" s="355"/>
      <c r="B292" s="355"/>
      <c r="C292" s="355"/>
      <c r="D292" s="355"/>
      <c r="E292" s="355"/>
      <c r="F292" s="454"/>
      <c r="G292" s="370"/>
      <c r="H292" s="370"/>
      <c r="I292" s="357"/>
      <c r="J292" s="154"/>
      <c r="K292" s="154"/>
      <c r="L292" s="154"/>
      <c r="M292" s="154"/>
      <c r="N292" s="154"/>
      <c r="P292" s="310"/>
      <c r="Q292" s="310"/>
      <c r="R292" s="310"/>
      <c r="S292" s="310"/>
      <c r="T292" s="310"/>
      <c r="U292" s="310"/>
      <c r="V292" s="310"/>
      <c r="W292" s="310"/>
      <c r="X292" s="310"/>
      <c r="Y292" s="310"/>
      <c r="Z292" s="310"/>
      <c r="AA292" s="310"/>
      <c r="AB292" s="310"/>
      <c r="AC292" s="310"/>
      <c r="AD292" s="310"/>
    </row>
    <row r="293" spans="1:30" s="349" customFormat="1" ht="18" customHeight="1">
      <c r="A293" s="355"/>
      <c r="B293" s="355"/>
      <c r="C293" s="355"/>
      <c r="D293" s="355"/>
      <c r="E293" s="355"/>
      <c r="F293" s="454"/>
      <c r="G293" s="370"/>
      <c r="H293" s="370"/>
      <c r="I293" s="357"/>
      <c r="J293" s="154"/>
      <c r="K293" s="154"/>
      <c r="L293" s="154"/>
      <c r="M293" s="154"/>
      <c r="N293" s="154"/>
      <c r="P293" s="310"/>
      <c r="Q293" s="310"/>
      <c r="R293" s="310"/>
      <c r="S293" s="310"/>
      <c r="T293" s="310"/>
      <c r="U293" s="310"/>
      <c r="V293" s="310"/>
      <c r="W293" s="310"/>
      <c r="X293" s="310"/>
      <c r="Y293" s="310"/>
      <c r="Z293" s="310"/>
      <c r="AA293" s="310"/>
      <c r="AB293" s="310"/>
      <c r="AC293" s="310"/>
      <c r="AD293" s="310"/>
    </row>
    <row r="294" spans="1:30" s="349" customFormat="1" ht="18" customHeight="1">
      <c r="A294" s="355"/>
      <c r="B294" s="355"/>
      <c r="C294" s="355"/>
      <c r="D294" s="355"/>
      <c r="E294" s="355"/>
      <c r="F294" s="454"/>
      <c r="G294" s="370"/>
      <c r="H294" s="370"/>
      <c r="I294" s="357"/>
      <c r="J294" s="154"/>
      <c r="K294" s="154"/>
      <c r="L294" s="154"/>
      <c r="M294" s="154"/>
      <c r="N294" s="154"/>
      <c r="P294" s="310"/>
      <c r="Q294" s="310"/>
      <c r="R294" s="310"/>
      <c r="S294" s="310"/>
      <c r="T294" s="310"/>
      <c r="U294" s="310"/>
      <c r="V294" s="310"/>
      <c r="W294" s="310"/>
      <c r="X294" s="310"/>
      <c r="Y294" s="310"/>
      <c r="Z294" s="310"/>
      <c r="AA294" s="310"/>
      <c r="AB294" s="310"/>
      <c r="AC294" s="310"/>
      <c r="AD294" s="310"/>
    </row>
    <row r="295" spans="1:30" s="349" customFormat="1" ht="18" customHeight="1">
      <c r="A295" s="355"/>
      <c r="B295" s="355"/>
      <c r="C295" s="355"/>
      <c r="D295" s="355"/>
      <c r="E295" s="355"/>
      <c r="F295" s="454"/>
      <c r="G295" s="370"/>
      <c r="H295" s="370"/>
      <c r="I295" s="357"/>
      <c r="J295" s="154"/>
      <c r="K295" s="154"/>
      <c r="L295" s="154"/>
      <c r="M295" s="154"/>
      <c r="N295" s="154"/>
      <c r="P295" s="310"/>
      <c r="Q295" s="310"/>
      <c r="R295" s="310"/>
      <c r="S295" s="310"/>
      <c r="T295" s="310"/>
      <c r="U295" s="310"/>
      <c r="V295" s="310"/>
      <c r="W295" s="310"/>
      <c r="X295" s="310"/>
      <c r="Y295" s="310"/>
      <c r="Z295" s="310"/>
      <c r="AA295" s="310"/>
      <c r="AB295" s="310"/>
      <c r="AC295" s="310"/>
      <c r="AD295" s="310"/>
    </row>
    <row r="296" spans="1:30" s="349" customFormat="1" ht="18" customHeight="1">
      <c r="A296" s="355"/>
      <c r="B296" s="355"/>
      <c r="C296" s="355"/>
      <c r="D296" s="355"/>
      <c r="E296" s="355"/>
      <c r="F296" s="454"/>
      <c r="G296" s="370"/>
      <c r="H296" s="370"/>
      <c r="I296" s="357"/>
      <c r="J296" s="154"/>
      <c r="K296" s="154"/>
      <c r="L296" s="154"/>
      <c r="M296" s="154"/>
      <c r="N296" s="154"/>
      <c r="P296" s="310"/>
      <c r="Q296" s="310"/>
      <c r="R296" s="310"/>
      <c r="S296" s="310"/>
      <c r="T296" s="310"/>
      <c r="U296" s="310"/>
      <c r="V296" s="310"/>
      <c r="W296" s="310"/>
      <c r="X296" s="310"/>
      <c r="Y296" s="310"/>
      <c r="Z296" s="310"/>
      <c r="AA296" s="310"/>
      <c r="AB296" s="310"/>
      <c r="AC296" s="310"/>
      <c r="AD296" s="310"/>
    </row>
    <row r="297" spans="1:30" s="349" customFormat="1" ht="18" customHeight="1">
      <c r="A297" s="355"/>
      <c r="B297" s="355"/>
      <c r="C297" s="355"/>
      <c r="D297" s="355"/>
      <c r="E297" s="355"/>
      <c r="F297" s="454"/>
      <c r="G297" s="370"/>
      <c r="H297" s="370"/>
      <c r="I297" s="357"/>
      <c r="J297" s="154"/>
      <c r="K297" s="154"/>
      <c r="L297" s="154"/>
      <c r="M297" s="154"/>
      <c r="N297" s="154"/>
      <c r="P297" s="310"/>
      <c r="Q297" s="310"/>
      <c r="R297" s="310"/>
      <c r="S297" s="310"/>
      <c r="T297" s="310"/>
      <c r="U297" s="310"/>
      <c r="V297" s="310"/>
      <c r="W297" s="310"/>
      <c r="X297" s="310"/>
      <c r="Y297" s="310"/>
      <c r="Z297" s="310"/>
      <c r="AA297" s="310"/>
      <c r="AB297" s="310"/>
      <c r="AC297" s="310"/>
      <c r="AD297" s="310"/>
    </row>
    <row r="298" spans="1:30" s="349" customFormat="1" ht="18" customHeight="1">
      <c r="A298" s="355"/>
      <c r="B298" s="355"/>
      <c r="C298" s="355"/>
      <c r="D298" s="355"/>
      <c r="E298" s="355"/>
      <c r="F298" s="454"/>
      <c r="G298" s="370"/>
      <c r="H298" s="370"/>
      <c r="I298" s="357"/>
      <c r="J298" s="154"/>
      <c r="K298" s="154"/>
      <c r="L298" s="154"/>
      <c r="M298" s="154"/>
      <c r="N298" s="154"/>
      <c r="P298" s="310"/>
      <c r="Q298" s="310"/>
      <c r="R298" s="310"/>
      <c r="S298" s="310"/>
      <c r="T298" s="310"/>
      <c r="U298" s="310"/>
      <c r="V298" s="310"/>
      <c r="W298" s="310"/>
      <c r="X298" s="310"/>
      <c r="Y298" s="310"/>
      <c r="Z298" s="310"/>
      <c r="AA298" s="310"/>
      <c r="AB298" s="310"/>
      <c r="AC298" s="310"/>
      <c r="AD298" s="310"/>
    </row>
    <row r="299" spans="1:30" s="436" customFormat="1" ht="18" customHeight="1">
      <c r="A299" s="432"/>
      <c r="B299" s="432"/>
      <c r="C299" s="432"/>
      <c r="D299" s="432"/>
      <c r="E299" s="432"/>
      <c r="F299" s="432"/>
      <c r="G299" s="433"/>
      <c r="H299" s="434"/>
      <c r="I299" s="435"/>
      <c r="J299" s="29"/>
      <c r="K299" s="29"/>
      <c r="L299" s="30"/>
      <c r="M299" s="29"/>
      <c r="N299" s="29"/>
      <c r="P299" s="310"/>
      <c r="Q299" s="310"/>
      <c r="R299" s="310"/>
      <c r="S299" s="310"/>
      <c r="T299" s="310"/>
      <c r="U299" s="310"/>
      <c r="V299" s="310"/>
      <c r="W299" s="310"/>
      <c r="X299" s="310"/>
      <c r="Y299" s="310"/>
      <c r="Z299" s="310"/>
      <c r="AA299" s="310"/>
      <c r="AB299" s="310"/>
      <c r="AC299" s="310"/>
      <c r="AD299" s="310"/>
    </row>
    <row r="300" spans="1:30" s="436" customFormat="1" ht="18" hidden="1" customHeight="1">
      <c r="A300" s="432"/>
      <c r="B300" s="432"/>
      <c r="C300" s="432"/>
      <c r="D300" s="432"/>
      <c r="E300" s="432"/>
      <c r="F300" s="432"/>
      <c r="G300" s="433"/>
      <c r="H300" s="434"/>
      <c r="I300" s="435"/>
      <c r="J300" s="29">
        <v>12086298.330000002</v>
      </c>
      <c r="K300" s="29">
        <v>8156926.4399999995</v>
      </c>
      <c r="L300" s="30">
        <v>468073.56000000006</v>
      </c>
      <c r="M300" s="29">
        <v>8625000</v>
      </c>
      <c r="N300" s="29">
        <v>8845467</v>
      </c>
      <c r="P300" s="310"/>
      <c r="Q300" s="310"/>
      <c r="R300" s="310"/>
      <c r="S300" s="310"/>
      <c r="T300" s="310"/>
      <c r="U300" s="310"/>
      <c r="V300" s="310"/>
      <c r="W300" s="310"/>
      <c r="X300" s="310"/>
      <c r="Y300" s="310"/>
      <c r="Z300" s="310"/>
      <c r="AA300" s="310"/>
      <c r="AB300" s="310"/>
      <c r="AC300" s="310"/>
      <c r="AD300" s="310"/>
    </row>
    <row r="301" spans="1:30" s="436" customFormat="1" ht="18" hidden="1" customHeight="1">
      <c r="A301" s="432"/>
      <c r="B301" s="432"/>
      <c r="C301" s="432"/>
      <c r="D301" s="432"/>
      <c r="E301" s="432"/>
      <c r="F301" s="432"/>
      <c r="G301" s="433"/>
      <c r="H301" s="434"/>
      <c r="I301" s="435"/>
      <c r="J301" s="29">
        <f>J300-J273</f>
        <v>3929371.8900000025</v>
      </c>
      <c r="K301" s="29">
        <f>K300-K273</f>
        <v>434601.99000000022</v>
      </c>
      <c r="L301" s="29">
        <f>L300-L273</f>
        <v>-1453025.04</v>
      </c>
      <c r="M301" s="29">
        <f>M300-M273</f>
        <v>-1018423.0500000007</v>
      </c>
      <c r="N301" s="29">
        <f>N300-N273</f>
        <v>-1204337</v>
      </c>
      <c r="P301" s="310"/>
      <c r="Q301" s="310"/>
      <c r="R301" s="310"/>
      <c r="S301" s="310"/>
      <c r="T301" s="310"/>
      <c r="U301" s="310"/>
      <c r="V301" s="310"/>
      <c r="W301" s="310"/>
      <c r="X301" s="310"/>
      <c r="Y301" s="310"/>
      <c r="Z301" s="310"/>
      <c r="AA301" s="310"/>
      <c r="AB301" s="310"/>
      <c r="AC301" s="310"/>
      <c r="AD301" s="310"/>
    </row>
    <row r="302" spans="1:30" ht="18" hidden="1" customHeight="1">
      <c r="A302" s="546"/>
      <c r="B302" s="546"/>
      <c r="C302" s="546"/>
      <c r="D302" s="546"/>
      <c r="E302" s="546"/>
      <c r="F302" s="546"/>
      <c r="G302" s="546"/>
      <c r="H302" s="546"/>
      <c r="I302" s="546"/>
      <c r="J302" s="546"/>
      <c r="K302" s="546"/>
      <c r="L302" s="546"/>
      <c r="M302" s="546"/>
      <c r="N302" s="546"/>
    </row>
    <row r="303" spans="1:30" ht="18" hidden="1" customHeight="1">
      <c r="A303" s="546"/>
      <c r="B303" s="546"/>
      <c r="C303" s="546"/>
      <c r="D303" s="546"/>
      <c r="E303" s="546"/>
      <c r="F303" s="546"/>
      <c r="G303" s="546"/>
      <c r="H303" s="546"/>
      <c r="I303" s="546"/>
      <c r="J303" s="546"/>
      <c r="K303" s="546"/>
      <c r="L303" s="546"/>
      <c r="M303" s="546"/>
      <c r="N303" s="546"/>
    </row>
    <row r="304" spans="1:30" ht="18" hidden="1" customHeight="1">
      <c r="A304" s="437"/>
      <c r="B304" s="438"/>
      <c r="C304" s="437"/>
      <c r="D304" s="437"/>
      <c r="E304" s="437"/>
      <c r="F304" s="437"/>
      <c r="G304" s="437"/>
      <c r="H304" s="437"/>
      <c r="I304" s="439"/>
      <c r="J304" s="437"/>
      <c r="K304" s="437"/>
      <c r="L304" s="440"/>
      <c r="M304" s="440"/>
      <c r="N304" s="437"/>
    </row>
    <row r="305" spans="1:14" ht="18" hidden="1" customHeight="1">
      <c r="A305" s="437"/>
      <c r="B305" s="437"/>
      <c r="C305" s="437"/>
      <c r="D305" s="437"/>
      <c r="E305" s="437"/>
      <c r="F305" s="437"/>
      <c r="G305" s="437"/>
      <c r="H305" s="437"/>
      <c r="I305" s="439"/>
      <c r="J305" s="437"/>
      <c r="K305" s="437"/>
      <c r="L305" s="440"/>
      <c r="M305" s="440"/>
      <c r="N305" s="437"/>
    </row>
    <row r="306" spans="1:14" ht="18" hidden="1" customHeight="1">
      <c r="A306" s="441"/>
      <c r="B306" s="442"/>
      <c r="C306" s="441"/>
      <c r="D306" s="441"/>
      <c r="E306" s="441"/>
      <c r="F306" s="441"/>
      <c r="G306" s="443"/>
      <c r="H306" s="443"/>
      <c r="I306" s="307"/>
      <c r="J306" s="443"/>
      <c r="K306" s="31"/>
      <c r="L306" s="32"/>
      <c r="M306" s="32"/>
      <c r="N306" s="31"/>
    </row>
    <row r="307" spans="1:14" ht="18" hidden="1" customHeight="1">
      <c r="A307" s="441"/>
      <c r="B307" s="442"/>
      <c r="C307" s="441"/>
      <c r="D307" s="441"/>
      <c r="E307" s="441"/>
      <c r="F307" s="444"/>
      <c r="G307" s="444"/>
      <c r="H307" s="547"/>
      <c r="I307" s="547"/>
      <c r="J307" s="547"/>
      <c r="K307" s="34"/>
      <c r="L307" s="32"/>
      <c r="M307" s="548"/>
      <c r="N307" s="548"/>
    </row>
    <row r="308" spans="1:14" ht="18" hidden="1" customHeight="1">
      <c r="A308" s="441"/>
      <c r="B308" s="442"/>
      <c r="C308" s="441"/>
      <c r="D308" s="441"/>
      <c r="E308" s="441"/>
      <c r="F308" s="443"/>
      <c r="G308" s="443"/>
      <c r="H308" s="539"/>
      <c r="I308" s="539"/>
      <c r="J308" s="539"/>
      <c r="K308" s="35"/>
      <c r="L308" s="32"/>
      <c r="M308" s="540"/>
      <c r="N308" s="540"/>
    </row>
    <row r="309" spans="1:14" ht="18" hidden="1" customHeight="1">
      <c r="A309" s="441"/>
      <c r="B309" s="442"/>
      <c r="C309" s="441"/>
      <c r="D309" s="441"/>
      <c r="E309" s="441"/>
      <c r="F309" s="441"/>
      <c r="G309" s="443"/>
      <c r="H309" s="443"/>
      <c r="I309" s="307"/>
      <c r="J309" s="443"/>
      <c r="K309" s="31"/>
      <c r="L309" s="32"/>
      <c r="M309" s="32"/>
      <c r="N309" s="31"/>
    </row>
    <row r="310" spans="1:14" ht="18" hidden="1" customHeight="1">
      <c r="A310" s="441"/>
      <c r="B310" s="442"/>
      <c r="C310" s="441"/>
      <c r="D310" s="441"/>
      <c r="E310" s="441"/>
      <c r="F310" s="441"/>
      <c r="G310" s="443"/>
      <c r="H310" s="443"/>
      <c r="I310" s="307"/>
      <c r="J310" s="443"/>
      <c r="K310" s="31"/>
      <c r="L310" s="32"/>
      <c r="M310" s="32"/>
      <c r="N310" s="31"/>
    </row>
    <row r="311" spans="1:14" ht="18" hidden="1" customHeight="1">
      <c r="A311" s="441"/>
      <c r="B311" s="442"/>
      <c r="C311" s="441"/>
      <c r="D311" s="441"/>
      <c r="E311" s="441"/>
      <c r="F311" s="441"/>
      <c r="G311" s="443"/>
      <c r="H311" s="443"/>
      <c r="I311" s="307"/>
      <c r="J311" s="443"/>
      <c r="K311" s="31"/>
      <c r="L311" s="32"/>
      <c r="M311" s="32"/>
      <c r="N311" s="31"/>
    </row>
    <row r="312" spans="1:14" ht="18" hidden="1" customHeight="1">
      <c r="A312" s="441"/>
      <c r="B312" s="442"/>
      <c r="C312" s="441"/>
      <c r="D312" s="441"/>
      <c r="E312" s="441"/>
      <c r="F312" s="441"/>
      <c r="G312" s="443"/>
      <c r="H312" s="443"/>
      <c r="I312" s="307"/>
      <c r="J312" s="443"/>
      <c r="K312" s="31"/>
      <c r="L312" s="32"/>
      <c r="M312" s="32"/>
      <c r="N312" s="31"/>
    </row>
    <row r="313" spans="1:14" ht="18" hidden="1" customHeight="1">
      <c r="A313" s="441"/>
      <c r="B313" s="442"/>
      <c r="C313" s="441"/>
      <c r="D313" s="441"/>
      <c r="E313" s="441"/>
      <c r="F313" s="444"/>
      <c r="G313" s="444"/>
      <c r="H313" s="443"/>
      <c r="I313" s="307"/>
      <c r="J313" s="443"/>
      <c r="K313" s="31"/>
      <c r="L313" s="32"/>
      <c r="M313" s="32"/>
      <c r="N313" s="31"/>
    </row>
    <row r="314" spans="1:14" ht="18" hidden="1" customHeight="1">
      <c r="A314" s="441"/>
      <c r="B314" s="442"/>
      <c r="C314" s="441"/>
      <c r="D314" s="441"/>
      <c r="E314" s="441"/>
      <c r="F314" s="443"/>
      <c r="G314" s="443"/>
      <c r="H314" s="443"/>
      <c r="I314" s="307"/>
      <c r="J314" s="443"/>
      <c r="K314" s="31"/>
      <c r="L314" s="32"/>
      <c r="M314" s="32"/>
      <c r="N314" s="31"/>
    </row>
    <row r="315" spans="1:14" ht="18" customHeight="1">
      <c r="A315" s="441"/>
      <c r="B315" s="442"/>
      <c r="C315" s="441"/>
      <c r="D315" s="441"/>
      <c r="E315" s="441"/>
      <c r="F315" s="441"/>
      <c r="G315" s="443"/>
      <c r="H315" s="443"/>
      <c r="I315" s="307"/>
      <c r="J315" s="443"/>
      <c r="K315" s="31"/>
      <c r="L315" s="32"/>
      <c r="M315" s="32"/>
      <c r="N315" s="31"/>
    </row>
    <row r="316" spans="1:14" ht="18" customHeight="1">
      <c r="A316" s="441"/>
      <c r="B316" s="442"/>
      <c r="C316" s="441"/>
      <c r="D316" s="441"/>
      <c r="E316" s="441"/>
      <c r="F316" s="441"/>
      <c r="G316" s="443"/>
      <c r="H316" s="443"/>
      <c r="I316" s="307"/>
      <c r="J316" s="443"/>
      <c r="K316" s="31"/>
      <c r="L316" s="32"/>
      <c r="M316" s="32"/>
      <c r="N316" s="31"/>
    </row>
    <row r="317" spans="1:14" ht="18" customHeight="1">
      <c r="A317" s="441"/>
      <c r="B317" s="442"/>
      <c r="C317" s="441"/>
      <c r="D317" s="441"/>
      <c r="E317" s="441"/>
      <c r="F317" s="441"/>
      <c r="G317" s="443"/>
      <c r="H317" s="443"/>
      <c r="I317" s="307"/>
      <c r="J317" s="443"/>
      <c r="K317" s="31"/>
      <c r="L317" s="32"/>
      <c r="M317" s="32"/>
      <c r="N317" s="31"/>
    </row>
    <row r="318" spans="1:14" ht="18" customHeight="1">
      <c r="A318" s="441"/>
      <c r="B318" s="442"/>
      <c r="C318" s="441"/>
      <c r="D318" s="441"/>
      <c r="E318" s="441"/>
      <c r="F318" s="441"/>
      <c r="G318" s="443"/>
      <c r="H318" s="443"/>
      <c r="I318" s="307"/>
      <c r="J318" s="443"/>
      <c r="K318" s="31"/>
      <c r="L318" s="32"/>
      <c r="M318" s="32"/>
      <c r="N318" s="31"/>
    </row>
    <row r="319" spans="1:14" ht="18" customHeight="1">
      <c r="A319" s="441"/>
      <c r="B319" s="442"/>
      <c r="C319" s="441"/>
      <c r="D319" s="441"/>
      <c r="E319" s="441"/>
      <c r="F319" s="441"/>
      <c r="G319" s="443"/>
      <c r="H319" s="443"/>
      <c r="I319" s="307"/>
      <c r="J319" s="443"/>
      <c r="K319" s="31"/>
      <c r="L319" s="32"/>
      <c r="M319" s="32"/>
      <c r="N319" s="31"/>
    </row>
    <row r="320" spans="1:14" ht="18" customHeight="1">
      <c r="A320" s="441"/>
      <c r="B320" s="442"/>
      <c r="C320" s="441"/>
      <c r="D320" s="441"/>
      <c r="E320" s="441"/>
      <c r="F320" s="441"/>
      <c r="G320" s="443"/>
      <c r="H320" s="443"/>
      <c r="I320" s="307"/>
      <c r="J320" s="443"/>
      <c r="K320" s="31"/>
      <c r="L320" s="32"/>
      <c r="M320" s="32"/>
      <c r="N320" s="31"/>
    </row>
    <row r="321" spans="1:30" s="436" customFormat="1" ht="18" customHeight="1">
      <c r="B321" s="432"/>
      <c r="G321" s="434"/>
      <c r="H321" s="434"/>
      <c r="I321" s="435"/>
      <c r="J321" s="159"/>
      <c r="K321" s="29"/>
      <c r="L321" s="30"/>
      <c r="M321" s="30"/>
      <c r="N321" s="29"/>
      <c r="P321" s="310"/>
      <c r="Q321" s="310"/>
      <c r="R321" s="310"/>
      <c r="S321" s="310"/>
      <c r="T321" s="310"/>
      <c r="U321" s="310"/>
      <c r="V321" s="310"/>
      <c r="W321" s="310"/>
      <c r="X321" s="310"/>
      <c r="Y321" s="310"/>
      <c r="Z321" s="310"/>
      <c r="AA321" s="310"/>
      <c r="AB321" s="310"/>
      <c r="AC321" s="310"/>
      <c r="AD321" s="310"/>
    </row>
    <row r="322" spans="1:30" ht="18" customHeight="1">
      <c r="A322" s="441"/>
      <c r="B322" s="442"/>
      <c r="C322" s="441"/>
      <c r="D322" s="441"/>
      <c r="E322" s="441"/>
      <c r="F322" s="441"/>
      <c r="G322" s="443"/>
      <c r="H322" s="443"/>
      <c r="I322" s="307"/>
      <c r="J322" s="443"/>
      <c r="K322" s="31"/>
      <c r="L322" s="32"/>
      <c r="M322" s="32"/>
      <c r="N322" s="31"/>
    </row>
    <row r="323" spans="1:30" ht="18" customHeight="1">
      <c r="A323" s="441"/>
      <c r="B323" s="442"/>
      <c r="C323" s="441"/>
      <c r="D323" s="441"/>
      <c r="E323" s="441"/>
      <c r="F323" s="441"/>
      <c r="G323" s="443"/>
      <c r="H323" s="443"/>
      <c r="I323" s="307"/>
      <c r="J323" s="443"/>
      <c r="K323" s="31"/>
      <c r="L323" s="32"/>
      <c r="M323" s="32"/>
      <c r="N323" s="31"/>
    </row>
    <row r="324" spans="1:30" ht="18" customHeight="1">
      <c r="A324" s="441"/>
      <c r="B324" s="442"/>
      <c r="C324" s="441"/>
      <c r="D324" s="441"/>
      <c r="E324" s="441"/>
      <c r="F324" s="441"/>
      <c r="G324" s="443"/>
      <c r="H324" s="443"/>
      <c r="I324" s="307"/>
      <c r="J324" s="443"/>
      <c r="K324" s="31"/>
      <c r="L324" s="32"/>
      <c r="M324" s="32"/>
      <c r="N324" s="31"/>
    </row>
    <row r="325" spans="1:30" ht="18" customHeight="1">
      <c r="A325" s="441"/>
      <c r="B325" s="442"/>
      <c r="C325" s="441"/>
      <c r="D325" s="441"/>
      <c r="E325" s="441"/>
      <c r="F325" s="441"/>
      <c r="G325" s="443"/>
      <c r="H325" s="443"/>
      <c r="I325" s="307"/>
      <c r="J325" s="443"/>
      <c r="K325" s="31"/>
      <c r="L325" s="32"/>
      <c r="M325" s="32"/>
      <c r="N325" s="31"/>
    </row>
    <row r="326" spans="1:30" ht="18" customHeight="1">
      <c r="A326" s="441"/>
      <c r="B326" s="442"/>
      <c r="C326" s="441"/>
      <c r="D326" s="441"/>
      <c r="E326" s="441"/>
      <c r="F326" s="441"/>
      <c r="G326" s="443"/>
      <c r="H326" s="443"/>
      <c r="I326" s="307"/>
      <c r="J326" s="443"/>
      <c r="K326" s="31"/>
      <c r="L326" s="32"/>
      <c r="M326" s="32"/>
      <c r="N326" s="31"/>
    </row>
    <row r="327" spans="1:30" ht="18" customHeight="1">
      <c r="A327" s="441"/>
      <c r="B327" s="442"/>
      <c r="C327" s="441"/>
      <c r="D327" s="441"/>
      <c r="E327" s="441"/>
      <c r="F327" s="441"/>
      <c r="G327" s="443"/>
      <c r="H327" s="443"/>
      <c r="I327" s="307"/>
      <c r="J327" s="443"/>
      <c r="K327" s="31"/>
      <c r="L327" s="32"/>
      <c r="M327" s="32"/>
      <c r="N327" s="31"/>
    </row>
    <row r="328" spans="1:30" ht="18" customHeight="1">
      <c r="A328" s="441"/>
      <c r="B328" s="442"/>
      <c r="C328" s="441"/>
      <c r="D328" s="441"/>
      <c r="E328" s="441"/>
      <c r="F328" s="441"/>
      <c r="G328" s="443"/>
      <c r="H328" s="443"/>
      <c r="I328" s="307"/>
      <c r="J328" s="443"/>
      <c r="K328" s="31"/>
      <c r="L328" s="32"/>
      <c r="M328" s="32"/>
      <c r="N328" s="31"/>
    </row>
    <row r="329" spans="1:30" ht="18" customHeight="1">
      <c r="A329" s="441"/>
      <c r="B329" s="442"/>
      <c r="C329" s="441"/>
      <c r="D329" s="441"/>
      <c r="E329" s="441"/>
      <c r="F329" s="441"/>
      <c r="G329" s="443"/>
      <c r="H329" s="443"/>
      <c r="I329" s="307"/>
      <c r="J329" s="443"/>
      <c r="K329" s="31"/>
      <c r="L329" s="32"/>
      <c r="M329" s="32"/>
      <c r="N329" s="31"/>
    </row>
    <row r="330" spans="1:30" ht="18" customHeight="1">
      <c r="A330" s="441"/>
      <c r="B330" s="442"/>
      <c r="C330" s="441"/>
      <c r="D330" s="441"/>
      <c r="E330" s="441"/>
      <c r="F330" s="441"/>
      <c r="G330" s="443"/>
      <c r="H330" s="443"/>
      <c r="I330" s="307"/>
      <c r="J330" s="443"/>
      <c r="K330" s="31"/>
      <c r="L330" s="32"/>
      <c r="M330" s="32"/>
      <c r="N330" s="31"/>
    </row>
    <row r="331" spans="1:30" ht="18" customHeight="1">
      <c r="A331" s="441"/>
      <c r="B331" s="442"/>
      <c r="C331" s="441"/>
      <c r="D331" s="441"/>
      <c r="E331" s="441"/>
      <c r="F331" s="441"/>
      <c r="G331" s="443"/>
      <c r="H331" s="443"/>
      <c r="I331" s="307"/>
      <c r="J331" s="443"/>
      <c r="K331" s="31"/>
      <c r="L331" s="32"/>
      <c r="M331" s="32"/>
      <c r="N331" s="31"/>
    </row>
    <row r="332" spans="1:30" ht="18" customHeight="1">
      <c r="A332" s="441"/>
      <c r="B332" s="442"/>
      <c r="C332" s="441"/>
      <c r="D332" s="441"/>
      <c r="E332" s="441"/>
      <c r="F332" s="441"/>
      <c r="G332" s="443"/>
      <c r="H332" s="443"/>
      <c r="I332" s="307"/>
      <c r="J332" s="443"/>
      <c r="K332" s="31"/>
      <c r="L332" s="32"/>
      <c r="M332" s="32"/>
      <c r="N332" s="31"/>
    </row>
    <row r="333" spans="1:30" ht="18" customHeight="1">
      <c r="A333" s="441"/>
      <c r="B333" s="442"/>
      <c r="C333" s="441"/>
      <c r="D333" s="441"/>
      <c r="E333" s="441"/>
      <c r="F333" s="441"/>
      <c r="G333" s="443"/>
      <c r="H333" s="443"/>
      <c r="I333" s="307"/>
      <c r="J333" s="443"/>
      <c r="K333" s="31"/>
      <c r="L333" s="32"/>
      <c r="M333" s="32"/>
      <c r="N333" s="31"/>
    </row>
    <row r="334" spans="1:30" ht="18" customHeight="1">
      <c r="A334" s="441"/>
      <c r="B334" s="442"/>
      <c r="C334" s="441"/>
      <c r="D334" s="441"/>
      <c r="E334" s="441"/>
      <c r="F334" s="441"/>
      <c r="G334" s="443"/>
      <c r="H334" s="443"/>
      <c r="I334" s="307"/>
      <c r="J334" s="443"/>
      <c r="K334" s="31"/>
      <c r="L334" s="32"/>
      <c r="M334" s="32"/>
      <c r="N334" s="31"/>
    </row>
    <row r="335" spans="1:30" ht="18" customHeight="1">
      <c r="A335" s="441"/>
      <c r="B335" s="442"/>
      <c r="C335" s="441"/>
      <c r="D335" s="441"/>
      <c r="E335" s="441"/>
      <c r="F335" s="441"/>
      <c r="G335" s="443"/>
      <c r="H335" s="443"/>
      <c r="I335" s="307"/>
      <c r="J335" s="443"/>
      <c r="K335" s="31"/>
      <c r="L335" s="32"/>
      <c r="M335" s="32"/>
      <c r="N335" s="31"/>
    </row>
    <row r="336" spans="1:30" ht="18" customHeight="1">
      <c r="A336" s="441"/>
      <c r="B336" s="442"/>
      <c r="C336" s="441"/>
      <c r="D336" s="441"/>
      <c r="E336" s="441"/>
      <c r="F336" s="441"/>
      <c r="G336" s="443"/>
      <c r="H336" s="443"/>
      <c r="I336" s="307"/>
      <c r="J336" s="443"/>
      <c r="K336" s="31"/>
      <c r="L336" s="32"/>
      <c r="M336" s="32"/>
      <c r="N336" s="31"/>
    </row>
    <row r="337" spans="1:14" ht="18" customHeight="1">
      <c r="A337" s="441"/>
      <c r="B337" s="442"/>
      <c r="C337" s="441"/>
      <c r="D337" s="441"/>
      <c r="E337" s="441"/>
      <c r="F337" s="441"/>
      <c r="G337" s="443"/>
      <c r="H337" s="443"/>
      <c r="I337" s="307"/>
      <c r="J337" s="443"/>
      <c r="K337" s="31"/>
      <c r="L337" s="32"/>
      <c r="M337" s="32"/>
      <c r="N337" s="31"/>
    </row>
    <row r="338" spans="1:14" ht="18" customHeight="1">
      <c r="A338" s="441"/>
      <c r="B338" s="442"/>
      <c r="C338" s="441"/>
      <c r="D338" s="441"/>
      <c r="E338" s="441"/>
      <c r="F338" s="441"/>
      <c r="G338" s="443"/>
      <c r="H338" s="443"/>
      <c r="I338" s="307"/>
      <c r="J338" s="443"/>
      <c r="K338" s="31"/>
      <c r="L338" s="32"/>
      <c r="M338" s="32"/>
      <c r="N338" s="31"/>
    </row>
    <row r="339" spans="1:14" ht="18" customHeight="1">
      <c r="A339" s="441"/>
      <c r="B339" s="442"/>
      <c r="C339" s="441"/>
      <c r="D339" s="441"/>
      <c r="E339" s="441"/>
      <c r="F339" s="441"/>
      <c r="G339" s="443"/>
      <c r="H339" s="443"/>
      <c r="I339" s="307"/>
      <c r="J339" s="443"/>
      <c r="K339" s="31"/>
      <c r="L339" s="32"/>
      <c r="M339" s="32"/>
      <c r="N339" s="31"/>
    </row>
    <row r="340" spans="1:14" ht="18" customHeight="1">
      <c r="A340" s="441"/>
      <c r="B340" s="442"/>
      <c r="C340" s="441"/>
      <c r="D340" s="441"/>
      <c r="E340" s="441"/>
      <c r="F340" s="441"/>
      <c r="G340" s="443"/>
      <c r="H340" s="443"/>
      <c r="I340" s="307"/>
      <c r="J340" s="443"/>
      <c r="K340" s="31"/>
      <c r="L340" s="32"/>
      <c r="M340" s="32"/>
      <c r="N340" s="31"/>
    </row>
    <row r="341" spans="1:14" ht="18" customHeight="1">
      <c r="A341" s="441"/>
      <c r="B341" s="442"/>
      <c r="C341" s="441"/>
      <c r="D341" s="441"/>
      <c r="E341" s="441"/>
      <c r="F341" s="441"/>
      <c r="G341" s="443"/>
      <c r="H341" s="443"/>
      <c r="I341" s="307"/>
      <c r="J341" s="443"/>
      <c r="K341" s="31"/>
      <c r="L341" s="32"/>
      <c r="M341" s="32"/>
      <c r="N341" s="31"/>
    </row>
    <row r="342" spans="1:14" ht="18" customHeight="1">
      <c r="A342" s="441"/>
      <c r="B342" s="442"/>
      <c r="C342" s="441"/>
      <c r="D342" s="441"/>
      <c r="E342" s="441"/>
      <c r="F342" s="441"/>
      <c r="G342" s="443"/>
      <c r="H342" s="443"/>
      <c r="I342" s="307"/>
      <c r="J342" s="443"/>
      <c r="K342" s="31"/>
      <c r="L342" s="32"/>
      <c r="M342" s="32"/>
      <c r="N342" s="31"/>
    </row>
    <row r="343" spans="1:14" ht="18" customHeight="1">
      <c r="A343" s="441"/>
      <c r="B343" s="442"/>
      <c r="C343" s="441"/>
      <c r="D343" s="441"/>
      <c r="E343" s="441"/>
      <c r="F343" s="441"/>
      <c r="G343" s="443"/>
      <c r="H343" s="443"/>
      <c r="I343" s="307"/>
      <c r="J343" s="443"/>
      <c r="K343" s="31"/>
      <c r="L343" s="32"/>
      <c r="M343" s="32"/>
      <c r="N343" s="31"/>
    </row>
    <row r="344" spans="1:14" ht="18" customHeight="1">
      <c r="A344" s="441"/>
      <c r="B344" s="442"/>
      <c r="C344" s="441"/>
      <c r="D344" s="441"/>
      <c r="E344" s="441"/>
      <c r="F344" s="441"/>
      <c r="G344" s="443"/>
      <c r="H344" s="443"/>
      <c r="I344" s="307"/>
      <c r="J344" s="443"/>
      <c r="K344" s="31"/>
      <c r="L344" s="32"/>
      <c r="M344" s="32"/>
      <c r="N344" s="31"/>
    </row>
    <row r="345" spans="1:14" ht="18" customHeight="1">
      <c r="A345" s="441"/>
      <c r="B345" s="442"/>
      <c r="C345" s="441"/>
      <c r="D345" s="441"/>
      <c r="E345" s="441"/>
      <c r="F345" s="441"/>
      <c r="G345" s="443"/>
      <c r="H345" s="443"/>
      <c r="I345" s="307"/>
      <c r="J345" s="443"/>
      <c r="K345" s="31"/>
      <c r="L345" s="32"/>
      <c r="M345" s="32"/>
      <c r="N345" s="31"/>
    </row>
    <row r="346" spans="1:14" ht="18" customHeight="1">
      <c r="A346" s="441"/>
      <c r="B346" s="442"/>
      <c r="C346" s="441"/>
      <c r="D346" s="441"/>
      <c r="E346" s="441"/>
      <c r="F346" s="441"/>
      <c r="G346" s="443"/>
      <c r="H346" s="443"/>
      <c r="I346" s="307"/>
      <c r="J346" s="443"/>
      <c r="K346" s="31"/>
      <c r="L346" s="32"/>
      <c r="M346" s="32"/>
      <c r="N346" s="31"/>
    </row>
    <row r="347" spans="1:14" ht="18" customHeight="1">
      <c r="A347" s="441"/>
      <c r="B347" s="442"/>
      <c r="C347" s="441"/>
      <c r="D347" s="441"/>
      <c r="E347" s="441"/>
      <c r="F347" s="441"/>
      <c r="G347" s="443"/>
      <c r="H347" s="443"/>
      <c r="I347" s="307"/>
      <c r="J347" s="443"/>
      <c r="K347" s="31"/>
      <c r="L347" s="32"/>
      <c r="M347" s="32"/>
      <c r="N347" s="31"/>
    </row>
    <row r="348" spans="1:14" ht="18" customHeight="1">
      <c r="A348" s="441"/>
      <c r="B348" s="442"/>
      <c r="C348" s="441"/>
      <c r="D348" s="441"/>
      <c r="E348" s="441"/>
      <c r="F348" s="441"/>
      <c r="G348" s="443"/>
      <c r="H348" s="443"/>
      <c r="I348" s="307"/>
      <c r="J348" s="443"/>
      <c r="K348" s="31"/>
      <c r="L348" s="32"/>
      <c r="M348" s="32"/>
      <c r="N348" s="31"/>
    </row>
    <row r="349" spans="1:14" ht="18" customHeight="1">
      <c r="A349" s="441"/>
      <c r="B349" s="442"/>
      <c r="C349" s="441"/>
      <c r="D349" s="441"/>
      <c r="E349" s="441"/>
      <c r="F349" s="441"/>
      <c r="G349" s="443"/>
      <c r="H349" s="443"/>
      <c r="I349" s="307"/>
      <c r="J349" s="443"/>
      <c r="K349" s="31"/>
      <c r="L349" s="32"/>
      <c r="M349" s="32"/>
      <c r="N349" s="31"/>
    </row>
    <row r="350" spans="1:14" ht="18" customHeight="1">
      <c r="A350" s="441"/>
      <c r="B350" s="442"/>
      <c r="C350" s="441"/>
      <c r="D350" s="441"/>
      <c r="E350" s="441"/>
      <c r="F350" s="441"/>
      <c r="G350" s="443"/>
      <c r="H350" s="443"/>
      <c r="I350" s="307"/>
      <c r="J350" s="443"/>
      <c r="K350" s="31"/>
      <c r="L350" s="32"/>
      <c r="M350" s="32"/>
      <c r="N350" s="31"/>
    </row>
    <row r="351" spans="1:14" ht="18" customHeight="1">
      <c r="A351" s="441"/>
      <c r="B351" s="442"/>
      <c r="C351" s="441"/>
      <c r="D351" s="441"/>
      <c r="E351" s="441"/>
      <c r="F351" s="441"/>
      <c r="G351" s="443"/>
      <c r="H351" s="443"/>
      <c r="I351" s="307"/>
      <c r="J351" s="443"/>
      <c r="K351" s="31"/>
      <c r="L351" s="32"/>
      <c r="M351" s="32"/>
      <c r="N351" s="31"/>
    </row>
    <row r="352" spans="1:14" ht="18" customHeight="1">
      <c r="A352" s="441"/>
      <c r="B352" s="442"/>
      <c r="C352" s="441"/>
      <c r="D352" s="441"/>
      <c r="E352" s="441"/>
      <c r="F352" s="441"/>
      <c r="G352" s="443"/>
      <c r="H352" s="443"/>
      <c r="I352" s="307"/>
      <c r="J352" s="443"/>
      <c r="K352" s="31"/>
      <c r="L352" s="32"/>
      <c r="M352" s="32"/>
      <c r="N352" s="31"/>
    </row>
    <row r="353" spans="1:14" ht="18" customHeight="1">
      <c r="A353" s="441"/>
      <c r="B353" s="442"/>
      <c r="C353" s="441"/>
      <c r="D353" s="441"/>
      <c r="E353" s="441"/>
      <c r="F353" s="441"/>
      <c r="G353" s="443"/>
      <c r="H353" s="443"/>
      <c r="I353" s="307"/>
      <c r="J353" s="443"/>
      <c r="K353" s="31"/>
      <c r="L353" s="32"/>
      <c r="M353" s="32"/>
      <c r="N353" s="31"/>
    </row>
    <row r="354" spans="1:14" ht="18" customHeight="1">
      <c r="A354" s="441"/>
      <c r="B354" s="442"/>
      <c r="C354" s="441"/>
      <c r="D354" s="441"/>
      <c r="E354" s="441"/>
      <c r="F354" s="441"/>
      <c r="G354" s="443"/>
      <c r="H354" s="443"/>
      <c r="I354" s="307"/>
      <c r="J354" s="443"/>
      <c r="K354" s="31"/>
      <c r="L354" s="32"/>
      <c r="M354" s="32"/>
      <c r="N354" s="31"/>
    </row>
    <row r="355" spans="1:14" ht="18" customHeight="1">
      <c r="A355" s="441"/>
      <c r="B355" s="442"/>
      <c r="C355" s="441"/>
      <c r="D355" s="441"/>
      <c r="E355" s="441"/>
      <c r="F355" s="441"/>
      <c r="G355" s="443"/>
      <c r="H355" s="443"/>
      <c r="I355" s="307"/>
      <c r="J355" s="443"/>
      <c r="K355" s="31"/>
      <c r="L355" s="32"/>
      <c r="M355" s="32"/>
      <c r="N355" s="31"/>
    </row>
    <row r="356" spans="1:14" ht="18" customHeight="1">
      <c r="A356" s="441"/>
      <c r="B356" s="442"/>
      <c r="C356" s="441"/>
      <c r="D356" s="441"/>
      <c r="E356" s="441"/>
      <c r="F356" s="441"/>
      <c r="G356" s="443"/>
      <c r="H356" s="443"/>
      <c r="I356" s="307"/>
      <c r="J356" s="443"/>
      <c r="K356" s="31"/>
      <c r="L356" s="32"/>
      <c r="M356" s="32"/>
      <c r="N356" s="31"/>
    </row>
    <row r="357" spans="1:14" ht="18" customHeight="1">
      <c r="A357" s="441"/>
      <c r="B357" s="442"/>
      <c r="C357" s="441"/>
      <c r="D357" s="441"/>
      <c r="E357" s="441"/>
      <c r="F357" s="441"/>
      <c r="G357" s="443"/>
      <c r="H357" s="443"/>
      <c r="I357" s="307"/>
      <c r="J357" s="443"/>
      <c r="K357" s="31"/>
      <c r="L357" s="32"/>
      <c r="M357" s="32"/>
      <c r="N357" s="31"/>
    </row>
    <row r="358" spans="1:14" ht="18" customHeight="1">
      <c r="A358" s="441"/>
      <c r="B358" s="442"/>
      <c r="C358" s="441"/>
      <c r="D358" s="441"/>
      <c r="E358" s="441"/>
      <c r="F358" s="441"/>
      <c r="G358" s="443"/>
      <c r="H358" s="443"/>
      <c r="I358" s="307"/>
      <c r="J358" s="443"/>
      <c r="K358" s="31"/>
      <c r="L358" s="32"/>
      <c r="M358" s="32"/>
      <c r="N358" s="31"/>
    </row>
    <row r="359" spans="1:14" ht="18" customHeight="1">
      <c r="A359" s="441"/>
      <c r="B359" s="442"/>
      <c r="C359" s="441"/>
      <c r="D359" s="441"/>
      <c r="E359" s="441"/>
      <c r="F359" s="441"/>
      <c r="G359" s="443"/>
      <c r="H359" s="443"/>
      <c r="I359" s="307"/>
      <c r="J359" s="443"/>
      <c r="K359" s="31"/>
      <c r="L359" s="32"/>
      <c r="M359" s="32"/>
      <c r="N359" s="31"/>
    </row>
    <row r="360" spans="1:14" ht="18" customHeight="1">
      <c r="A360" s="441"/>
      <c r="B360" s="442"/>
      <c r="C360" s="441"/>
      <c r="D360" s="441"/>
      <c r="E360" s="441"/>
      <c r="F360" s="441"/>
      <c r="G360" s="443"/>
      <c r="H360" s="443"/>
      <c r="I360" s="307"/>
      <c r="J360" s="443"/>
      <c r="K360" s="31"/>
      <c r="L360" s="32"/>
      <c r="M360" s="32"/>
      <c r="N360" s="31"/>
    </row>
    <row r="361" spans="1:14" s="423" customFormat="1" ht="20.100000000000001" customHeight="1">
      <c r="A361" s="541"/>
      <c r="B361" s="541"/>
      <c r="C361" s="541"/>
      <c r="D361" s="541"/>
      <c r="E361" s="541"/>
      <c r="F361" s="541"/>
      <c r="G361" s="541"/>
      <c r="H361" s="541"/>
      <c r="I361" s="541"/>
      <c r="J361" s="541"/>
      <c r="K361" s="541"/>
      <c r="L361" s="541"/>
      <c r="M361" s="541"/>
      <c r="N361" s="541"/>
    </row>
    <row r="362" spans="1:14" ht="18" customHeight="1">
      <c r="A362" s="441"/>
      <c r="B362" s="442"/>
      <c r="C362" s="441"/>
      <c r="D362" s="441"/>
      <c r="E362" s="441"/>
      <c r="F362" s="441"/>
      <c r="G362" s="443"/>
      <c r="H362" s="443"/>
      <c r="I362" s="307"/>
      <c r="J362" s="443"/>
      <c r="K362" s="31"/>
      <c r="L362" s="32"/>
      <c r="M362" s="32"/>
      <c r="N362" s="31"/>
    </row>
    <row r="363" spans="1:14" ht="18" customHeight="1">
      <c r="A363" s="441"/>
      <c r="B363" s="442"/>
      <c r="C363" s="441"/>
      <c r="D363" s="441"/>
      <c r="E363" s="441"/>
      <c r="F363" s="441"/>
      <c r="G363" s="443"/>
      <c r="H363" s="443"/>
      <c r="I363" s="307"/>
      <c r="J363" s="443"/>
      <c r="K363" s="31"/>
      <c r="L363" s="32"/>
      <c r="M363" s="32"/>
      <c r="N363" s="31"/>
    </row>
    <row r="364" spans="1:14" ht="18" customHeight="1">
      <c r="A364" s="441"/>
      <c r="B364" s="442"/>
      <c r="C364" s="441"/>
      <c r="D364" s="441"/>
      <c r="E364" s="441"/>
      <c r="F364" s="441"/>
      <c r="G364" s="443"/>
      <c r="H364" s="443"/>
      <c r="I364" s="307"/>
      <c r="J364" s="443"/>
      <c r="K364" s="31"/>
      <c r="L364" s="32"/>
      <c r="M364" s="32"/>
      <c r="N364" s="31"/>
    </row>
    <row r="365" spans="1:14" ht="18" customHeight="1">
      <c r="A365" s="441"/>
      <c r="B365" s="442"/>
      <c r="C365" s="441"/>
      <c r="D365" s="441"/>
      <c r="E365" s="441"/>
      <c r="F365" s="441"/>
      <c r="G365" s="443"/>
      <c r="H365" s="443"/>
      <c r="I365" s="307"/>
      <c r="J365" s="443"/>
      <c r="K365" s="31"/>
      <c r="L365" s="32"/>
      <c r="M365" s="32"/>
      <c r="N365" s="31"/>
    </row>
    <row r="366" spans="1:14" ht="18" customHeight="1">
      <c r="A366" s="441"/>
      <c r="B366" s="442"/>
      <c r="C366" s="441"/>
      <c r="D366" s="441"/>
      <c r="E366" s="441"/>
      <c r="F366" s="441"/>
      <c r="G366" s="443"/>
      <c r="H366" s="443"/>
      <c r="I366" s="307"/>
      <c r="J366" s="443"/>
      <c r="K366" s="31"/>
      <c r="L366" s="32"/>
      <c r="M366" s="32"/>
      <c r="N366" s="31"/>
    </row>
    <row r="367" spans="1:14" ht="18" customHeight="1"/>
    <row r="368" spans="1:14" ht="18" customHeight="1">
      <c r="J368" s="160"/>
      <c r="K368" s="160"/>
      <c r="L368" s="160"/>
      <c r="M368" s="160"/>
      <c r="N368" s="160"/>
    </row>
    <row r="369" spans="7:14" ht="18" customHeight="1">
      <c r="J369" s="161"/>
      <c r="K369" s="161"/>
      <c r="L369" s="161"/>
      <c r="M369" s="161"/>
      <c r="N369" s="161"/>
    </row>
    <row r="370" spans="7:14" s="37" customFormat="1" ht="18" customHeight="1">
      <c r="G370" s="36"/>
      <c r="I370" s="38"/>
      <c r="J370" s="29"/>
      <c r="K370" s="29"/>
      <c r="L370" s="30"/>
      <c r="M370" s="29"/>
      <c r="N370" s="29"/>
    </row>
    <row r="371" spans="7:14" ht="18" customHeight="1"/>
    <row r="372" spans="7:14" ht="18" customHeight="1">
      <c r="J372" s="37"/>
      <c r="K372" s="37"/>
      <c r="L372" s="37"/>
      <c r="M372" s="37"/>
      <c r="N372" s="37"/>
    </row>
  </sheetData>
  <sheetProtection algorithmName="SHA-512" hashValue="qMPnbJ/fHoEOvEqtFtYnT4XUlMn6rBfzHepUbaK2/7UrTN/+IDEuzh6AOGnAL2DVAK2FRTL92ydc1WLGT/IPBA==" saltValue="fHm6JrHOyMZxTFXfP5F8fw==" spinCount="100000" sheet="1" objects="1" scenarios="1"/>
  <sortState ref="D150:N161">
    <sortCondition ref="H150:H161"/>
  </sortState>
  <mergeCells count="36">
    <mergeCell ref="A76:N76"/>
    <mergeCell ref="A78:E78"/>
    <mergeCell ref="A10:F10"/>
    <mergeCell ref="A73:N73"/>
    <mergeCell ref="A81:N81"/>
    <mergeCell ref="A2:N2"/>
    <mergeCell ref="A3:N3"/>
    <mergeCell ref="A5:N5"/>
    <mergeCell ref="K6:M6"/>
    <mergeCell ref="A7:F7"/>
    <mergeCell ref="K7:M7"/>
    <mergeCell ref="K83:M83"/>
    <mergeCell ref="A86:F86"/>
    <mergeCell ref="A223:N223"/>
    <mergeCell ref="A183:N183"/>
    <mergeCell ref="A188:N188"/>
    <mergeCell ref="A185:E185"/>
    <mergeCell ref="K189:M189"/>
    <mergeCell ref="A190:F190"/>
    <mergeCell ref="K190:M190"/>
    <mergeCell ref="A173:F174"/>
    <mergeCell ref="H173:J174"/>
    <mergeCell ref="K173:N174"/>
    <mergeCell ref="A83:F83"/>
    <mergeCell ref="H308:J308"/>
    <mergeCell ref="M308:N308"/>
    <mergeCell ref="A361:N361"/>
    <mergeCell ref="A225:F225"/>
    <mergeCell ref="K225:M225"/>
    <mergeCell ref="A302:N303"/>
    <mergeCell ref="H307:J307"/>
    <mergeCell ref="M307:N307"/>
    <mergeCell ref="A228:F228"/>
    <mergeCell ref="A276:F277"/>
    <mergeCell ref="H276:J277"/>
    <mergeCell ref="K276:N277"/>
  </mergeCells>
  <phoneticPr fontId="41" type="noConversion"/>
  <printOptions horizontalCentered="1"/>
  <pageMargins left="0.5" right="0" top="0.75" bottom="0.5" header="0.5" footer="0"/>
  <pageSetup paperSize="256" scale="69" orientation="portrait" r:id="rId1"/>
  <headerFooter alignWithMargins="0">
    <oddFooter xml:space="preserve">&amp;C&amp;"Times New Roman,Bold"&amp;14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workbookViewId="0">
      <selection activeCell="A58" sqref="A58:K58"/>
    </sheetView>
  </sheetViews>
  <sheetFormatPr defaultRowHeight="15.75"/>
  <cols>
    <col min="1" max="1" width="2.28515625" style="90" customWidth="1"/>
    <col min="2" max="2" width="1.140625" style="90" customWidth="1"/>
    <col min="3" max="3" width="15.85546875" style="90" customWidth="1"/>
    <col min="4" max="4" width="12.85546875" style="90" customWidth="1"/>
    <col min="5" max="5" width="17.28515625" style="90" customWidth="1"/>
    <col min="6" max="6" width="15.28515625" style="90" customWidth="1"/>
    <col min="7" max="7" width="15.7109375" style="90" customWidth="1"/>
    <col min="8" max="8" width="10.140625" style="90" customWidth="1"/>
    <col min="9" max="9" width="13.7109375" style="90" customWidth="1"/>
    <col min="10" max="10" width="15" style="90" customWidth="1"/>
    <col min="11" max="11" width="14.7109375" style="90" customWidth="1"/>
    <col min="12" max="12" width="9.140625" style="90"/>
    <col min="13" max="13" width="19" style="90" customWidth="1"/>
    <col min="14" max="16384" width="9.140625" style="90"/>
  </cols>
  <sheetData>
    <row r="1" spans="1:17" s="1" customFormat="1">
      <c r="A1" s="571" t="s">
        <v>422</v>
      </c>
      <c r="B1" s="571"/>
      <c r="C1" s="571"/>
      <c r="D1" s="571"/>
      <c r="E1" s="571"/>
      <c r="F1" s="571"/>
      <c r="G1" s="571"/>
      <c r="H1" s="571"/>
      <c r="I1" s="571"/>
      <c r="J1" s="571"/>
      <c r="K1" s="571"/>
    </row>
    <row r="2" spans="1:17" s="1" customFormat="1">
      <c r="A2" s="571" t="s">
        <v>35</v>
      </c>
      <c r="B2" s="571"/>
      <c r="C2" s="571"/>
      <c r="D2" s="571"/>
      <c r="E2" s="571"/>
      <c r="F2" s="571"/>
      <c r="G2" s="571"/>
      <c r="H2" s="571"/>
      <c r="I2" s="571"/>
      <c r="J2" s="571"/>
      <c r="K2" s="571"/>
    </row>
    <row r="3" spans="1:17" s="1" customFormat="1">
      <c r="A3" s="571" t="s">
        <v>511</v>
      </c>
      <c r="B3" s="571"/>
      <c r="C3" s="571"/>
      <c r="D3" s="571"/>
      <c r="E3" s="571"/>
      <c r="F3" s="571"/>
      <c r="G3" s="571"/>
      <c r="H3" s="571"/>
      <c r="I3" s="571"/>
      <c r="J3" s="571"/>
      <c r="K3" s="571"/>
    </row>
    <row r="4" spans="1:17" s="1" customFormat="1">
      <c r="A4" s="571"/>
      <c r="B4" s="571"/>
      <c r="C4" s="571"/>
      <c r="D4" s="571"/>
      <c r="E4" s="571"/>
      <c r="F4" s="571"/>
      <c r="G4" s="571"/>
      <c r="H4" s="571"/>
      <c r="I4" s="571"/>
      <c r="J4" s="571"/>
      <c r="K4" s="571"/>
    </row>
    <row r="5" spans="1:17" s="1" customFormat="1">
      <c r="A5" s="103"/>
      <c r="B5" s="103"/>
      <c r="C5" s="103"/>
      <c r="D5" s="103"/>
      <c r="E5" s="103"/>
      <c r="F5" s="103"/>
      <c r="G5" s="103"/>
      <c r="H5" s="103"/>
      <c r="I5" s="103"/>
      <c r="J5" s="103"/>
      <c r="K5" s="103"/>
      <c r="L5" s="103"/>
      <c r="M5" s="103"/>
      <c r="N5" s="103"/>
      <c r="O5" s="103"/>
      <c r="P5" s="103"/>
    </row>
    <row r="6" spans="1:17" s="1" customFormat="1">
      <c r="A6" s="103"/>
      <c r="B6" s="103"/>
      <c r="C6" s="103"/>
      <c r="D6" s="103"/>
      <c r="E6" s="103"/>
      <c r="F6" s="103"/>
      <c r="G6" s="103"/>
      <c r="H6" s="103"/>
      <c r="I6" s="103"/>
      <c r="J6" s="103"/>
      <c r="K6" s="103"/>
      <c r="L6" s="103"/>
      <c r="M6" s="103"/>
      <c r="N6" s="103"/>
      <c r="O6" s="103"/>
      <c r="P6" s="103"/>
    </row>
    <row r="7" spans="1:17" s="1" customFormat="1">
      <c r="A7" s="103"/>
      <c r="B7" s="103"/>
      <c r="C7" s="103"/>
      <c r="D7" s="103"/>
      <c r="E7" s="103"/>
      <c r="F7" s="103"/>
      <c r="G7" s="103"/>
      <c r="H7" s="103"/>
      <c r="I7" s="103"/>
      <c r="J7" s="103"/>
      <c r="K7" s="103"/>
      <c r="L7" s="103"/>
      <c r="M7" s="103"/>
      <c r="N7" s="103"/>
      <c r="O7" s="103"/>
      <c r="P7" s="103"/>
    </row>
    <row r="8" spans="1:17" s="1" customFormat="1" ht="18">
      <c r="A8" s="572" t="s">
        <v>512</v>
      </c>
      <c r="B8" s="572"/>
      <c r="C8" s="572"/>
      <c r="D8" s="572"/>
      <c r="E8" s="572"/>
      <c r="F8" s="572"/>
      <c r="G8" s="572"/>
      <c r="H8" s="572"/>
      <c r="I8" s="572"/>
      <c r="J8" s="572"/>
      <c r="K8" s="572"/>
      <c r="L8" s="2"/>
      <c r="M8" s="2"/>
      <c r="N8" s="2"/>
      <c r="O8" s="2"/>
      <c r="P8" s="2"/>
      <c r="Q8" s="2"/>
    </row>
    <row r="9" spans="1:17" s="1" customFormat="1">
      <c r="A9" s="110" t="s">
        <v>515</v>
      </c>
      <c r="B9" s="110"/>
      <c r="C9" s="110"/>
      <c r="D9" s="110"/>
      <c r="E9" s="110"/>
      <c r="F9" s="110"/>
      <c r="G9" s="110"/>
      <c r="H9" s="110"/>
      <c r="I9" s="110"/>
      <c r="J9" s="110"/>
      <c r="K9" s="110"/>
      <c r="L9" s="110"/>
      <c r="M9" s="110"/>
      <c r="N9" s="110"/>
      <c r="O9" s="110"/>
      <c r="P9" s="110"/>
      <c r="Q9" s="110"/>
    </row>
    <row r="10" spans="1:17" s="1" customFormat="1">
      <c r="A10" s="1" t="s">
        <v>516</v>
      </c>
      <c r="I10" s="103"/>
      <c r="J10" s="103"/>
      <c r="O10" s="111"/>
      <c r="P10" s="111"/>
    </row>
    <row r="11" spans="1:17" s="1" customFormat="1">
      <c r="A11" s="1" t="s">
        <v>514</v>
      </c>
      <c r="I11" s="103"/>
      <c r="J11" s="103"/>
      <c r="O11" s="111"/>
      <c r="P11" s="111"/>
    </row>
    <row r="12" spans="1:17" s="1" customFormat="1" ht="9.9499999999999993" customHeight="1">
      <c r="A12" s="110" t="s">
        <v>517</v>
      </c>
      <c r="I12" s="103"/>
      <c r="J12" s="103"/>
      <c r="O12" s="111"/>
      <c r="P12" s="111"/>
    </row>
    <row r="14" spans="1:17" s="130" customFormat="1" ht="15.75" customHeight="1">
      <c r="A14" s="129" t="s">
        <v>617</v>
      </c>
      <c r="H14" s="131"/>
      <c r="I14" s="131"/>
      <c r="J14" s="131"/>
      <c r="K14" s="131"/>
      <c r="L14" s="131"/>
      <c r="M14" s="131"/>
      <c r="N14" s="131"/>
      <c r="O14" s="131"/>
      <c r="P14" s="131"/>
      <c r="Q14" s="131"/>
    </row>
    <row r="16" spans="1:17">
      <c r="A16" s="565" t="s">
        <v>518</v>
      </c>
      <c r="B16" s="566"/>
      <c r="C16" s="566"/>
      <c r="D16" s="112"/>
      <c r="E16" s="112"/>
      <c r="F16" s="113" t="s">
        <v>519</v>
      </c>
      <c r="G16" s="569" t="s">
        <v>49</v>
      </c>
      <c r="H16" s="114" t="s">
        <v>520</v>
      </c>
      <c r="I16" s="569" t="s">
        <v>50</v>
      </c>
      <c r="J16" s="566" t="s">
        <v>612</v>
      </c>
      <c r="K16" s="569" t="s">
        <v>11</v>
      </c>
    </row>
    <row r="17" spans="1:11">
      <c r="A17" s="567"/>
      <c r="B17" s="568"/>
      <c r="C17" s="568"/>
      <c r="D17" s="115"/>
      <c r="E17" s="115"/>
      <c r="F17" s="116" t="s">
        <v>521</v>
      </c>
      <c r="G17" s="570"/>
      <c r="H17" s="117" t="s">
        <v>522</v>
      </c>
      <c r="I17" s="570"/>
      <c r="J17" s="568"/>
      <c r="K17" s="570"/>
    </row>
    <row r="18" spans="1:11">
      <c r="A18" s="118" t="s">
        <v>523</v>
      </c>
      <c r="B18" s="99" t="s">
        <v>524</v>
      </c>
      <c r="C18" s="99" t="s">
        <v>51</v>
      </c>
      <c r="D18" s="99"/>
      <c r="E18" s="99"/>
      <c r="F18" s="92">
        <f>'Form 1a-ABR Office'!M44</f>
        <v>11210945</v>
      </c>
      <c r="G18" s="119">
        <f>'Form 1a-ABR Office'!M59</f>
        <v>4102904</v>
      </c>
      <c r="H18" s="92">
        <v>0</v>
      </c>
      <c r="I18" s="92">
        <f>'Form 1a-ABR Office'!M66</f>
        <v>1550000</v>
      </c>
      <c r="J18" s="119">
        <f>'Form 1a-ABR Office'!M127+'Form 1a-ABR Office'!M190</f>
        <v>101487236.66</v>
      </c>
      <c r="K18" s="92">
        <f>SUM(F18:J18)</f>
        <v>118351085.66</v>
      </c>
    </row>
    <row r="19" spans="1:11">
      <c r="A19" s="118" t="s">
        <v>525</v>
      </c>
      <c r="B19" s="99" t="s">
        <v>524</v>
      </c>
      <c r="C19" s="99" t="s">
        <v>52</v>
      </c>
      <c r="D19" s="99"/>
      <c r="E19" s="99"/>
      <c r="F19" s="92">
        <f>'Form 1a-ABR Office'!M238</f>
        <v>19751169</v>
      </c>
      <c r="G19" s="119">
        <f>'Form 1a-ABR Office'!M254</f>
        <v>7457400</v>
      </c>
      <c r="H19" s="92">
        <v>0</v>
      </c>
      <c r="I19" s="92">
        <f>'Form 1a-ABR Office'!M257</f>
        <v>1800000</v>
      </c>
      <c r="J19" s="119"/>
      <c r="K19" s="92">
        <f t="shared" ref="K19:K32" si="0">SUM(F19:J19)</f>
        <v>29008569</v>
      </c>
    </row>
    <row r="20" spans="1:11">
      <c r="A20" s="118" t="s">
        <v>526</v>
      </c>
      <c r="B20" s="99" t="s">
        <v>524</v>
      </c>
      <c r="C20" s="99" t="s">
        <v>53</v>
      </c>
      <c r="D20" s="99"/>
      <c r="E20" s="99"/>
      <c r="F20" s="92">
        <f>'Form 1a-ABR Office'!M308</f>
        <v>2236832</v>
      </c>
      <c r="G20" s="119">
        <f>'Form 1a-ABR Office'!M317</f>
        <v>630376</v>
      </c>
      <c r="H20" s="92">
        <v>0</v>
      </c>
      <c r="I20" s="92">
        <f>'Form 1a-ABR Office'!M322</f>
        <v>0</v>
      </c>
      <c r="J20" s="119"/>
      <c r="K20" s="92">
        <f t="shared" si="0"/>
        <v>2867208</v>
      </c>
    </row>
    <row r="21" spans="1:11">
      <c r="A21" s="118" t="s">
        <v>527</v>
      </c>
      <c r="B21" s="99" t="s">
        <v>524</v>
      </c>
      <c r="C21" s="99" t="s">
        <v>54</v>
      </c>
      <c r="D21" s="99"/>
      <c r="E21" s="99"/>
      <c r="F21" s="92">
        <f>'Form 1a-ABR Office'!M367</f>
        <v>1968198</v>
      </c>
      <c r="G21" s="119">
        <f>'Form 1a-ABR Office'!M377</f>
        <v>257000</v>
      </c>
      <c r="H21" s="92">
        <v>0</v>
      </c>
      <c r="I21" s="92">
        <f>'Form 1a-ABR Office'!M382</f>
        <v>70000</v>
      </c>
      <c r="J21" s="119">
        <f>'Form 1a-ABR Office'!M384</f>
        <v>150000</v>
      </c>
      <c r="K21" s="92">
        <f t="shared" si="0"/>
        <v>2445198</v>
      </c>
    </row>
    <row r="22" spans="1:11">
      <c r="A22" s="118" t="s">
        <v>528</v>
      </c>
      <c r="B22" s="99" t="s">
        <v>524</v>
      </c>
      <c r="C22" s="99" t="s">
        <v>55</v>
      </c>
      <c r="D22" s="99"/>
      <c r="E22" s="99"/>
      <c r="F22" s="92">
        <f>'Form 1a-ABR Office'!M429</f>
        <v>2967086</v>
      </c>
      <c r="G22" s="119">
        <f>'Form 1a-ABR Office'!M437</f>
        <v>458000</v>
      </c>
      <c r="H22" s="92">
        <v>0</v>
      </c>
      <c r="I22" s="92">
        <f>'Form 1a-ABR Office'!M442</f>
        <v>0</v>
      </c>
      <c r="J22" s="119"/>
      <c r="K22" s="92">
        <f t="shared" si="0"/>
        <v>3425086</v>
      </c>
    </row>
    <row r="23" spans="1:11">
      <c r="A23" s="118" t="s">
        <v>529</v>
      </c>
      <c r="B23" s="99" t="s">
        <v>524</v>
      </c>
      <c r="C23" s="99" t="s">
        <v>56</v>
      </c>
      <c r="D23" s="99"/>
      <c r="E23" s="99"/>
      <c r="F23" s="92">
        <f>'Form 1a-ABR Office'!M489</f>
        <v>2921543</v>
      </c>
      <c r="G23" s="119">
        <f>'Form 1a-ABR Office'!M498</f>
        <v>798000</v>
      </c>
      <c r="H23" s="92">
        <v>0</v>
      </c>
      <c r="I23" s="92">
        <f>'Form 1a-ABR Office'!M504</f>
        <v>30000</v>
      </c>
      <c r="J23" s="119"/>
      <c r="K23" s="92">
        <f t="shared" si="0"/>
        <v>3749543</v>
      </c>
    </row>
    <row r="24" spans="1:11">
      <c r="A24" s="118" t="s">
        <v>530</v>
      </c>
      <c r="B24" s="99" t="s">
        <v>524</v>
      </c>
      <c r="C24" s="99" t="s">
        <v>57</v>
      </c>
      <c r="D24" s="99"/>
      <c r="E24" s="99"/>
      <c r="F24" s="92">
        <f>'Form 1a-ABR Office'!M551</f>
        <v>5239182</v>
      </c>
      <c r="G24" s="119">
        <f>'Form 1a-ABR Office'!M563</f>
        <v>1431000</v>
      </c>
      <c r="H24" s="92">
        <v>0</v>
      </c>
      <c r="I24" s="92">
        <f>'Form 1a-ABR Office'!M568</f>
        <v>140000</v>
      </c>
      <c r="J24" s="119"/>
      <c r="K24" s="92">
        <f t="shared" si="0"/>
        <v>6810182</v>
      </c>
    </row>
    <row r="25" spans="1:11">
      <c r="A25" s="118" t="s">
        <v>531</v>
      </c>
      <c r="B25" s="99" t="s">
        <v>524</v>
      </c>
      <c r="C25" s="99" t="s">
        <v>58</v>
      </c>
      <c r="D25" s="99"/>
      <c r="E25" s="99"/>
      <c r="F25" s="92">
        <f>'Form 1a-ABR Office'!M612</f>
        <v>2994130</v>
      </c>
      <c r="G25" s="119">
        <f>'Form 1a-ABR Office'!M622</f>
        <v>483500</v>
      </c>
      <c r="H25" s="92">
        <v>0</v>
      </c>
      <c r="I25" s="92">
        <f>'Form 1a-ABR Office'!M628</f>
        <v>80000</v>
      </c>
      <c r="J25" s="119"/>
      <c r="K25" s="92">
        <f t="shared" si="0"/>
        <v>3557630</v>
      </c>
    </row>
    <row r="26" spans="1:11">
      <c r="A26" s="118" t="s">
        <v>532</v>
      </c>
      <c r="B26" s="99" t="s">
        <v>524</v>
      </c>
      <c r="C26" s="99" t="s">
        <v>59</v>
      </c>
      <c r="D26" s="99"/>
      <c r="E26" s="99"/>
      <c r="F26" s="92">
        <f>'Form 1a-ABR Office'!M674</f>
        <v>2304493</v>
      </c>
      <c r="G26" s="119">
        <f>'Form 1a-ABR Office'!M685</f>
        <v>371000</v>
      </c>
      <c r="H26" s="92">
        <v>0</v>
      </c>
      <c r="I26" s="92">
        <f>'Form 1a-ABR Office'!M691</f>
        <v>0</v>
      </c>
      <c r="J26" s="119"/>
      <c r="K26" s="92">
        <f t="shared" si="0"/>
        <v>2675493</v>
      </c>
    </row>
    <row r="27" spans="1:11">
      <c r="A27" s="118" t="s">
        <v>533</v>
      </c>
      <c r="B27" s="99" t="s">
        <v>524</v>
      </c>
      <c r="C27" s="99" t="s">
        <v>60</v>
      </c>
      <c r="D27" s="99"/>
      <c r="E27" s="99"/>
      <c r="F27" s="92">
        <f>'Form 1a-ABR Office'!M738</f>
        <v>4792546.8</v>
      </c>
      <c r="G27" s="119">
        <f>'Form 1a-ABR Office'!M750</f>
        <v>6887200</v>
      </c>
      <c r="H27" s="92">
        <v>0</v>
      </c>
      <c r="I27" s="92">
        <f>'Form 1a-ABR Office'!M757</f>
        <v>160000</v>
      </c>
      <c r="J27" s="119"/>
      <c r="K27" s="92">
        <f t="shared" si="0"/>
        <v>11839746.800000001</v>
      </c>
    </row>
    <row r="28" spans="1:11">
      <c r="A28" s="118" t="s">
        <v>534</v>
      </c>
      <c r="B28" s="99" t="s">
        <v>524</v>
      </c>
      <c r="C28" s="99" t="s">
        <v>61</v>
      </c>
      <c r="D28" s="99"/>
      <c r="E28" s="99"/>
      <c r="F28" s="92">
        <f>'Form 1a-ABR Office'!M803</f>
        <v>4439620</v>
      </c>
      <c r="G28" s="119">
        <f>'Form 1a-ABR Office'!M815</f>
        <v>1641882</v>
      </c>
      <c r="H28" s="92">
        <v>0</v>
      </c>
      <c r="I28" s="92">
        <f>'Form 1a-ABR Office'!M824</f>
        <v>1820000</v>
      </c>
      <c r="J28" s="119"/>
      <c r="K28" s="92">
        <f t="shared" si="0"/>
        <v>7901502</v>
      </c>
    </row>
    <row r="29" spans="1:11">
      <c r="A29" s="118" t="s">
        <v>535</v>
      </c>
      <c r="B29" s="99" t="s">
        <v>524</v>
      </c>
      <c r="C29" s="99" t="s">
        <v>62</v>
      </c>
      <c r="D29" s="99"/>
      <c r="E29" s="99"/>
      <c r="F29" s="92">
        <f>'Form 1a-ABR Office'!M872</f>
        <v>11349889</v>
      </c>
      <c r="G29" s="119">
        <f>'Form 1a-ABR Office'!M884</f>
        <v>6346000</v>
      </c>
      <c r="H29" s="92">
        <v>0</v>
      </c>
      <c r="I29" s="92">
        <f>'Form 1a-ABR Office'!M890</f>
        <v>120000</v>
      </c>
      <c r="J29" s="119"/>
      <c r="K29" s="92">
        <f t="shared" si="0"/>
        <v>17815889</v>
      </c>
    </row>
    <row r="30" spans="1:11">
      <c r="A30" s="118" t="s">
        <v>536</v>
      </c>
      <c r="B30" s="99" t="s">
        <v>524</v>
      </c>
      <c r="C30" s="99" t="s">
        <v>63</v>
      </c>
      <c r="D30" s="99"/>
      <c r="E30" s="99"/>
      <c r="F30" s="92">
        <f>'Form 1a-ABR Office'!M936</f>
        <v>3278023</v>
      </c>
      <c r="G30" s="119">
        <f>'Form 1a-ABR Office'!M945</f>
        <v>1880000</v>
      </c>
      <c r="H30" s="92">
        <v>0</v>
      </c>
      <c r="I30" s="92">
        <f>'Form 1a-ABR Office'!M950</f>
        <v>70000</v>
      </c>
      <c r="J30" s="119"/>
      <c r="K30" s="92">
        <f t="shared" si="0"/>
        <v>5228023</v>
      </c>
    </row>
    <row r="31" spans="1:11">
      <c r="A31" s="118" t="s">
        <v>537</v>
      </c>
      <c r="B31" s="99" t="s">
        <v>524</v>
      </c>
      <c r="C31" s="99" t="s">
        <v>64</v>
      </c>
      <c r="D31" s="99"/>
      <c r="E31" s="99"/>
      <c r="F31" s="92">
        <f>'Form 1a-ABR Office'!M995</f>
        <v>2741648</v>
      </c>
      <c r="G31" s="119">
        <f>'Form 1a-ABR Office'!M1004</f>
        <v>339000</v>
      </c>
      <c r="H31" s="92">
        <v>0</v>
      </c>
      <c r="I31" s="92">
        <f>'Form 1a-ABR Office'!M1009</f>
        <v>0</v>
      </c>
      <c r="J31" s="119"/>
      <c r="K31" s="92">
        <f t="shared" si="0"/>
        <v>3080648</v>
      </c>
    </row>
    <row r="32" spans="1:11">
      <c r="A32" s="118" t="s">
        <v>613</v>
      </c>
      <c r="B32" s="99" t="s">
        <v>524</v>
      </c>
      <c r="C32" s="99" t="s">
        <v>538</v>
      </c>
      <c r="D32" s="99"/>
      <c r="E32" s="99"/>
      <c r="F32" s="92">
        <f>'Form 1a-ABR Office'!M1057</f>
        <v>8751804</v>
      </c>
      <c r="G32" s="119">
        <f>'Form 1a-ABR Office'!M1068</f>
        <v>1238000</v>
      </c>
      <c r="H32" s="92">
        <v>0</v>
      </c>
      <c r="I32" s="92">
        <f>'Form 1a-ABR Office'!M1075</f>
        <v>60000</v>
      </c>
      <c r="J32" s="119"/>
      <c r="K32" s="92">
        <f t="shared" si="0"/>
        <v>10049804</v>
      </c>
    </row>
    <row r="33" spans="1:14" ht="5.0999999999999996" customHeight="1">
      <c r="A33" s="118"/>
      <c r="B33" s="99"/>
      <c r="C33" s="99"/>
      <c r="D33" s="99"/>
      <c r="E33" s="99"/>
      <c r="F33" s="92"/>
      <c r="G33" s="119"/>
      <c r="H33" s="92"/>
      <c r="I33" s="92"/>
      <c r="J33" s="119"/>
      <c r="K33" s="92"/>
    </row>
    <row r="34" spans="1:14" s="91" customFormat="1">
      <c r="A34" s="120" t="s">
        <v>74</v>
      </c>
      <c r="B34" s="121"/>
      <c r="C34" s="122"/>
      <c r="D34" s="120"/>
      <c r="E34" s="122"/>
      <c r="F34" s="123">
        <f>SUM(F18:F32)</f>
        <v>86947108.799999997</v>
      </c>
      <c r="G34" s="123">
        <f t="shared" ref="G34:K34" si="1">SUM(G18:G32)</f>
        <v>34321262</v>
      </c>
      <c r="H34" s="123">
        <f t="shared" si="1"/>
        <v>0</v>
      </c>
      <c r="I34" s="123">
        <f t="shared" si="1"/>
        <v>5900000</v>
      </c>
      <c r="J34" s="123">
        <f t="shared" si="1"/>
        <v>101637236.66</v>
      </c>
      <c r="K34" s="123">
        <f t="shared" si="1"/>
        <v>228805607.46000001</v>
      </c>
      <c r="N34" s="461"/>
    </row>
    <row r="35" spans="1:14">
      <c r="F35" s="100"/>
      <c r="G35" s="100"/>
      <c r="H35" s="100"/>
      <c r="I35" s="100"/>
      <c r="J35" s="100"/>
      <c r="K35" s="100"/>
    </row>
    <row r="36" spans="1:14" ht="15.75" customHeight="1">
      <c r="A36" s="564" t="s">
        <v>539</v>
      </c>
      <c r="B36" s="564"/>
      <c r="C36" s="564"/>
      <c r="D36" s="564"/>
      <c r="E36" s="564"/>
      <c r="F36" s="564"/>
      <c r="G36" s="564"/>
      <c r="H36" s="564"/>
      <c r="I36" s="564"/>
      <c r="J36" s="564"/>
      <c r="K36" s="564"/>
    </row>
    <row r="37" spans="1:14">
      <c r="A37" s="564"/>
      <c r="B37" s="564"/>
      <c r="C37" s="564"/>
      <c r="D37" s="564"/>
      <c r="E37" s="564"/>
      <c r="F37" s="564"/>
      <c r="G37" s="564"/>
      <c r="H37" s="564"/>
      <c r="I37" s="564"/>
      <c r="J37" s="564"/>
      <c r="K37" s="564"/>
    </row>
    <row r="38" spans="1:14">
      <c r="A38" s="564"/>
      <c r="B38" s="564"/>
      <c r="C38" s="564"/>
      <c r="D38" s="564"/>
      <c r="E38" s="564"/>
      <c r="F38" s="564"/>
      <c r="G38" s="564"/>
      <c r="H38" s="564"/>
      <c r="I38" s="564"/>
      <c r="J38" s="564"/>
      <c r="K38" s="564"/>
    </row>
    <row r="39" spans="1:14">
      <c r="A39" s="564"/>
      <c r="B39" s="564"/>
      <c r="C39" s="564"/>
      <c r="D39" s="564"/>
      <c r="E39" s="564"/>
      <c r="F39" s="564"/>
      <c r="G39" s="564"/>
      <c r="H39" s="564"/>
      <c r="I39" s="564"/>
      <c r="J39" s="564"/>
      <c r="K39" s="564"/>
    </row>
    <row r="40" spans="1:14">
      <c r="A40" s="124"/>
      <c r="B40" s="124"/>
      <c r="C40" s="124"/>
      <c r="D40" s="124"/>
      <c r="E40" s="124"/>
      <c r="F40" s="124"/>
      <c r="G40" s="124"/>
      <c r="H40" s="124"/>
      <c r="I40" s="124"/>
      <c r="J40" s="124"/>
      <c r="K40" s="124"/>
    </row>
    <row r="41" spans="1:14" ht="15.75" customHeight="1">
      <c r="A41" s="564" t="s">
        <v>540</v>
      </c>
      <c r="B41" s="564"/>
      <c r="C41" s="564"/>
      <c r="D41" s="564"/>
      <c r="E41" s="564"/>
      <c r="F41" s="564"/>
      <c r="G41" s="564"/>
      <c r="H41" s="564"/>
      <c r="I41" s="564"/>
      <c r="J41" s="564"/>
      <c r="K41" s="564"/>
    </row>
    <row r="42" spans="1:14">
      <c r="A42" s="564"/>
      <c r="B42" s="564"/>
      <c r="C42" s="564"/>
      <c r="D42" s="564"/>
      <c r="E42" s="564"/>
      <c r="F42" s="564"/>
      <c r="G42" s="564"/>
      <c r="H42" s="564"/>
      <c r="I42" s="564"/>
      <c r="J42" s="564"/>
      <c r="K42" s="564"/>
    </row>
    <row r="43" spans="1:14">
      <c r="A43" s="564"/>
      <c r="B43" s="564"/>
      <c r="C43" s="564"/>
      <c r="D43" s="564"/>
      <c r="E43" s="564"/>
      <c r="F43" s="564"/>
      <c r="G43" s="564"/>
      <c r="H43" s="564"/>
      <c r="I43" s="564"/>
      <c r="J43" s="564"/>
      <c r="K43" s="564"/>
    </row>
    <row r="44" spans="1:14">
      <c r="A44" s="125"/>
      <c r="B44" s="125"/>
      <c r="C44" s="125"/>
      <c r="D44" s="125"/>
      <c r="E44" s="125"/>
      <c r="F44" s="125"/>
      <c r="G44" s="125"/>
      <c r="H44" s="125"/>
      <c r="I44" s="125"/>
      <c r="J44" s="125"/>
      <c r="K44" s="125"/>
    </row>
    <row r="45" spans="1:14">
      <c r="A45" s="564" t="s">
        <v>541</v>
      </c>
      <c r="B45" s="564"/>
      <c r="C45" s="564"/>
      <c r="D45" s="564"/>
      <c r="E45" s="564"/>
      <c r="F45" s="564"/>
      <c r="G45" s="564"/>
      <c r="H45" s="564"/>
      <c r="I45" s="564"/>
      <c r="J45" s="564"/>
      <c r="K45" s="564"/>
    </row>
    <row r="46" spans="1:14">
      <c r="A46" s="564"/>
      <c r="B46" s="564"/>
      <c r="C46" s="564"/>
      <c r="D46" s="564"/>
      <c r="E46" s="564"/>
      <c r="F46" s="564"/>
      <c r="G46" s="564"/>
      <c r="H46" s="564"/>
      <c r="I46" s="564"/>
      <c r="J46" s="564"/>
      <c r="K46" s="564"/>
    </row>
    <row r="47" spans="1:14">
      <c r="A47" s="125"/>
      <c r="B47" s="125"/>
      <c r="C47" s="125"/>
      <c r="D47" s="125"/>
      <c r="E47" s="125"/>
      <c r="F47" s="125"/>
      <c r="G47" s="125"/>
      <c r="H47" s="125"/>
      <c r="I47" s="125"/>
      <c r="J47" s="125"/>
      <c r="K47" s="125"/>
    </row>
    <row r="48" spans="1:14">
      <c r="A48" s="564" t="s">
        <v>542</v>
      </c>
      <c r="B48" s="564"/>
      <c r="C48" s="564"/>
      <c r="D48" s="564"/>
      <c r="E48" s="564"/>
      <c r="F48" s="564"/>
      <c r="G48" s="564"/>
      <c r="H48" s="564"/>
      <c r="I48" s="564"/>
      <c r="J48" s="564"/>
      <c r="K48" s="564"/>
    </row>
    <row r="49" spans="1:11">
      <c r="A49" s="564"/>
      <c r="B49" s="564"/>
      <c r="C49" s="564"/>
      <c r="D49" s="564"/>
      <c r="E49" s="564"/>
      <c r="F49" s="564"/>
      <c r="G49" s="564"/>
      <c r="H49" s="564"/>
      <c r="I49" s="564"/>
      <c r="J49" s="564"/>
      <c r="K49" s="564"/>
    </row>
    <row r="50" spans="1:11">
      <c r="A50" s="125"/>
      <c r="B50" s="125"/>
      <c r="C50" s="125"/>
      <c r="D50" s="125"/>
      <c r="E50" s="125"/>
      <c r="F50" s="125"/>
      <c r="G50" s="125"/>
      <c r="H50" s="125"/>
      <c r="I50" s="125"/>
      <c r="J50" s="125"/>
      <c r="K50" s="125"/>
    </row>
    <row r="51" spans="1:11" ht="15" customHeight="1">
      <c r="A51" s="564" t="s">
        <v>543</v>
      </c>
      <c r="B51" s="564"/>
      <c r="C51" s="564"/>
      <c r="D51" s="564"/>
      <c r="E51" s="564"/>
      <c r="F51" s="564"/>
      <c r="G51" s="564"/>
      <c r="H51" s="564"/>
      <c r="I51" s="564"/>
      <c r="J51" s="564"/>
      <c r="K51" s="564"/>
    </row>
    <row r="52" spans="1:11">
      <c r="A52" s="564"/>
      <c r="B52" s="564"/>
      <c r="C52" s="564"/>
      <c r="D52" s="564"/>
      <c r="E52" s="564"/>
      <c r="F52" s="564"/>
      <c r="G52" s="564"/>
      <c r="H52" s="564"/>
      <c r="I52" s="564"/>
      <c r="J52" s="564"/>
      <c r="K52" s="564"/>
    </row>
    <row r="53" spans="1:11">
      <c r="A53" s="564"/>
      <c r="B53" s="564"/>
      <c r="C53" s="564"/>
      <c r="D53" s="564"/>
      <c r="E53" s="564"/>
      <c r="F53" s="564"/>
      <c r="G53" s="564"/>
      <c r="H53" s="564"/>
      <c r="I53" s="564"/>
      <c r="J53" s="564"/>
      <c r="K53" s="564"/>
    </row>
    <row r="54" spans="1:11">
      <c r="A54" s="124"/>
      <c r="B54" s="124"/>
      <c r="C54" s="124"/>
      <c r="D54" s="124"/>
      <c r="E54" s="124"/>
      <c r="F54" s="124"/>
      <c r="G54" s="124"/>
      <c r="H54" s="124"/>
      <c r="I54" s="124"/>
      <c r="J54" s="124"/>
      <c r="K54" s="124"/>
    </row>
    <row r="55" spans="1:11">
      <c r="A55" s="564" t="s">
        <v>544</v>
      </c>
      <c r="B55" s="564"/>
      <c r="C55" s="564"/>
      <c r="D55" s="564"/>
      <c r="E55" s="564"/>
      <c r="F55" s="564"/>
      <c r="G55" s="564"/>
      <c r="H55" s="564"/>
      <c r="I55" s="564"/>
      <c r="J55" s="564"/>
      <c r="K55" s="564"/>
    </row>
    <row r="56" spans="1:11">
      <c r="A56" s="564"/>
      <c r="B56" s="564"/>
      <c r="C56" s="564"/>
      <c r="D56" s="564"/>
      <c r="E56" s="564"/>
      <c r="F56" s="564"/>
      <c r="G56" s="564"/>
      <c r="H56" s="564"/>
      <c r="I56" s="564"/>
      <c r="J56" s="564"/>
      <c r="K56" s="564"/>
    </row>
    <row r="57" spans="1:11">
      <c r="A57" s="125"/>
      <c r="B57" s="125"/>
      <c r="C57" s="125"/>
      <c r="D57" s="125"/>
      <c r="E57" s="125"/>
      <c r="F57" s="125"/>
      <c r="G57" s="125"/>
      <c r="H57" s="125"/>
      <c r="I57" s="125"/>
      <c r="J57" s="125"/>
      <c r="K57" s="125"/>
    </row>
    <row r="58" spans="1:11" ht="16.5" customHeight="1">
      <c r="A58" s="562" t="s">
        <v>513</v>
      </c>
      <c r="B58" s="562"/>
      <c r="C58" s="562"/>
      <c r="D58" s="562"/>
      <c r="E58" s="562"/>
      <c r="F58" s="562"/>
      <c r="G58" s="562"/>
      <c r="H58" s="562"/>
      <c r="I58" s="562"/>
      <c r="J58" s="562"/>
      <c r="K58" s="562"/>
    </row>
    <row r="59" spans="1:11">
      <c r="A59" s="126"/>
      <c r="B59" s="126"/>
      <c r="C59" s="126"/>
      <c r="D59" s="126"/>
      <c r="E59" s="126"/>
      <c r="F59" s="126"/>
      <c r="G59" s="126"/>
      <c r="H59" s="126"/>
      <c r="I59" s="126"/>
      <c r="J59" s="126"/>
      <c r="K59" s="126"/>
    </row>
    <row r="60" spans="1:11">
      <c r="A60" s="126"/>
      <c r="B60" s="126"/>
      <c r="C60" s="126"/>
      <c r="D60" s="126"/>
      <c r="E60" s="126"/>
      <c r="F60" s="126"/>
      <c r="G60" s="126"/>
      <c r="H60" s="126"/>
      <c r="I60" s="126"/>
      <c r="J60" s="126"/>
      <c r="K60" s="126"/>
    </row>
    <row r="61" spans="1:11">
      <c r="A61" s="126"/>
      <c r="B61" s="126"/>
      <c r="C61" s="126"/>
      <c r="D61" s="126"/>
      <c r="E61" s="126"/>
      <c r="F61" s="128"/>
      <c r="G61" s="126"/>
      <c r="H61" s="126"/>
      <c r="I61" s="126"/>
      <c r="J61" s="126"/>
      <c r="K61" s="126"/>
    </row>
    <row r="62" spans="1:11">
      <c r="A62" s="126"/>
      <c r="B62" s="126"/>
      <c r="C62" s="126"/>
      <c r="D62" s="126"/>
      <c r="E62" s="126"/>
      <c r="F62" s="128"/>
      <c r="G62" s="126"/>
      <c r="H62" s="126"/>
      <c r="I62" s="126"/>
      <c r="J62" s="126"/>
      <c r="K62" s="126"/>
    </row>
    <row r="63" spans="1:11">
      <c r="A63" s="126"/>
      <c r="B63" s="126"/>
      <c r="C63" s="126"/>
      <c r="D63" s="126"/>
      <c r="E63" s="126"/>
      <c r="F63" s="128"/>
      <c r="G63" s="126"/>
      <c r="H63" s="126"/>
      <c r="I63" s="126"/>
      <c r="J63" s="126"/>
      <c r="K63" s="126"/>
    </row>
    <row r="64" spans="1:11">
      <c r="A64" s="126"/>
      <c r="B64" s="126"/>
      <c r="C64" s="126"/>
      <c r="D64" s="126"/>
      <c r="E64" s="126"/>
      <c r="F64" s="126"/>
      <c r="G64" s="126"/>
      <c r="H64" s="126"/>
      <c r="I64" s="126"/>
      <c r="J64" s="126"/>
      <c r="K64" s="126"/>
    </row>
    <row r="65" spans="1:11">
      <c r="A65" s="127"/>
      <c r="B65" s="127"/>
      <c r="C65" s="127"/>
      <c r="D65" s="127"/>
      <c r="E65" s="127"/>
      <c r="F65" s="127"/>
      <c r="G65" s="127"/>
      <c r="H65" s="127"/>
      <c r="I65" s="127"/>
      <c r="J65" s="127"/>
      <c r="K65" s="127"/>
    </row>
    <row r="66" spans="1:11">
      <c r="A66" s="127"/>
      <c r="B66" s="127"/>
      <c r="C66" s="127"/>
      <c r="D66" s="127"/>
      <c r="E66" s="127"/>
      <c r="F66" s="127"/>
      <c r="G66" s="127"/>
      <c r="H66" s="127"/>
      <c r="I66" s="127"/>
      <c r="J66" s="127"/>
      <c r="K66" s="127"/>
    </row>
    <row r="67" spans="1:11" ht="23.25">
      <c r="A67" s="563" t="s">
        <v>456</v>
      </c>
      <c r="B67" s="563"/>
      <c r="C67" s="563"/>
      <c r="D67" s="563"/>
      <c r="E67" s="563"/>
      <c r="F67" s="563"/>
      <c r="G67" s="563"/>
      <c r="H67" s="563"/>
      <c r="I67" s="563"/>
      <c r="J67" s="563"/>
      <c r="K67" s="563"/>
    </row>
    <row r="68" spans="1:11">
      <c r="A68" s="127"/>
      <c r="B68" s="127"/>
      <c r="C68" s="127"/>
      <c r="D68" s="127"/>
      <c r="E68" s="127"/>
      <c r="F68" s="127"/>
      <c r="G68" s="127"/>
      <c r="H68" s="127"/>
      <c r="I68" s="127"/>
      <c r="J68" s="127"/>
      <c r="K68" s="127"/>
    </row>
    <row r="69" spans="1:11">
      <c r="A69" s="127"/>
      <c r="B69" s="127"/>
      <c r="C69" s="127"/>
      <c r="D69" s="127"/>
      <c r="E69" s="127"/>
      <c r="F69" s="127"/>
      <c r="G69" s="127"/>
      <c r="H69" s="127"/>
      <c r="I69" s="127"/>
      <c r="J69" s="127"/>
      <c r="K69" s="127"/>
    </row>
    <row r="70" spans="1:11">
      <c r="A70" s="127"/>
      <c r="B70" s="127"/>
      <c r="C70" s="127"/>
      <c r="D70" s="127"/>
      <c r="E70" s="127"/>
      <c r="F70" s="127"/>
      <c r="G70" s="127"/>
      <c r="H70" s="127"/>
      <c r="I70" s="127"/>
      <c r="J70" s="127"/>
      <c r="K70" s="127"/>
    </row>
  </sheetData>
  <sheetProtection algorithmName="SHA-512" hashValue="H/sjQWQhnkdLt9YZx9sgJQu5AKYH8ozZT+6bGsbmYf8C436AIAM4wo653eXKHSt+Ob6HPQwbRPcTsqyxSSizAw==" saltValue="YLz38iowkPfnSDl4URuUVg==" spinCount="100000" sheet="1" objects="1" scenarios="1"/>
  <mergeCells count="18">
    <mergeCell ref="A16:C17"/>
    <mergeCell ref="G16:G17"/>
    <mergeCell ref="I16:I17"/>
    <mergeCell ref="K16:K17"/>
    <mergeCell ref="A1:K1"/>
    <mergeCell ref="A2:K2"/>
    <mergeCell ref="A3:K3"/>
    <mergeCell ref="A4:K4"/>
    <mergeCell ref="A8:K8"/>
    <mergeCell ref="J16:J17"/>
    <mergeCell ref="A58:K58"/>
    <mergeCell ref="A67:K67"/>
    <mergeCell ref="A36:K39"/>
    <mergeCell ref="A41:K43"/>
    <mergeCell ref="A45:K46"/>
    <mergeCell ref="A48:K49"/>
    <mergeCell ref="A51:K53"/>
    <mergeCell ref="A55:K56"/>
  </mergeCells>
  <printOptions horizontalCentered="1"/>
  <pageMargins left="0" right="0" top="0.75" bottom="0" header="0.3" footer="0.3"/>
  <pageSetup paperSize="14"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 1a-ABR Office</vt:lpstr>
      <vt:lpstr>Form 1b-ABR Summary-1</vt:lpstr>
      <vt:lpstr>Summary</vt:lpstr>
      <vt:lpstr>'Form 1a-ABR Office'!Print_Area</vt:lpstr>
      <vt:lpstr>'Form 1b-ABR Summary-1'!Print_Area</vt:lpstr>
      <vt:lpstr>Summary!Print_Area</vt:lpstr>
      <vt:lpstr>'Form 1b-ABR Summary-1'!Print_Titles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2024-01-23T11:52:28Z</cp:lastPrinted>
  <dcterms:created xsi:type="dcterms:W3CDTF">2006-05-18T08:42:29Z</dcterms:created>
  <dcterms:modified xsi:type="dcterms:W3CDTF">2024-01-31T00:13:08Z</dcterms:modified>
</cp:coreProperties>
</file>