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Portal\2023\ANNUAL REPORT\"/>
    </mc:Choice>
  </mc:AlternateContent>
  <bookViews>
    <workbookView xWindow="240" yWindow="6915" windowWidth="19440" windowHeight="1155" firstSheet="1" activeTab="3"/>
  </bookViews>
  <sheets>
    <sheet name="AO" sheetId="67" state="hidden" r:id="rId1"/>
    <sheet name="LBP NO. 1" sheetId="72" r:id="rId2"/>
    <sheet name="LBP NO. 1 (Market)" sheetId="68" r:id="rId3"/>
    <sheet name="LBP NO. 2" sheetId="63" r:id="rId4"/>
    <sheet name="LBP NO. 2a" sheetId="16" r:id="rId5"/>
    <sheet name="Summary" sheetId="69" state="hidden" r:id="rId6"/>
    <sheet name="Summary (2)" sheetId="70" state="hidden" r:id="rId7"/>
    <sheet name="LBP NO. 3a per office" sheetId="64" state="hidden" r:id="rId8"/>
    <sheet name="LBP No. 4" sheetId="45" state="hidden" r:id="rId9"/>
    <sheet name="LBP NO. 5" sheetId="19" state="hidden" r:id="rId10"/>
    <sheet name="LBP NO. 6" sheetId="20" state="hidden" r:id="rId11"/>
    <sheet name="LBP NO. 7" sheetId="66" state="hidden" r:id="rId12"/>
    <sheet name="PROPOSED BUDGET" sheetId="5" state="hidden" r:id="rId13"/>
    <sheet name="2023 Annual Budget" sheetId="13" state="hidden" r:id="rId14"/>
    <sheet name="Consolidated" sheetId="6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13">'2023 Annual Budget'!$A$233:$J$285</definedName>
    <definedName name="_xlnm.Print_Area" localSheetId="0">AO!$A$1:$N$67</definedName>
    <definedName name="_xlnm.Print_Area" localSheetId="14">Consolidated!$A$34:$Q$66</definedName>
    <definedName name="_xlnm.Print_Area" localSheetId="1">'LBP NO. 1'!$A$1:$N$77</definedName>
    <definedName name="_xlnm.Print_Area" localSheetId="2">'LBP NO. 1 (Market)'!$A$1:$N$57</definedName>
    <definedName name="_xlnm.Print_Area" localSheetId="3">'LBP NO. 2'!$A$962:$M$1032</definedName>
    <definedName name="_xlnm.Print_Area" localSheetId="4">'LBP NO. 2a'!$A$83:$K$149</definedName>
    <definedName name="_xlnm.Print_Area" localSheetId="7">'LBP NO. 3a per office'!$A$2:$M$69</definedName>
    <definedName name="_xlnm.Print_Area" localSheetId="8">'LBP No. 4'!$D$380:$M$426</definedName>
    <definedName name="_xlnm.Print_Area" localSheetId="9">'LBP NO. 5'!$A$4:$L$78</definedName>
    <definedName name="_xlnm.Print_Area" localSheetId="10">'LBP NO. 6'!$A$70:$I$110</definedName>
    <definedName name="_xlnm.Print_Area" localSheetId="11">'LBP NO. 7'!$N$7:$R$65</definedName>
    <definedName name="_xlnm.Print_Area" localSheetId="12">'PROPOSED BUDGET'!$A$130:$I$182</definedName>
    <definedName name="_xlnm.Print_Area" localSheetId="5">Summary!$A$1:$J$60</definedName>
    <definedName name="_xlnm.Print_Area" localSheetId="6">'Summary (2)'!$A$1:$K$64</definedName>
    <definedName name="_xlnm.Print_Titles" localSheetId="13">'2023 Annual Budget'!$1:$7</definedName>
    <definedName name="_xlnm.Print_Titles" localSheetId="14">Consolidated!$1:$4</definedName>
    <definedName name="_xlnm.Print_Titles" localSheetId="1">'LBP NO. 1'!$83:$91</definedName>
    <definedName name="_xlnm.Print_Titles" localSheetId="8">'LBP No. 4'!$715:$716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1" i="5" l="1"/>
  <c r="H20" i="5" l="1"/>
  <c r="I14" i="13"/>
  <c r="I87" i="20"/>
  <c r="I86" i="20"/>
  <c r="I85" i="20"/>
  <c r="I84" i="20"/>
  <c r="I83" i="20"/>
  <c r="I24" i="20"/>
  <c r="I23" i="20"/>
  <c r="I22" i="20"/>
  <c r="I21" i="20"/>
  <c r="I12" i="20"/>
  <c r="P389" i="72"/>
  <c r="N388" i="72"/>
  <c r="M388" i="72"/>
  <c r="J388" i="72"/>
  <c r="K313" i="72"/>
  <c r="M313" i="72" s="1"/>
  <c r="N309" i="72"/>
  <c r="M309" i="72"/>
  <c r="L309" i="72"/>
  <c r="K309" i="72"/>
  <c r="J309" i="72"/>
  <c r="N308" i="72"/>
  <c r="M308" i="72"/>
  <c r="L308" i="72"/>
  <c r="K308" i="72"/>
  <c r="J308" i="72"/>
  <c r="N307" i="72"/>
  <c r="M307" i="72"/>
  <c r="L307" i="72"/>
  <c r="K307" i="72"/>
  <c r="J307" i="72"/>
  <c r="N306" i="72"/>
  <c r="M306" i="72"/>
  <c r="L306" i="72"/>
  <c r="K306" i="72"/>
  <c r="J306" i="72"/>
  <c r="N305" i="72"/>
  <c r="M305" i="72"/>
  <c r="L305" i="72"/>
  <c r="K305" i="72"/>
  <c r="J305" i="72"/>
  <c r="N301" i="72"/>
  <c r="M301" i="72"/>
  <c r="L301" i="72"/>
  <c r="K301" i="72"/>
  <c r="J301" i="72"/>
  <c r="N300" i="72"/>
  <c r="M300" i="72"/>
  <c r="L300" i="72"/>
  <c r="K300" i="72"/>
  <c r="J300" i="72"/>
  <c r="N299" i="72"/>
  <c r="M299" i="72"/>
  <c r="L299" i="72"/>
  <c r="K299" i="72"/>
  <c r="J299" i="72"/>
  <c r="N298" i="72"/>
  <c r="M298" i="72"/>
  <c r="L298" i="72"/>
  <c r="K298" i="72"/>
  <c r="J298" i="72"/>
  <c r="N297" i="72"/>
  <c r="M297" i="72"/>
  <c r="L297" i="72"/>
  <c r="K297" i="72"/>
  <c r="J297" i="72"/>
  <c r="N296" i="72"/>
  <c r="M296" i="72"/>
  <c r="L296" i="72"/>
  <c r="K296" i="72"/>
  <c r="J296" i="72"/>
  <c r="N295" i="72"/>
  <c r="M295" i="72"/>
  <c r="L295" i="72"/>
  <c r="K295" i="72"/>
  <c r="J295" i="72"/>
  <c r="N294" i="72"/>
  <c r="M294" i="72"/>
  <c r="L294" i="72"/>
  <c r="K294" i="72"/>
  <c r="J294" i="72"/>
  <c r="N293" i="72"/>
  <c r="M293" i="72"/>
  <c r="L293" i="72"/>
  <c r="K293" i="72"/>
  <c r="J293" i="72"/>
  <c r="N292" i="72"/>
  <c r="M292" i="72"/>
  <c r="L292" i="72"/>
  <c r="K292" i="72"/>
  <c r="J292" i="72"/>
  <c r="N291" i="72"/>
  <c r="M291" i="72"/>
  <c r="L291" i="72"/>
  <c r="K291" i="72"/>
  <c r="J291" i="72"/>
  <c r="N288" i="72"/>
  <c r="M288" i="72"/>
  <c r="L288" i="72"/>
  <c r="K288" i="72"/>
  <c r="J288" i="72"/>
  <c r="N287" i="72"/>
  <c r="M287" i="72"/>
  <c r="L287" i="72"/>
  <c r="K287" i="72"/>
  <c r="J287" i="72"/>
  <c r="N286" i="72"/>
  <c r="M286" i="72"/>
  <c r="L286" i="72"/>
  <c r="K286" i="72"/>
  <c r="J286" i="72"/>
  <c r="N285" i="72"/>
  <c r="M285" i="72"/>
  <c r="L285" i="72"/>
  <c r="K285" i="72"/>
  <c r="J285" i="72"/>
  <c r="N284" i="72"/>
  <c r="M284" i="72"/>
  <c r="L284" i="72"/>
  <c r="K284" i="72"/>
  <c r="J284" i="72"/>
  <c r="N283" i="72"/>
  <c r="M283" i="72"/>
  <c r="L283" i="72"/>
  <c r="K283" i="72"/>
  <c r="J283" i="72"/>
  <c r="N282" i="72"/>
  <c r="M282" i="72"/>
  <c r="L282" i="72"/>
  <c r="K282" i="72"/>
  <c r="J282" i="72"/>
  <c r="N281" i="72"/>
  <c r="M281" i="72"/>
  <c r="L281" i="72"/>
  <c r="K281" i="72"/>
  <c r="J281" i="72"/>
  <c r="N280" i="72"/>
  <c r="M280" i="72"/>
  <c r="L280" i="72"/>
  <c r="K280" i="72"/>
  <c r="J280" i="72"/>
  <c r="N279" i="72"/>
  <c r="M279" i="72"/>
  <c r="L279" i="72"/>
  <c r="K279" i="72"/>
  <c r="J279" i="72"/>
  <c r="N278" i="72"/>
  <c r="M278" i="72"/>
  <c r="L278" i="72"/>
  <c r="K278" i="72"/>
  <c r="J278" i="72"/>
  <c r="N277" i="72"/>
  <c r="M277" i="72"/>
  <c r="L277" i="72"/>
  <c r="K277" i="72"/>
  <c r="J277" i="72"/>
  <c r="N276" i="72"/>
  <c r="M276" i="72"/>
  <c r="L276" i="72"/>
  <c r="K276" i="72"/>
  <c r="J276" i="72"/>
  <c r="N275" i="72"/>
  <c r="M275" i="72"/>
  <c r="L275" i="72"/>
  <c r="K275" i="72"/>
  <c r="J275" i="72"/>
  <c r="N274" i="72"/>
  <c r="M274" i="72"/>
  <c r="L274" i="72"/>
  <c r="K274" i="72"/>
  <c r="J274" i="72"/>
  <c r="H274" i="72"/>
  <c r="N273" i="72"/>
  <c r="M273" i="72"/>
  <c r="L273" i="72"/>
  <c r="K273" i="72"/>
  <c r="J273" i="72"/>
  <c r="N272" i="72"/>
  <c r="M272" i="72"/>
  <c r="L272" i="72"/>
  <c r="K272" i="72"/>
  <c r="J272" i="72"/>
  <c r="N271" i="72"/>
  <c r="M271" i="72"/>
  <c r="L271" i="72"/>
  <c r="K271" i="72"/>
  <c r="J271" i="72"/>
  <c r="N270" i="72"/>
  <c r="M270" i="72"/>
  <c r="L270" i="72"/>
  <c r="K270" i="72"/>
  <c r="J270" i="72"/>
  <c r="N269" i="72"/>
  <c r="M269" i="72"/>
  <c r="L269" i="72"/>
  <c r="K269" i="72"/>
  <c r="J269" i="72"/>
  <c r="N267" i="72"/>
  <c r="M267" i="72"/>
  <c r="L267" i="72"/>
  <c r="K267" i="72"/>
  <c r="J267" i="72"/>
  <c r="N266" i="72"/>
  <c r="M266" i="72"/>
  <c r="L266" i="72"/>
  <c r="K266" i="72"/>
  <c r="J266" i="72"/>
  <c r="N250" i="72"/>
  <c r="J250" i="72"/>
  <c r="M249" i="72"/>
  <c r="K249" i="72"/>
  <c r="K248" i="72"/>
  <c r="L248" i="72" s="1"/>
  <c r="M248" i="72" s="1"/>
  <c r="L247" i="72"/>
  <c r="M247" i="72" s="1"/>
  <c r="K247" i="72"/>
  <c r="K246" i="72"/>
  <c r="L246" i="72" s="1"/>
  <c r="M246" i="72" s="1"/>
  <c r="K244" i="72"/>
  <c r="L244" i="72" s="1"/>
  <c r="M244" i="72" s="1"/>
  <c r="K243" i="72"/>
  <c r="L243" i="72" s="1"/>
  <c r="M243" i="72" s="1"/>
  <c r="K242" i="72"/>
  <c r="L242" i="72" s="1"/>
  <c r="M242" i="72" s="1"/>
  <c r="K241" i="72"/>
  <c r="L241" i="72" s="1"/>
  <c r="M241" i="72" s="1"/>
  <c r="L239" i="72"/>
  <c r="M239" i="72" s="1"/>
  <c r="K239" i="72"/>
  <c r="K238" i="72"/>
  <c r="L238" i="72" s="1"/>
  <c r="M238" i="72" s="1"/>
  <c r="K237" i="72"/>
  <c r="L237" i="72" s="1"/>
  <c r="M237" i="72" s="1"/>
  <c r="K236" i="72"/>
  <c r="L235" i="72"/>
  <c r="M235" i="72" s="1"/>
  <c r="K235" i="72"/>
  <c r="K234" i="72"/>
  <c r="L234" i="72" s="1"/>
  <c r="N231" i="72"/>
  <c r="K231" i="72"/>
  <c r="J231" i="72"/>
  <c r="L230" i="72"/>
  <c r="L229" i="72"/>
  <c r="M229" i="72" s="1"/>
  <c r="M224" i="72"/>
  <c r="N224" i="72" s="1"/>
  <c r="N155" i="72"/>
  <c r="M155" i="72"/>
  <c r="L155" i="72"/>
  <c r="K155" i="72"/>
  <c r="J155" i="72"/>
  <c r="N154" i="72"/>
  <c r="M154" i="72"/>
  <c r="L154" i="72"/>
  <c r="K154" i="72"/>
  <c r="J154" i="72"/>
  <c r="N153" i="72"/>
  <c r="M153" i="72"/>
  <c r="L153" i="72"/>
  <c r="K153" i="72"/>
  <c r="J153" i="72"/>
  <c r="N150" i="72"/>
  <c r="M150" i="72"/>
  <c r="L150" i="72"/>
  <c r="K150" i="72"/>
  <c r="J150" i="72"/>
  <c r="N146" i="72"/>
  <c r="M146" i="72"/>
  <c r="L146" i="72"/>
  <c r="K146" i="72"/>
  <c r="J146" i="72"/>
  <c r="N145" i="72"/>
  <c r="M145" i="72"/>
  <c r="L145" i="72"/>
  <c r="K145" i="72"/>
  <c r="J145" i="72"/>
  <c r="N144" i="72"/>
  <c r="M144" i="72"/>
  <c r="L144" i="72"/>
  <c r="K144" i="72"/>
  <c r="J144" i="72"/>
  <c r="N143" i="72"/>
  <c r="M143" i="72"/>
  <c r="L143" i="72"/>
  <c r="K143" i="72"/>
  <c r="J143" i="72"/>
  <c r="N142" i="72"/>
  <c r="M142" i="72"/>
  <c r="L142" i="72"/>
  <c r="K142" i="72"/>
  <c r="J142" i="72"/>
  <c r="N141" i="72"/>
  <c r="M141" i="72"/>
  <c r="L141" i="72"/>
  <c r="K141" i="72"/>
  <c r="J141" i="72"/>
  <c r="N140" i="72"/>
  <c r="M140" i="72"/>
  <c r="L140" i="72"/>
  <c r="K140" i="72"/>
  <c r="J140" i="72"/>
  <c r="N139" i="72"/>
  <c r="M139" i="72"/>
  <c r="L139" i="72"/>
  <c r="K139" i="72"/>
  <c r="J139" i="72"/>
  <c r="N138" i="72"/>
  <c r="M138" i="72"/>
  <c r="L138" i="72"/>
  <c r="K138" i="72"/>
  <c r="J138" i="72"/>
  <c r="N137" i="72"/>
  <c r="M137" i="72"/>
  <c r="L137" i="72"/>
  <c r="K137" i="72"/>
  <c r="J137" i="72"/>
  <c r="N136" i="72"/>
  <c r="M136" i="72"/>
  <c r="L136" i="72"/>
  <c r="K136" i="72"/>
  <c r="J136" i="72"/>
  <c r="N135" i="72"/>
  <c r="M135" i="72"/>
  <c r="L135" i="72"/>
  <c r="K135" i="72"/>
  <c r="J135" i="72"/>
  <c r="N134" i="72"/>
  <c r="M134" i="72"/>
  <c r="L134" i="72"/>
  <c r="K134" i="72"/>
  <c r="J134" i="72"/>
  <c r="N133" i="72"/>
  <c r="M133" i="72"/>
  <c r="L133" i="72"/>
  <c r="K133" i="72"/>
  <c r="J133" i="72"/>
  <c r="N132" i="72"/>
  <c r="M132" i="72"/>
  <c r="L132" i="72"/>
  <c r="K132" i="72"/>
  <c r="J132" i="72"/>
  <c r="N131" i="72"/>
  <c r="M131" i="72"/>
  <c r="L131" i="72"/>
  <c r="K131" i="72"/>
  <c r="J131" i="72"/>
  <c r="N130" i="72"/>
  <c r="M130" i="72"/>
  <c r="L130" i="72"/>
  <c r="K130" i="72"/>
  <c r="J130" i="72"/>
  <c r="N129" i="72"/>
  <c r="M129" i="72"/>
  <c r="L129" i="72"/>
  <c r="K129" i="72"/>
  <c r="J129" i="72"/>
  <c r="N128" i="72"/>
  <c r="M128" i="72"/>
  <c r="L128" i="72"/>
  <c r="K128" i="72"/>
  <c r="J128" i="72"/>
  <c r="N127" i="72"/>
  <c r="M127" i="72"/>
  <c r="L127" i="72"/>
  <c r="K127" i="72"/>
  <c r="J127" i="72"/>
  <c r="N126" i="72"/>
  <c r="M126" i="72"/>
  <c r="L126" i="72"/>
  <c r="K126" i="72"/>
  <c r="J126" i="72"/>
  <c r="N125" i="72"/>
  <c r="M125" i="72"/>
  <c r="L125" i="72"/>
  <c r="K125" i="72"/>
  <c r="J125" i="72"/>
  <c r="N124" i="72"/>
  <c r="M124" i="72"/>
  <c r="L124" i="72"/>
  <c r="K124" i="72"/>
  <c r="J124" i="72"/>
  <c r="N120" i="72"/>
  <c r="M120" i="72"/>
  <c r="L120" i="72"/>
  <c r="K120" i="72"/>
  <c r="J120" i="72"/>
  <c r="N119" i="72"/>
  <c r="I228" i="13" s="1"/>
  <c r="M119" i="72"/>
  <c r="L119" i="72"/>
  <c r="K119" i="72"/>
  <c r="J119" i="72"/>
  <c r="N118" i="72"/>
  <c r="M118" i="72"/>
  <c r="L118" i="72"/>
  <c r="K118" i="72"/>
  <c r="J118" i="72"/>
  <c r="N117" i="72"/>
  <c r="I227" i="13" s="1"/>
  <c r="M117" i="72"/>
  <c r="L117" i="72"/>
  <c r="K117" i="72"/>
  <c r="J117" i="72"/>
  <c r="N116" i="72"/>
  <c r="I13" i="20" s="1"/>
  <c r="M116" i="72"/>
  <c r="L116" i="72"/>
  <c r="K116" i="72"/>
  <c r="J116" i="72"/>
  <c r="N115" i="72"/>
  <c r="I14" i="20" s="1"/>
  <c r="M115" i="72"/>
  <c r="L115" i="72"/>
  <c r="K115" i="72"/>
  <c r="J115" i="72"/>
  <c r="N114" i="72"/>
  <c r="I15" i="20" s="1"/>
  <c r="M114" i="72"/>
  <c r="L114" i="72"/>
  <c r="K114" i="72"/>
  <c r="J114" i="72"/>
  <c r="N113" i="72"/>
  <c r="I16" i="20" s="1"/>
  <c r="M113" i="72"/>
  <c r="L113" i="72"/>
  <c r="K113" i="72"/>
  <c r="J113" i="72"/>
  <c r="N112" i="72"/>
  <c r="M112" i="72"/>
  <c r="L112" i="72"/>
  <c r="K112" i="72"/>
  <c r="J112" i="72"/>
  <c r="N111" i="72"/>
  <c r="M111" i="72"/>
  <c r="L111" i="72"/>
  <c r="K111" i="72"/>
  <c r="J111" i="72"/>
  <c r="N110" i="72"/>
  <c r="M110" i="72"/>
  <c r="L110" i="72"/>
  <c r="K110" i="72"/>
  <c r="J110" i="72"/>
  <c r="N108" i="72"/>
  <c r="M108" i="72"/>
  <c r="L108" i="72"/>
  <c r="K108" i="72"/>
  <c r="J108" i="72"/>
  <c r="N107" i="72"/>
  <c r="M107" i="72"/>
  <c r="L107" i="72"/>
  <c r="K107" i="72"/>
  <c r="J107" i="72"/>
  <c r="N106" i="72"/>
  <c r="M106" i="72"/>
  <c r="L106" i="72"/>
  <c r="K106" i="72"/>
  <c r="J106" i="72"/>
  <c r="N105" i="72"/>
  <c r="M105" i="72"/>
  <c r="L105" i="72"/>
  <c r="K105" i="72"/>
  <c r="J105" i="72"/>
  <c r="N104" i="72"/>
  <c r="M104" i="72"/>
  <c r="L104" i="72"/>
  <c r="K104" i="72"/>
  <c r="J104" i="72"/>
  <c r="N103" i="72"/>
  <c r="M103" i="72"/>
  <c r="L103" i="72"/>
  <c r="K103" i="72"/>
  <c r="J103" i="72"/>
  <c r="N102" i="72"/>
  <c r="M102" i="72"/>
  <c r="L102" i="72"/>
  <c r="K102" i="72"/>
  <c r="J102" i="72"/>
  <c r="N101" i="72"/>
  <c r="M101" i="72"/>
  <c r="L101" i="72"/>
  <c r="K101" i="72"/>
  <c r="J101" i="72"/>
  <c r="N100" i="72"/>
  <c r="M100" i="72"/>
  <c r="L100" i="72"/>
  <c r="K100" i="72"/>
  <c r="J100" i="72"/>
  <c r="N99" i="72"/>
  <c r="M99" i="72"/>
  <c r="L99" i="72"/>
  <c r="K99" i="72"/>
  <c r="J99" i="72"/>
  <c r="N98" i="72"/>
  <c r="M98" i="72"/>
  <c r="L98" i="72"/>
  <c r="K98" i="72"/>
  <c r="J98" i="72"/>
  <c r="N96" i="72"/>
  <c r="M96" i="72"/>
  <c r="L96" i="72"/>
  <c r="K96" i="72"/>
  <c r="J96" i="72"/>
  <c r="N95" i="72"/>
  <c r="M95" i="72"/>
  <c r="L95" i="72"/>
  <c r="K95" i="72"/>
  <c r="J95" i="72"/>
  <c r="M80" i="72"/>
  <c r="N74" i="72"/>
  <c r="H168" i="5" s="1"/>
  <c r="J74" i="72"/>
  <c r="M73" i="72"/>
  <c r="K72" i="72"/>
  <c r="K74" i="72" s="1"/>
  <c r="N69" i="72"/>
  <c r="I13" i="13" s="1"/>
  <c r="J69" i="72"/>
  <c r="M68" i="72"/>
  <c r="K67" i="72"/>
  <c r="L67" i="72" s="1"/>
  <c r="M67" i="72" s="1"/>
  <c r="K66" i="72"/>
  <c r="L66" i="72" s="1"/>
  <c r="M66" i="72" s="1"/>
  <c r="K65" i="72"/>
  <c r="L65" i="72" s="1"/>
  <c r="M65" i="72" s="1"/>
  <c r="K64" i="72"/>
  <c r="L64" i="72" s="1"/>
  <c r="M64" i="72" s="1"/>
  <c r="K63" i="72"/>
  <c r="L63" i="72" s="1"/>
  <c r="M63" i="72" s="1"/>
  <c r="K62" i="72"/>
  <c r="L62" i="72" s="1"/>
  <c r="M62" i="72" s="1"/>
  <c r="M59" i="72"/>
  <c r="M58" i="72"/>
  <c r="K57" i="72"/>
  <c r="L57" i="72" s="1"/>
  <c r="M57" i="72" s="1"/>
  <c r="K55" i="72"/>
  <c r="L55" i="72" s="1"/>
  <c r="M55" i="72" s="1"/>
  <c r="K54" i="72"/>
  <c r="L54" i="72" s="1"/>
  <c r="M54" i="72" s="1"/>
  <c r="M53" i="72"/>
  <c r="K52" i="72"/>
  <c r="L52" i="72" s="1"/>
  <c r="M52" i="72" s="1"/>
  <c r="K51" i="72"/>
  <c r="L51" i="72" s="1"/>
  <c r="M51" i="72" s="1"/>
  <c r="K49" i="72"/>
  <c r="L49" i="72" s="1"/>
  <c r="M49" i="72" s="1"/>
  <c r="K48" i="72"/>
  <c r="L48" i="72" s="1"/>
  <c r="M48" i="72" s="1"/>
  <c r="K47" i="72"/>
  <c r="L47" i="72" s="1"/>
  <c r="M47" i="72" s="1"/>
  <c r="K45" i="72"/>
  <c r="L45" i="72" s="1"/>
  <c r="M45" i="72" s="1"/>
  <c r="K44" i="72"/>
  <c r="L44" i="72" s="1"/>
  <c r="M44" i="72" s="1"/>
  <c r="K43" i="72"/>
  <c r="L43" i="72" s="1"/>
  <c r="M43" i="72" s="1"/>
  <c r="K42" i="72"/>
  <c r="N38" i="72"/>
  <c r="I12" i="13" s="1"/>
  <c r="J38" i="72"/>
  <c r="K37" i="72"/>
  <c r="L37" i="72" s="1"/>
  <c r="M37" i="72" s="1"/>
  <c r="L36" i="72"/>
  <c r="M36" i="72" s="1"/>
  <c r="K34" i="72"/>
  <c r="L34" i="72" s="1"/>
  <c r="M34" i="72" s="1"/>
  <c r="L33" i="72"/>
  <c r="M33" i="72" s="1"/>
  <c r="K33" i="72"/>
  <c r="K32" i="72"/>
  <c r="L32" i="72" s="1"/>
  <c r="M32" i="72" s="1"/>
  <c r="K30" i="72"/>
  <c r="L30" i="72" s="1"/>
  <c r="M30" i="72" s="1"/>
  <c r="K29" i="72"/>
  <c r="L29" i="72" s="1"/>
  <c r="M29" i="72" s="1"/>
  <c r="K28" i="72"/>
  <c r="L28" i="72" s="1"/>
  <c r="M28" i="72" s="1"/>
  <c r="K27" i="72"/>
  <c r="L27" i="72" s="1"/>
  <c r="M27" i="72" s="1"/>
  <c r="K26" i="72"/>
  <c r="N21" i="72"/>
  <c r="M21" i="72"/>
  <c r="L21" i="72"/>
  <c r="K21" i="72"/>
  <c r="J21" i="72"/>
  <c r="N121" i="72" l="1"/>
  <c r="N147" i="72"/>
  <c r="J251" i="72"/>
  <c r="H18" i="5"/>
  <c r="L72" i="72"/>
  <c r="L74" i="72" s="1"/>
  <c r="H19" i="5"/>
  <c r="M289" i="72"/>
  <c r="J121" i="72"/>
  <c r="J147" i="72"/>
  <c r="J70" i="72"/>
  <c r="M302" i="72"/>
  <c r="L121" i="72"/>
  <c r="L147" i="72"/>
  <c r="K69" i="72"/>
  <c r="M121" i="72"/>
  <c r="M147" i="72"/>
  <c r="J156" i="72"/>
  <c r="N156" i="72"/>
  <c r="N157" i="72" s="1"/>
  <c r="K38" i="72"/>
  <c r="K75" i="72" s="1"/>
  <c r="N75" i="72"/>
  <c r="L26" i="72"/>
  <c r="M26" i="72" s="1"/>
  <c r="M38" i="72" s="1"/>
  <c r="N70" i="72"/>
  <c r="K121" i="72"/>
  <c r="K147" i="72"/>
  <c r="K250" i="72"/>
  <c r="K251" i="72" s="1"/>
  <c r="J75" i="72"/>
  <c r="I216" i="13" s="1"/>
  <c r="N251" i="72"/>
  <c r="L42" i="72"/>
  <c r="L69" i="72" s="1"/>
  <c r="K156" i="72"/>
  <c r="L231" i="72"/>
  <c r="M230" i="72"/>
  <c r="M231" i="72" s="1"/>
  <c r="L156" i="72"/>
  <c r="K302" i="72"/>
  <c r="J302" i="72"/>
  <c r="N302" i="72"/>
  <c r="L310" i="72"/>
  <c r="M156" i="72"/>
  <c r="M157" i="72" s="1"/>
  <c r="K289" i="72"/>
  <c r="J289" i="72"/>
  <c r="N289" i="72"/>
  <c r="L302" i="72"/>
  <c r="M310" i="72"/>
  <c r="M314" i="72" s="1"/>
  <c r="L289" i="72"/>
  <c r="K310" i="72"/>
  <c r="J310" i="72"/>
  <c r="N310" i="72"/>
  <c r="K70" i="72"/>
  <c r="M234" i="72"/>
  <c r="L236" i="72"/>
  <c r="M236" i="72" s="1"/>
  <c r="M72" i="72"/>
  <c r="M74" i="72" s="1"/>
  <c r="L157" i="72" l="1"/>
  <c r="K157" i="72"/>
  <c r="J157" i="72"/>
  <c r="J158" i="72" s="1"/>
  <c r="N158" i="72"/>
  <c r="H173" i="5"/>
  <c r="L38" i="72"/>
  <c r="M42" i="72"/>
  <c r="M69" i="72" s="1"/>
  <c r="M70" i="72" s="1"/>
  <c r="K314" i="72"/>
  <c r="K386" i="72" s="1"/>
  <c r="K390" i="72" s="1"/>
  <c r="J314" i="72"/>
  <c r="J386" i="72" s="1"/>
  <c r="J390" i="72" s="1"/>
  <c r="N314" i="72"/>
  <c r="N386" i="72" s="1"/>
  <c r="N390" i="72" s="1"/>
  <c r="K158" i="72"/>
  <c r="L314" i="72"/>
  <c r="L386" i="72" s="1"/>
  <c r="L390" i="72" s="1"/>
  <c r="L250" i="72"/>
  <c r="L251" i="72" s="1"/>
  <c r="M250" i="72"/>
  <c r="M251" i="72" s="1"/>
  <c r="M315" i="72" s="1"/>
  <c r="M386" i="72"/>
  <c r="M390" i="72" s="1"/>
  <c r="J315" i="72" l="1"/>
  <c r="L315" i="72"/>
  <c r="M75" i="72"/>
  <c r="M158" i="72" s="1"/>
  <c r="L75" i="72"/>
  <c r="L158" i="72" s="1"/>
  <c r="L70" i="72"/>
  <c r="N315" i="72"/>
  <c r="K315" i="72"/>
  <c r="K198" i="16" l="1"/>
  <c r="G34" i="69" l="1"/>
  <c r="H36" i="69"/>
  <c r="J34" i="69" l="1"/>
  <c r="N44" i="68" l="1"/>
  <c r="K44" i="68"/>
  <c r="J44" i="68"/>
  <c r="M42" i="68"/>
  <c r="M41" i="68"/>
  <c r="L40" i="68"/>
  <c r="L44" i="68" s="1"/>
  <c r="L45" i="68" s="1"/>
  <c r="N25" i="68"/>
  <c r="L25" i="68"/>
  <c r="K25" i="68"/>
  <c r="J25" i="68"/>
  <c r="M25" i="68"/>
  <c r="M18" i="68"/>
  <c r="N18" i="68" s="1"/>
  <c r="H23" i="5" l="1"/>
  <c r="I19" i="13"/>
  <c r="K45" i="68"/>
  <c r="H24" i="5"/>
  <c r="I20" i="13"/>
  <c r="J45" i="68"/>
  <c r="N45" i="68"/>
  <c r="H169" i="5" s="1"/>
  <c r="M40" i="68"/>
  <c r="M44" i="68" s="1"/>
  <c r="M45" i="68" s="1"/>
  <c r="C63" i="65" l="1"/>
  <c r="C62" i="65"/>
  <c r="C61" i="65"/>
  <c r="C17" i="65"/>
  <c r="K91" i="66"/>
  <c r="L91" i="66" s="1"/>
  <c r="L81" i="66"/>
  <c r="G64" i="66"/>
  <c r="L64" i="66" s="1"/>
  <c r="G63" i="66"/>
  <c r="C55" i="66"/>
  <c r="C45" i="66"/>
  <c r="C18" i="66"/>
  <c r="R47" i="66"/>
  <c r="R45" i="66"/>
  <c r="R44" i="66"/>
  <c r="R43" i="66"/>
  <c r="R41" i="66"/>
  <c r="R38" i="66"/>
  <c r="R39" i="66"/>
  <c r="R37" i="66"/>
  <c r="R34" i="66"/>
  <c r="R33" i="66"/>
  <c r="R31" i="66"/>
  <c r="R32" i="66"/>
  <c r="R30" i="66"/>
  <c r="R29" i="66"/>
  <c r="R28" i="66"/>
  <c r="R26" i="66"/>
  <c r="R24" i="66"/>
  <c r="R25" i="66"/>
  <c r="R23" i="66"/>
  <c r="R22" i="66"/>
  <c r="R21" i="66"/>
  <c r="R20" i="66"/>
  <c r="R19" i="66"/>
  <c r="R18" i="66"/>
  <c r="R17" i="66"/>
  <c r="K130" i="66"/>
  <c r="J130" i="66"/>
  <c r="I130" i="66"/>
  <c r="H130" i="66"/>
  <c r="F130" i="66"/>
  <c r="E130" i="66"/>
  <c r="D130" i="66"/>
  <c r="C130" i="66"/>
  <c r="L129" i="66"/>
  <c r="L128" i="66"/>
  <c r="L127" i="66"/>
  <c r="L126" i="66"/>
  <c r="L125" i="66"/>
  <c r="L124" i="66"/>
  <c r="L123" i="66"/>
  <c r="L122" i="66"/>
  <c r="L121" i="66"/>
  <c r="L120" i="66"/>
  <c r="L119" i="66"/>
  <c r="L118" i="66"/>
  <c r="L117" i="66"/>
  <c r="L116" i="66"/>
  <c r="L115" i="66"/>
  <c r="L114" i="66"/>
  <c r="L113" i="66"/>
  <c r="L112" i="66"/>
  <c r="L111" i="66"/>
  <c r="L110" i="66"/>
  <c r="L109" i="66"/>
  <c r="L108" i="66"/>
  <c r="L107" i="66"/>
  <c r="L106" i="66"/>
  <c r="L105" i="66"/>
  <c r="L104" i="66"/>
  <c r="L103" i="66"/>
  <c r="L102" i="66"/>
  <c r="L101" i="66"/>
  <c r="L100" i="66"/>
  <c r="L99" i="66"/>
  <c r="L98" i="66"/>
  <c r="L97" i="66"/>
  <c r="L96" i="66"/>
  <c r="L95" i="66"/>
  <c r="L94" i="66"/>
  <c r="L93" i="66"/>
  <c r="L92" i="66"/>
  <c r="L90" i="66"/>
  <c r="L89" i="66"/>
  <c r="L88" i="66"/>
  <c r="L87" i="66"/>
  <c r="L86" i="66"/>
  <c r="L85" i="66"/>
  <c r="L84" i="66"/>
  <c r="L83" i="66"/>
  <c r="L82" i="66"/>
  <c r="L80" i="66"/>
  <c r="L79" i="66"/>
  <c r="L78" i="66"/>
  <c r="L77" i="66"/>
  <c r="L70" i="66"/>
  <c r="L69" i="66"/>
  <c r="L68" i="66"/>
  <c r="L67" i="66"/>
  <c r="L66" i="66"/>
  <c r="L65" i="66"/>
  <c r="K62" i="66"/>
  <c r="I62" i="66"/>
  <c r="H62" i="66"/>
  <c r="F62" i="66"/>
  <c r="E62" i="66"/>
  <c r="D62" i="66"/>
  <c r="J61" i="66"/>
  <c r="G61" i="66"/>
  <c r="L60" i="66"/>
  <c r="J59" i="66"/>
  <c r="G59" i="66"/>
  <c r="J58" i="66"/>
  <c r="G58" i="66"/>
  <c r="J57" i="66"/>
  <c r="G57" i="66"/>
  <c r="J56" i="66"/>
  <c r="G56" i="66"/>
  <c r="J55" i="66"/>
  <c r="G55" i="66"/>
  <c r="J54" i="66"/>
  <c r="G54" i="66"/>
  <c r="J53" i="66"/>
  <c r="G53" i="66"/>
  <c r="J52" i="66"/>
  <c r="G52" i="66"/>
  <c r="J51" i="66"/>
  <c r="G51" i="66"/>
  <c r="K50" i="66"/>
  <c r="I50" i="66"/>
  <c r="H50" i="66"/>
  <c r="F50" i="66"/>
  <c r="E50" i="66"/>
  <c r="J49" i="66"/>
  <c r="G49" i="66"/>
  <c r="C49" i="66" s="1"/>
  <c r="L49" i="66" s="1"/>
  <c r="J48" i="66"/>
  <c r="G48" i="66"/>
  <c r="C48" i="66"/>
  <c r="J47" i="66"/>
  <c r="G47" i="66"/>
  <c r="J46" i="66"/>
  <c r="G46" i="66"/>
  <c r="J45" i="66"/>
  <c r="G45" i="66"/>
  <c r="J44" i="66"/>
  <c r="G44" i="66"/>
  <c r="J43" i="66"/>
  <c r="G43" i="66"/>
  <c r="J42" i="66"/>
  <c r="G42" i="66"/>
  <c r="R42" i="66"/>
  <c r="J41" i="66"/>
  <c r="G41" i="66"/>
  <c r="J40" i="66"/>
  <c r="G40" i="66"/>
  <c r="R40" i="66"/>
  <c r="J39" i="66"/>
  <c r="G39" i="66"/>
  <c r="J38" i="66"/>
  <c r="G38" i="66"/>
  <c r="J37" i="66"/>
  <c r="D37" i="66"/>
  <c r="D50" i="66" s="1"/>
  <c r="J36" i="66"/>
  <c r="G36" i="66"/>
  <c r="C36" i="66"/>
  <c r="J35" i="66"/>
  <c r="G35" i="66"/>
  <c r="J34" i="66"/>
  <c r="G34" i="66"/>
  <c r="J33" i="66"/>
  <c r="G33" i="66"/>
  <c r="J32" i="66"/>
  <c r="G32" i="66"/>
  <c r="J31" i="66"/>
  <c r="G31" i="66"/>
  <c r="C31" i="66" s="1"/>
  <c r="J30" i="66"/>
  <c r="G30" i="66"/>
  <c r="C30" i="66" s="1"/>
  <c r="K29" i="66"/>
  <c r="I29" i="66"/>
  <c r="H29" i="66"/>
  <c r="F29" i="66"/>
  <c r="E29" i="66"/>
  <c r="J28" i="66"/>
  <c r="G28" i="66"/>
  <c r="J27" i="66"/>
  <c r="G27" i="66"/>
  <c r="J26" i="66"/>
  <c r="G26" i="66"/>
  <c r="J25" i="66"/>
  <c r="G25" i="66"/>
  <c r="J24" i="66"/>
  <c r="G24" i="66"/>
  <c r="J23" i="66"/>
  <c r="G23" i="66"/>
  <c r="J22" i="66"/>
  <c r="G22" i="66"/>
  <c r="J21" i="66"/>
  <c r="G21" i="66"/>
  <c r="J20" i="66"/>
  <c r="G20" i="66"/>
  <c r="J19" i="66"/>
  <c r="G19" i="66"/>
  <c r="J18" i="66"/>
  <c r="G18" i="66"/>
  <c r="J17" i="66"/>
  <c r="G17" i="66"/>
  <c r="J16" i="66"/>
  <c r="G16" i="66"/>
  <c r="J15" i="66"/>
  <c r="G15" i="66"/>
  <c r="J14" i="66"/>
  <c r="G14" i="66"/>
  <c r="J13" i="66"/>
  <c r="G13" i="66"/>
  <c r="J12" i="66"/>
  <c r="G12" i="66"/>
  <c r="J11" i="66"/>
  <c r="D11" i="66"/>
  <c r="G11" i="66" s="1"/>
  <c r="J10" i="66"/>
  <c r="D10" i="66"/>
  <c r="G10" i="66" s="1"/>
  <c r="J9" i="66"/>
  <c r="G9" i="66"/>
  <c r="G8" i="66"/>
  <c r="C8" i="66" s="1"/>
  <c r="L8" i="66" s="1"/>
  <c r="J7" i="66"/>
  <c r="G7" i="66"/>
  <c r="C7" i="66" s="1"/>
  <c r="L40" i="66" l="1"/>
  <c r="L34" i="66"/>
  <c r="C64" i="65"/>
  <c r="C11" i="66"/>
  <c r="L11" i="66" s="1"/>
  <c r="L13" i="66"/>
  <c r="C15" i="66"/>
  <c r="C19" i="66"/>
  <c r="C21" i="66"/>
  <c r="L21" i="66" s="1"/>
  <c r="C25" i="66"/>
  <c r="L27" i="66"/>
  <c r="C14" i="66"/>
  <c r="L14" i="66" s="1"/>
  <c r="L33" i="66"/>
  <c r="C32" i="66"/>
  <c r="L32" i="66" s="1"/>
  <c r="C39" i="66"/>
  <c r="L39" i="66" s="1"/>
  <c r="C20" i="66"/>
  <c r="C22" i="66"/>
  <c r="L22" i="66" s="1"/>
  <c r="C24" i="66"/>
  <c r="L24" i="66" s="1"/>
  <c r="C26" i="66"/>
  <c r="L28" i="66"/>
  <c r="L41" i="66"/>
  <c r="L46" i="66"/>
  <c r="C43" i="66"/>
  <c r="L43" i="66" s="1"/>
  <c r="L19" i="66"/>
  <c r="C10" i="66"/>
  <c r="L10" i="66" s="1"/>
  <c r="L36" i="66"/>
  <c r="L56" i="66"/>
  <c r="C9" i="66"/>
  <c r="L9" i="66" s="1"/>
  <c r="L38" i="66"/>
  <c r="L17" i="66"/>
  <c r="L35" i="66"/>
  <c r="C23" i="66"/>
  <c r="L23" i="66" s="1"/>
  <c r="G130" i="66"/>
  <c r="L63" i="66"/>
  <c r="L130" i="66" s="1"/>
  <c r="L42" i="66"/>
  <c r="L44" i="66"/>
  <c r="L51" i="66"/>
  <c r="L59" i="66"/>
  <c r="J50" i="66"/>
  <c r="C12" i="66"/>
  <c r="L12" i="66" s="1"/>
  <c r="L16" i="66"/>
  <c r="L31" i="66"/>
  <c r="L45" i="66"/>
  <c r="R46" i="66"/>
  <c r="L18" i="66"/>
  <c r="R49" i="66"/>
  <c r="L15" i="66"/>
  <c r="L25" i="66"/>
  <c r="G37" i="66"/>
  <c r="C37" i="66" s="1"/>
  <c r="L37" i="66" s="1"/>
  <c r="L47" i="66"/>
  <c r="L48" i="66"/>
  <c r="L52" i="66"/>
  <c r="L55" i="66"/>
  <c r="L58" i="66"/>
  <c r="L61" i="66"/>
  <c r="K131" i="66"/>
  <c r="L57" i="66"/>
  <c r="L26" i="66"/>
  <c r="I131" i="66"/>
  <c r="J62" i="66"/>
  <c r="J29" i="66"/>
  <c r="L20" i="66"/>
  <c r="H131" i="66"/>
  <c r="L54" i="66"/>
  <c r="F131" i="66"/>
  <c r="G62" i="66"/>
  <c r="E131" i="66"/>
  <c r="L53" i="66"/>
  <c r="G29" i="66"/>
  <c r="D29" i="66"/>
  <c r="D131" i="66" s="1"/>
  <c r="L7" i="66"/>
  <c r="C62" i="66"/>
  <c r="G50" i="66" l="1"/>
  <c r="J131" i="66"/>
  <c r="L62" i="66"/>
  <c r="G131" i="66"/>
  <c r="C29" i="66"/>
  <c r="L29" i="66"/>
  <c r="L30" i="66"/>
  <c r="C50" i="66"/>
  <c r="L50" i="66" l="1"/>
  <c r="L131" i="66" s="1"/>
  <c r="C131" i="66"/>
  <c r="Q64" i="65" l="1"/>
  <c r="Q62" i="65"/>
  <c r="Q61" i="65"/>
  <c r="Q59" i="65"/>
  <c r="O58" i="65"/>
  <c r="P57" i="65"/>
  <c r="M57" i="65"/>
  <c r="L57" i="65"/>
  <c r="K57" i="65"/>
  <c r="J57" i="65"/>
  <c r="I57" i="65"/>
  <c r="H57" i="65"/>
  <c r="F57" i="65"/>
  <c r="E57" i="65"/>
  <c r="D57" i="65"/>
  <c r="Q56" i="65"/>
  <c r="Q55" i="65"/>
  <c r="M54" i="65"/>
  <c r="L54" i="65"/>
  <c r="Q53" i="65"/>
  <c r="Q52" i="65"/>
  <c r="P51" i="65"/>
  <c r="M51" i="65"/>
  <c r="K51" i="65"/>
  <c r="J51" i="65"/>
  <c r="I51" i="65"/>
  <c r="H51" i="65"/>
  <c r="G51" i="65"/>
  <c r="F51" i="65"/>
  <c r="D51" i="65"/>
  <c r="D50" i="65"/>
  <c r="Q50" i="65" s="1"/>
  <c r="D49" i="65"/>
  <c r="Q49" i="65" s="1"/>
  <c r="Q48" i="65"/>
  <c r="P47" i="65"/>
  <c r="N47" i="65"/>
  <c r="N58" i="65" s="1"/>
  <c r="M47" i="65"/>
  <c r="L47" i="65"/>
  <c r="K47" i="65"/>
  <c r="J47" i="65"/>
  <c r="I47" i="65"/>
  <c r="F47" i="65"/>
  <c r="E47" i="65"/>
  <c r="E58" i="65" s="1"/>
  <c r="Q46" i="65"/>
  <c r="M45" i="65"/>
  <c r="L45" i="65"/>
  <c r="J45" i="65"/>
  <c r="I45" i="65"/>
  <c r="H45" i="65"/>
  <c r="F45" i="65"/>
  <c r="D45" i="65"/>
  <c r="D44" i="65"/>
  <c r="Q44" i="65" s="1"/>
  <c r="Q43" i="65"/>
  <c r="Q42" i="65"/>
  <c r="I41" i="65"/>
  <c r="K40" i="65"/>
  <c r="G40" i="65"/>
  <c r="P39" i="65"/>
  <c r="L39" i="65"/>
  <c r="K39" i="65"/>
  <c r="K58" i="65" s="1"/>
  <c r="J39" i="65"/>
  <c r="G39" i="65"/>
  <c r="F39" i="65"/>
  <c r="D39" i="65"/>
  <c r="C39" i="65"/>
  <c r="C58" i="65" s="1"/>
  <c r="P38" i="65"/>
  <c r="L38" i="65"/>
  <c r="F38" i="65"/>
  <c r="D38" i="65"/>
  <c r="O30" i="65"/>
  <c r="M30" i="65"/>
  <c r="L30" i="65"/>
  <c r="K30" i="65"/>
  <c r="J30" i="65"/>
  <c r="I30" i="65"/>
  <c r="H30" i="65"/>
  <c r="G30" i="65"/>
  <c r="F30" i="65"/>
  <c r="N29" i="65"/>
  <c r="E29" i="65"/>
  <c r="Q28" i="65"/>
  <c r="N27" i="65"/>
  <c r="I27" i="65"/>
  <c r="E27" i="65"/>
  <c r="Q27" i="65" s="1"/>
  <c r="P26" i="65"/>
  <c r="Q26" i="65" s="1"/>
  <c r="Q25" i="65"/>
  <c r="P24" i="65"/>
  <c r="G24" i="65"/>
  <c r="F24" i="65"/>
  <c r="Q23" i="65"/>
  <c r="Q22" i="65"/>
  <c r="Q21" i="65"/>
  <c r="P20" i="65"/>
  <c r="O20" i="65"/>
  <c r="M20" i="65"/>
  <c r="J20" i="65"/>
  <c r="G20" i="65"/>
  <c r="F20" i="65"/>
  <c r="Q19" i="65"/>
  <c r="O18" i="65"/>
  <c r="Q18" i="65" s="1"/>
  <c r="Q17" i="65"/>
  <c r="P16" i="65"/>
  <c r="O16" i="65"/>
  <c r="M16" i="65"/>
  <c r="J16" i="65"/>
  <c r="G16" i="65"/>
  <c r="F16" i="65"/>
  <c r="Q16" i="65" s="1"/>
  <c r="Q15" i="65"/>
  <c r="O15" i="65"/>
  <c r="P14" i="65"/>
  <c r="O14" i="65"/>
  <c r="M14" i="65"/>
  <c r="J14" i="65"/>
  <c r="G14" i="65"/>
  <c r="F14" i="65"/>
  <c r="Q14" i="65" s="1"/>
  <c r="N13" i="65"/>
  <c r="M13" i="65"/>
  <c r="L13" i="65"/>
  <c r="K13" i="65"/>
  <c r="J13" i="65"/>
  <c r="I13" i="65"/>
  <c r="H13" i="65"/>
  <c r="G13" i="65"/>
  <c r="F13" i="65"/>
  <c r="E13" i="65"/>
  <c r="D13" i="65"/>
  <c r="C13" i="65"/>
  <c r="C31" i="65" s="1"/>
  <c r="N12" i="65"/>
  <c r="M12" i="65"/>
  <c r="L12" i="65"/>
  <c r="K12" i="65"/>
  <c r="K31" i="65" s="1"/>
  <c r="J12" i="65"/>
  <c r="I12" i="65"/>
  <c r="H12" i="65"/>
  <c r="H31" i="65" s="1"/>
  <c r="G12" i="65"/>
  <c r="F12" i="65"/>
  <c r="D12" i="65"/>
  <c r="P11" i="65"/>
  <c r="O11" i="65"/>
  <c r="M11" i="65"/>
  <c r="J11" i="65"/>
  <c r="G11" i="65"/>
  <c r="F11" i="65"/>
  <c r="F31" i="65" s="1"/>
  <c r="Q10" i="65"/>
  <c r="Q9" i="65"/>
  <c r="L31" i="65" l="1"/>
  <c r="L58" i="65"/>
  <c r="I58" i="65"/>
  <c r="M31" i="65"/>
  <c r="Q30" i="65"/>
  <c r="P58" i="65"/>
  <c r="O31" i="65"/>
  <c r="E31" i="65"/>
  <c r="E65" i="65" s="1"/>
  <c r="N31" i="65"/>
  <c r="P31" i="65"/>
  <c r="Q57" i="65"/>
  <c r="I31" i="65"/>
  <c r="I65" i="65" s="1"/>
  <c r="H58" i="65"/>
  <c r="Q20" i="65"/>
  <c r="J31" i="65"/>
  <c r="G58" i="65"/>
  <c r="M58" i="65"/>
  <c r="M65" i="65" s="1"/>
  <c r="Q29" i="65"/>
  <c r="F58" i="65"/>
  <c r="F65" i="65" s="1"/>
  <c r="Q54" i="65"/>
  <c r="Q38" i="65"/>
  <c r="J58" i="65"/>
  <c r="J65" i="65" s="1"/>
  <c r="Q40" i="65"/>
  <c r="L65" i="65"/>
  <c r="G31" i="65"/>
  <c r="Q12" i="65"/>
  <c r="D58" i="65"/>
  <c r="K65" i="65"/>
  <c r="Q51" i="65"/>
  <c r="Q63" i="65"/>
  <c r="Q24" i="65"/>
  <c r="O65" i="65"/>
  <c r="N65" i="65"/>
  <c r="P65" i="65"/>
  <c r="H65" i="65"/>
  <c r="Q11" i="65"/>
  <c r="Q13" i="65"/>
  <c r="D31" i="65"/>
  <c r="D65" i="65" s="1"/>
  <c r="Q39" i="65"/>
  <c r="C65" i="65"/>
  <c r="Q41" i="65"/>
  <c r="Q45" i="65"/>
  <c r="Q47" i="65"/>
  <c r="Q58" i="65" l="1"/>
  <c r="G65" i="65"/>
  <c r="R65" i="65"/>
  <c r="Q31" i="65"/>
  <c r="Q65" i="65" s="1"/>
  <c r="Q69" i="65" s="1"/>
  <c r="R38" i="65"/>
  <c r="R39" i="65" l="1"/>
  <c r="O110" i="16" l="1"/>
  <c r="M1004" i="63" l="1"/>
  <c r="R35" i="66" s="1"/>
  <c r="R36" i="66" s="1"/>
  <c r="R50" i="66" s="1"/>
  <c r="L140" i="66" s="1"/>
  <c r="K1005" i="63"/>
  <c r="K1004" i="63"/>
  <c r="M1006" i="63"/>
  <c r="J1006" i="63"/>
  <c r="K992" i="63"/>
  <c r="K1008" i="63"/>
  <c r="K1009" i="63"/>
  <c r="K1010" i="63"/>
  <c r="K1003" i="63"/>
  <c r="K990" i="63"/>
  <c r="F33" i="69" l="1"/>
  <c r="H156" i="5"/>
  <c r="L1005" i="63"/>
  <c r="K609" i="63"/>
  <c r="L609" i="63" s="1"/>
  <c r="J37" i="63" l="1"/>
  <c r="M28" i="16" l="1"/>
  <c r="M29" i="16"/>
  <c r="M30" i="16"/>
  <c r="M31" i="16"/>
  <c r="M32" i="16"/>
  <c r="M34" i="16"/>
  <c r="M35" i="16"/>
  <c r="M37" i="16"/>
  <c r="M38" i="16"/>
  <c r="M40" i="16"/>
  <c r="M41" i="16"/>
  <c r="M42" i="16"/>
  <c r="M43" i="16"/>
  <c r="M45" i="16"/>
  <c r="M46" i="16"/>
  <c r="M47" i="16"/>
  <c r="M48" i="16"/>
  <c r="M49" i="16"/>
  <c r="M50" i="16"/>
  <c r="M51" i="16"/>
  <c r="M52" i="16"/>
  <c r="M22" i="16"/>
  <c r="H105" i="16"/>
  <c r="M105" i="16" s="1"/>
  <c r="M106" i="16"/>
  <c r="M107" i="16"/>
  <c r="M108" i="16"/>
  <c r="M109" i="16"/>
  <c r="M110" i="16"/>
  <c r="M113" i="16"/>
  <c r="M114" i="16"/>
  <c r="M115" i="16"/>
  <c r="M116" i="16"/>
  <c r="M117" i="16"/>
  <c r="M118" i="16"/>
  <c r="M119" i="16"/>
  <c r="M120" i="16"/>
  <c r="M121" i="16"/>
  <c r="M122" i="16"/>
  <c r="M123" i="16"/>
  <c r="M124" i="16"/>
  <c r="M125" i="16"/>
  <c r="M126" i="16"/>
  <c r="M127" i="16"/>
  <c r="M128" i="16"/>
  <c r="M129" i="16"/>
  <c r="M130" i="16"/>
  <c r="M131" i="16"/>
  <c r="M132" i="16"/>
  <c r="L103" i="16"/>
  <c r="L102" i="16"/>
  <c r="L112" i="16"/>
  <c r="M112" i="16" s="1"/>
  <c r="L111" i="16"/>
  <c r="L23" i="16" l="1"/>
  <c r="H103" i="16"/>
  <c r="M103" i="16" s="1"/>
  <c r="H102" i="16"/>
  <c r="H111" i="16"/>
  <c r="M111" i="16" s="1"/>
  <c r="H104" i="16"/>
  <c r="M104" i="16" s="1"/>
  <c r="H44" i="16"/>
  <c r="H39" i="16"/>
  <c r="M39" i="16" s="1"/>
  <c r="H36" i="16"/>
  <c r="M36" i="16" s="1"/>
  <c r="H33" i="16"/>
  <c r="M33" i="16" s="1"/>
  <c r="H27" i="16"/>
  <c r="M27" i="16" s="1"/>
  <c r="H26" i="16"/>
  <c r="M26" i="16" s="1"/>
  <c r="H25" i="16"/>
  <c r="M25" i="16" s="1"/>
  <c r="H24" i="16"/>
  <c r="M24" i="16" s="1"/>
  <c r="H23" i="16"/>
  <c r="J757" i="63"/>
  <c r="I195" i="16"/>
  <c r="J195" i="16" s="1"/>
  <c r="I194" i="16"/>
  <c r="J194" i="16" s="1"/>
  <c r="I193" i="16"/>
  <c r="I192" i="16"/>
  <c r="J192" i="16" s="1"/>
  <c r="I191" i="16"/>
  <c r="J191" i="16" s="1"/>
  <c r="I190" i="16"/>
  <c r="J190" i="16" s="1"/>
  <c r="I189" i="16"/>
  <c r="J189" i="16" s="1"/>
  <c r="I188" i="16"/>
  <c r="J188" i="16" s="1"/>
  <c r="I187" i="16"/>
  <c r="J187" i="16" s="1"/>
  <c r="I186" i="16"/>
  <c r="J186" i="16" s="1"/>
  <c r="I185" i="16"/>
  <c r="J185" i="16" s="1"/>
  <c r="I134" i="16"/>
  <c r="J134" i="16" s="1"/>
  <c r="I135" i="16"/>
  <c r="J135" i="16" s="1"/>
  <c r="I136" i="16"/>
  <c r="J136" i="16" s="1"/>
  <c r="I137" i="16"/>
  <c r="J137" i="16" s="1"/>
  <c r="I138" i="16"/>
  <c r="J138" i="16" s="1"/>
  <c r="I139" i="16"/>
  <c r="J139" i="16" s="1"/>
  <c r="I140" i="16"/>
  <c r="J140" i="16" s="1"/>
  <c r="I141" i="16"/>
  <c r="J141" i="16" s="1"/>
  <c r="I142" i="16"/>
  <c r="J142" i="16" s="1"/>
  <c r="I143" i="16"/>
  <c r="J143" i="16" s="1"/>
  <c r="I144" i="16"/>
  <c r="J144" i="16" s="1"/>
  <c r="I145" i="16"/>
  <c r="J145" i="16" s="1"/>
  <c r="I146" i="16"/>
  <c r="J146" i="16" s="1"/>
  <c r="I172" i="16"/>
  <c r="J172" i="16" s="1"/>
  <c r="I173" i="16"/>
  <c r="J173" i="16" s="1"/>
  <c r="I174" i="16"/>
  <c r="J174" i="16" s="1"/>
  <c r="I133" i="16"/>
  <c r="J133" i="16" s="1"/>
  <c r="I184" i="16"/>
  <c r="J184" i="16" s="1"/>
  <c r="I183" i="16"/>
  <c r="J183" i="16" s="1"/>
  <c r="I182" i="16"/>
  <c r="J182" i="16" s="1"/>
  <c r="I181" i="16"/>
  <c r="J181" i="16" s="1"/>
  <c r="I180" i="16"/>
  <c r="J180" i="16" s="1"/>
  <c r="I179" i="16"/>
  <c r="I178" i="16"/>
  <c r="J178" i="16" s="1"/>
  <c r="I177" i="16"/>
  <c r="J177" i="16" s="1"/>
  <c r="I176" i="16"/>
  <c r="J176" i="16" s="1"/>
  <c r="I175" i="16"/>
  <c r="J175" i="16" s="1"/>
  <c r="J193" i="16"/>
  <c r="J179" i="16"/>
  <c r="K138" i="63"/>
  <c r="K116" i="63"/>
  <c r="K115" i="63"/>
  <c r="K64" i="63"/>
  <c r="K61" i="63"/>
  <c r="I49" i="16"/>
  <c r="J49" i="16" s="1"/>
  <c r="I119" i="16"/>
  <c r="K37" i="63"/>
  <c r="I117" i="16"/>
  <c r="I114" i="16"/>
  <c r="I118" i="16"/>
  <c r="I50" i="16"/>
  <c r="I131" i="16"/>
  <c r="I112" i="16"/>
  <c r="I120" i="16"/>
  <c r="I102" i="16" l="1"/>
  <c r="M102" i="16"/>
  <c r="M23" i="16"/>
  <c r="I44" i="16"/>
  <c r="M44" i="16"/>
  <c r="K253" i="16"/>
  <c r="K269" i="16" s="1"/>
  <c r="K57" i="63"/>
  <c r="L57" i="63" s="1"/>
  <c r="K56" i="63"/>
  <c r="L56" i="63" s="1"/>
  <c r="K871" i="63"/>
  <c r="L871" i="63" s="1"/>
  <c r="K466" i="63"/>
  <c r="L466" i="63" s="1"/>
  <c r="K261" i="63"/>
  <c r="L261" i="63" s="1"/>
  <c r="K400" i="63"/>
  <c r="K399" i="63"/>
  <c r="L399" i="63" s="1"/>
  <c r="K1328" i="64" l="1"/>
  <c r="O620" i="64" l="1"/>
  <c r="I132" i="16" l="1"/>
  <c r="I128" i="16"/>
  <c r="I115" i="16" l="1"/>
  <c r="I111" i="16"/>
  <c r="I110" i="16"/>
  <c r="I109" i="16"/>
  <c r="I108" i="16"/>
  <c r="I107" i="16"/>
  <c r="I105" i="16"/>
  <c r="I103" i="16"/>
  <c r="I52" i="16"/>
  <c r="J52" i="16" s="1"/>
  <c r="I46" i="16"/>
  <c r="I45" i="16"/>
  <c r="I43" i="16"/>
  <c r="I42" i="16"/>
  <c r="I39" i="16"/>
  <c r="I36" i="16"/>
  <c r="I34" i="16"/>
  <c r="J34" i="16" s="1"/>
  <c r="I30" i="16"/>
  <c r="I29" i="16"/>
  <c r="I25" i="16"/>
  <c r="I23" i="16"/>
  <c r="I22" i="16"/>
  <c r="K1025" i="63"/>
  <c r="K1024" i="63"/>
  <c r="K1023" i="63"/>
  <c r="K1022" i="63"/>
  <c r="K1021" i="63"/>
  <c r="K1014" i="63"/>
  <c r="K1013" i="63"/>
  <c r="K1012" i="63"/>
  <c r="K1011" i="63"/>
  <c r="K997" i="63"/>
  <c r="K1001" i="63"/>
  <c r="K1000" i="63"/>
  <c r="K999" i="63"/>
  <c r="K998" i="63"/>
  <c r="K996" i="63"/>
  <c r="K995" i="63"/>
  <c r="K994" i="63"/>
  <c r="K991" i="63"/>
  <c r="K989" i="63"/>
  <c r="K987" i="63"/>
  <c r="K986" i="63"/>
  <c r="K984" i="63"/>
  <c r="K983" i="63"/>
  <c r="K948" i="63"/>
  <c r="K940" i="63"/>
  <c r="K934" i="63"/>
  <c r="K932" i="63"/>
  <c r="K930" i="63"/>
  <c r="K929" i="63"/>
  <c r="K928" i="63"/>
  <c r="K927" i="63"/>
  <c r="K926" i="63"/>
  <c r="K920" i="63"/>
  <c r="K887" i="63"/>
  <c r="K886" i="63"/>
  <c r="K885" i="63"/>
  <c r="K881" i="63"/>
  <c r="K880" i="63"/>
  <c r="K879" i="63"/>
  <c r="K878" i="63"/>
  <c r="K877" i="63"/>
  <c r="K876" i="63"/>
  <c r="K872" i="63"/>
  <c r="K869" i="63"/>
  <c r="K867" i="63"/>
  <c r="K866" i="63"/>
  <c r="K865" i="63"/>
  <c r="K862" i="63"/>
  <c r="K861" i="63"/>
  <c r="K855" i="63"/>
  <c r="K825" i="63"/>
  <c r="K824" i="63"/>
  <c r="K823" i="63"/>
  <c r="K819" i="63"/>
  <c r="K818" i="63"/>
  <c r="K816" i="63"/>
  <c r="L816" i="63" s="1"/>
  <c r="K815" i="63"/>
  <c r="K814" i="63"/>
  <c r="K813" i="63"/>
  <c r="K812" i="63"/>
  <c r="K811" i="63"/>
  <c r="K806" i="63"/>
  <c r="K805" i="63"/>
  <c r="K804" i="63"/>
  <c r="K803" i="63"/>
  <c r="K802" i="63"/>
  <c r="K801" i="63"/>
  <c r="K800" i="63"/>
  <c r="K799" i="63"/>
  <c r="K798" i="63"/>
  <c r="K796" i="63"/>
  <c r="K795" i="63"/>
  <c r="K794" i="63"/>
  <c r="K793" i="63"/>
  <c r="K792" i="63"/>
  <c r="K789" i="63"/>
  <c r="K787" i="63"/>
  <c r="K755" i="63"/>
  <c r="K756" i="63"/>
  <c r="K753" i="63"/>
  <c r="K748" i="63"/>
  <c r="L748" i="63" s="1"/>
  <c r="K741" i="63"/>
  <c r="K738" i="63"/>
  <c r="K737" i="63"/>
  <c r="K736" i="63"/>
  <c r="K734" i="63"/>
  <c r="K732" i="63"/>
  <c r="K731" i="63"/>
  <c r="K730" i="63"/>
  <c r="K727" i="63"/>
  <c r="K726" i="63"/>
  <c r="K719" i="63"/>
  <c r="K686" i="63"/>
  <c r="K688" i="63"/>
  <c r="K687" i="63"/>
  <c r="K685" i="63"/>
  <c r="K680" i="63"/>
  <c r="L680" i="63" s="1"/>
  <c r="K679" i="63"/>
  <c r="K678" i="63"/>
  <c r="K675" i="63"/>
  <c r="K670" i="63"/>
  <c r="K669" i="63"/>
  <c r="K668" i="63"/>
  <c r="K667" i="63"/>
  <c r="K666" i="63"/>
  <c r="K665" i="63"/>
  <c r="K664" i="63"/>
  <c r="K663" i="63"/>
  <c r="K662" i="63"/>
  <c r="K661" i="63"/>
  <c r="K659" i="63"/>
  <c r="K658" i="63"/>
  <c r="K657" i="63"/>
  <c r="K656" i="63"/>
  <c r="K655" i="63"/>
  <c r="K652" i="63"/>
  <c r="K650" i="63"/>
  <c r="K613" i="63"/>
  <c r="K615" i="63"/>
  <c r="K614" i="63"/>
  <c r="K598" i="63"/>
  <c r="K596" i="63"/>
  <c r="K595" i="63"/>
  <c r="K594" i="63"/>
  <c r="K593" i="63"/>
  <c r="K592" i="63"/>
  <c r="K591" i="63"/>
  <c r="K590" i="63"/>
  <c r="K588" i="63"/>
  <c r="K586" i="63"/>
  <c r="K585" i="63"/>
  <c r="K582" i="63"/>
  <c r="K580" i="63"/>
  <c r="K550" i="63"/>
  <c r="K549" i="63"/>
  <c r="K548" i="63"/>
  <c r="K547" i="63"/>
  <c r="K539" i="63"/>
  <c r="K537" i="63"/>
  <c r="K533" i="63"/>
  <c r="K532" i="63"/>
  <c r="K531" i="63"/>
  <c r="K530" i="63"/>
  <c r="K529" i="63"/>
  <c r="K528" i="63"/>
  <c r="K527" i="63"/>
  <c r="K524" i="63"/>
  <c r="K523" i="63"/>
  <c r="K516" i="63"/>
  <c r="K486" i="63"/>
  <c r="K485" i="63"/>
  <c r="K484" i="63"/>
  <c r="K483" i="63"/>
  <c r="L480" i="63"/>
  <c r="K478" i="63"/>
  <c r="K473" i="63"/>
  <c r="K472" i="63"/>
  <c r="K471" i="63"/>
  <c r="K467" i="63"/>
  <c r="K465" i="63"/>
  <c r="K464" i="63"/>
  <c r="K463" i="63"/>
  <c r="K462" i="63"/>
  <c r="K461" i="63"/>
  <c r="K460" i="63"/>
  <c r="K459" i="63"/>
  <c r="K458" i="63"/>
  <c r="K456" i="63"/>
  <c r="K454" i="63"/>
  <c r="K453" i="63"/>
  <c r="K450" i="63"/>
  <c r="K448" i="63"/>
  <c r="K416" i="63"/>
  <c r="K415" i="63"/>
  <c r="K414" i="63"/>
  <c r="K413" i="63"/>
  <c r="K407" i="63"/>
  <c r="K406" i="63"/>
  <c r="K405" i="63"/>
  <c r="K404" i="63"/>
  <c r="K398" i="63"/>
  <c r="K397" i="63"/>
  <c r="K396" i="63"/>
  <c r="K395" i="63"/>
  <c r="K394" i="63"/>
  <c r="K393" i="63"/>
  <c r="K392" i="63"/>
  <c r="K391" i="63"/>
  <c r="K389" i="63"/>
  <c r="K388" i="63"/>
  <c r="K387" i="63"/>
  <c r="K386" i="63"/>
  <c r="K383" i="63"/>
  <c r="K381" i="63"/>
  <c r="K346" i="63"/>
  <c r="K338" i="63"/>
  <c r="K335" i="63"/>
  <c r="K331" i="63"/>
  <c r="K329" i="63"/>
  <c r="K328" i="63"/>
  <c r="K327" i="63"/>
  <c r="K326" i="63"/>
  <c r="K325" i="63"/>
  <c r="K321" i="63"/>
  <c r="K320" i="63"/>
  <c r="K313" i="63"/>
  <c r="K278" i="63"/>
  <c r="K277" i="63"/>
  <c r="K276" i="63"/>
  <c r="K273" i="63"/>
  <c r="K268" i="63"/>
  <c r="K262" i="63"/>
  <c r="K259" i="63"/>
  <c r="K257" i="63"/>
  <c r="K256" i="63"/>
  <c r="K255" i="63"/>
  <c r="K252" i="63"/>
  <c r="K246" i="63"/>
  <c r="K244" i="63"/>
  <c r="K207" i="63" l="1"/>
  <c r="K205" i="63"/>
  <c r="K202" i="63"/>
  <c r="K200" i="63"/>
  <c r="K198" i="63"/>
  <c r="K197" i="63"/>
  <c r="K196" i="63"/>
  <c r="K193" i="63"/>
  <c r="K192" i="63"/>
  <c r="K191" i="63"/>
  <c r="K190" i="63"/>
  <c r="K189" i="63"/>
  <c r="K188" i="63"/>
  <c r="K187" i="63"/>
  <c r="K186" i="63"/>
  <c r="K185" i="63"/>
  <c r="K183" i="63"/>
  <c r="K181" i="63"/>
  <c r="K180" i="63"/>
  <c r="K177" i="63"/>
  <c r="K175" i="63"/>
  <c r="K141" i="63"/>
  <c r="L141" i="63" s="1"/>
  <c r="K140" i="63"/>
  <c r="L140" i="63" s="1"/>
  <c r="L138" i="63"/>
  <c r="K137" i="63"/>
  <c r="L137" i="63" s="1"/>
  <c r="K136" i="63"/>
  <c r="K131" i="63"/>
  <c r="K127" i="63"/>
  <c r="K126" i="63"/>
  <c r="K122" i="63"/>
  <c r="K114" i="63"/>
  <c r="K113" i="63"/>
  <c r="K112" i="63"/>
  <c r="K111" i="63"/>
  <c r="K110" i="63"/>
  <c r="K109" i="63"/>
  <c r="K108" i="63"/>
  <c r="K107" i="63"/>
  <c r="K106" i="63"/>
  <c r="K105" i="63"/>
  <c r="K104" i="63"/>
  <c r="K103" i="63"/>
  <c r="K100" i="63"/>
  <c r="K98" i="63"/>
  <c r="K68" i="63"/>
  <c r="K66" i="63"/>
  <c r="K65" i="63"/>
  <c r="K55" i="63"/>
  <c r="K54" i="63"/>
  <c r="K50" i="63"/>
  <c r="K48" i="63"/>
  <c r="K44" i="63"/>
  <c r="K43" i="63"/>
  <c r="K42" i="63"/>
  <c r="K41" i="63"/>
  <c r="K40" i="63"/>
  <c r="K39" i="63"/>
  <c r="K38" i="63"/>
  <c r="K36" i="63"/>
  <c r="K35" i="63"/>
  <c r="K34" i="63"/>
  <c r="K33" i="63"/>
  <c r="K31" i="63"/>
  <c r="K30" i="63"/>
  <c r="K28" i="63"/>
  <c r="K27" i="63"/>
  <c r="K25" i="63"/>
  <c r="K24" i="63"/>
  <c r="G111" i="16"/>
  <c r="G103" i="16"/>
  <c r="G102" i="16"/>
  <c r="G174" i="16"/>
  <c r="G173" i="16"/>
  <c r="G172" i="16"/>
  <c r="G146" i="16"/>
  <c r="G145" i="16"/>
  <c r="G144" i="16"/>
  <c r="G143" i="16"/>
  <c r="G142" i="16"/>
  <c r="G141" i="16"/>
  <c r="G140" i="16"/>
  <c r="G139" i="16"/>
  <c r="G138" i="16"/>
  <c r="G137" i="16"/>
  <c r="G136" i="16"/>
  <c r="G135" i="16"/>
  <c r="G134" i="16"/>
  <c r="G133" i="16"/>
  <c r="G132" i="16"/>
  <c r="G131" i="16"/>
  <c r="G130" i="16"/>
  <c r="G129" i="16"/>
  <c r="G128" i="16"/>
  <c r="G127" i="16"/>
  <c r="G126" i="16"/>
  <c r="G125" i="16"/>
  <c r="G123" i="16"/>
  <c r="G122" i="16"/>
  <c r="G120" i="16"/>
  <c r="G119" i="16"/>
  <c r="G118" i="16"/>
  <c r="G117" i="16"/>
  <c r="G116" i="16"/>
  <c r="G115" i="16"/>
  <c r="G114" i="16"/>
  <c r="G113" i="16"/>
  <c r="G112" i="16"/>
  <c r="G110" i="16"/>
  <c r="G109" i="16"/>
  <c r="G108" i="16"/>
  <c r="G107" i="16"/>
  <c r="G105" i="16"/>
  <c r="G50" i="16"/>
  <c r="G48" i="16"/>
  <c r="G46" i="16"/>
  <c r="G45" i="16"/>
  <c r="G43" i="16"/>
  <c r="G42" i="16"/>
  <c r="G41" i="16"/>
  <c r="G36" i="16"/>
  <c r="G33" i="16"/>
  <c r="G31" i="16"/>
  <c r="G29" i="16"/>
  <c r="G28" i="16"/>
  <c r="G27" i="16"/>
  <c r="G26" i="16"/>
  <c r="G25" i="16"/>
  <c r="G24" i="16"/>
  <c r="G198" i="16" l="1"/>
  <c r="G23" i="16"/>
  <c r="G22" i="16"/>
  <c r="I949" i="63"/>
  <c r="I948" i="63"/>
  <c r="I947" i="63"/>
  <c r="I944" i="63"/>
  <c r="I943" i="63"/>
  <c r="I941" i="63"/>
  <c r="I940" i="63"/>
  <c r="I939" i="63"/>
  <c r="I938" i="63"/>
  <c r="I934" i="63"/>
  <c r="I933" i="63"/>
  <c r="I932" i="63"/>
  <c r="I931" i="63"/>
  <c r="I930" i="63"/>
  <c r="I929" i="63"/>
  <c r="I927" i="63"/>
  <c r="I926" i="63"/>
  <c r="I924" i="63"/>
  <c r="I923" i="63"/>
  <c r="I922" i="63"/>
  <c r="I920" i="63"/>
  <c r="I882" i="63"/>
  <c r="I880" i="63"/>
  <c r="I879" i="63"/>
  <c r="I878" i="63"/>
  <c r="I877" i="63"/>
  <c r="I872" i="63"/>
  <c r="I869" i="63"/>
  <c r="I868" i="63"/>
  <c r="I867" i="63"/>
  <c r="I866" i="63"/>
  <c r="I865" i="63"/>
  <c r="I864" i="63"/>
  <c r="I863" i="63"/>
  <c r="I862" i="63"/>
  <c r="I861" i="63"/>
  <c r="I859" i="63"/>
  <c r="I857" i="63"/>
  <c r="I855" i="63"/>
  <c r="I825" i="63"/>
  <c r="I824" i="63"/>
  <c r="I820" i="63"/>
  <c r="I819" i="63"/>
  <c r="I818" i="63"/>
  <c r="I817" i="63"/>
  <c r="I815" i="63"/>
  <c r="I814" i="63"/>
  <c r="I813" i="63"/>
  <c r="I812" i="63"/>
  <c r="I811" i="63"/>
  <c r="I807" i="63"/>
  <c r="I806" i="63"/>
  <c r="I805" i="63"/>
  <c r="I804" i="63"/>
  <c r="I803" i="63"/>
  <c r="I802" i="63"/>
  <c r="I801" i="63"/>
  <c r="I800" i="63"/>
  <c r="I799" i="63"/>
  <c r="I798" i="63"/>
  <c r="I796" i="63"/>
  <c r="I795" i="63"/>
  <c r="I793" i="63"/>
  <c r="I789" i="63"/>
  <c r="I787" i="63"/>
  <c r="K944" i="63"/>
  <c r="L944" i="63" s="1"/>
  <c r="K882" i="63"/>
  <c r="L882" i="63" s="1"/>
  <c r="M945" i="63"/>
  <c r="G31" i="69" s="1"/>
  <c r="J945" i="63"/>
  <c r="M883" i="63"/>
  <c r="G30" i="69" s="1"/>
  <c r="J883" i="63"/>
  <c r="K820" i="63"/>
  <c r="L820" i="63" s="1"/>
  <c r="M821" i="63"/>
  <c r="G29" i="69" s="1"/>
  <c r="J821" i="63"/>
  <c r="I1024" i="63"/>
  <c r="I1023" i="63"/>
  <c r="I1018" i="63"/>
  <c r="I1016" i="63"/>
  <c r="I1015" i="63"/>
  <c r="I1014" i="63"/>
  <c r="I1013" i="63"/>
  <c r="I1012" i="63"/>
  <c r="I1011" i="63"/>
  <c r="I1010" i="63"/>
  <c r="I1003" i="63"/>
  <c r="I1001" i="63"/>
  <c r="I1000" i="63"/>
  <c r="I999" i="63"/>
  <c r="I998" i="63"/>
  <c r="I997" i="63"/>
  <c r="I996" i="63"/>
  <c r="I995" i="63"/>
  <c r="I994" i="63"/>
  <c r="I993" i="63"/>
  <c r="I991" i="63"/>
  <c r="I990" i="63"/>
  <c r="I989" i="63"/>
  <c r="I988" i="63"/>
  <c r="I987" i="63"/>
  <c r="I986" i="63"/>
  <c r="I984" i="63"/>
  <c r="I983" i="63"/>
  <c r="K1018" i="63"/>
  <c r="M1019" i="63"/>
  <c r="J1019" i="63"/>
  <c r="I756" i="63"/>
  <c r="I755" i="63"/>
  <c r="I753" i="63"/>
  <c r="I750" i="63"/>
  <c r="I747" i="63"/>
  <c r="I746" i="63"/>
  <c r="I745" i="63"/>
  <c r="I743" i="63"/>
  <c r="I742" i="63"/>
  <c r="I741" i="63"/>
  <c r="I735" i="63"/>
  <c r="I734" i="63"/>
  <c r="I733" i="63"/>
  <c r="I732" i="63"/>
  <c r="I731" i="63"/>
  <c r="I727" i="63"/>
  <c r="I730" i="63"/>
  <c r="I729" i="63"/>
  <c r="I725" i="63"/>
  <c r="I724" i="63"/>
  <c r="I721" i="63"/>
  <c r="I719" i="63"/>
  <c r="K750" i="63"/>
  <c r="L750" i="63" s="1"/>
  <c r="M751" i="63"/>
  <c r="G28" i="69" s="1"/>
  <c r="J751" i="63"/>
  <c r="I687" i="63"/>
  <c r="I688" i="63"/>
  <c r="I685" i="63"/>
  <c r="I682" i="63"/>
  <c r="I681" i="63"/>
  <c r="I679" i="63"/>
  <c r="I677" i="63"/>
  <c r="I676" i="63"/>
  <c r="I675" i="63"/>
  <c r="I673" i="63"/>
  <c r="I661" i="63"/>
  <c r="I669" i="63"/>
  <c r="I667" i="63"/>
  <c r="I666" i="63"/>
  <c r="I665" i="63"/>
  <c r="I664" i="63"/>
  <c r="I663" i="63"/>
  <c r="I662" i="63"/>
  <c r="I659" i="63"/>
  <c r="I658" i="63"/>
  <c r="I656" i="63"/>
  <c r="I652" i="63"/>
  <c r="I650" i="63"/>
  <c r="G33" i="69" l="1"/>
  <c r="H157" i="5"/>
  <c r="I1006" i="63"/>
  <c r="L1018" i="63"/>
  <c r="I883" i="63"/>
  <c r="I945" i="63"/>
  <c r="I821" i="63"/>
  <c r="I1019" i="63"/>
  <c r="I751" i="63"/>
  <c r="K682" i="63"/>
  <c r="L682" i="63" s="1"/>
  <c r="M683" i="63"/>
  <c r="G27" i="69" s="1"/>
  <c r="J683" i="63"/>
  <c r="I683" i="63"/>
  <c r="I613" i="63"/>
  <c r="I612" i="63"/>
  <c r="I609" i="63"/>
  <c r="I608" i="63"/>
  <c r="I607" i="63"/>
  <c r="I606" i="63"/>
  <c r="I604" i="63"/>
  <c r="I603" i="63"/>
  <c r="I599" i="63"/>
  <c r="I598" i="63"/>
  <c r="I596" i="63"/>
  <c r="I595" i="63"/>
  <c r="I594" i="63"/>
  <c r="I593" i="63"/>
  <c r="I592" i="63"/>
  <c r="I591" i="63"/>
  <c r="I588" i="63"/>
  <c r="I590" i="63"/>
  <c r="I582" i="63"/>
  <c r="I580" i="63"/>
  <c r="K544" i="63"/>
  <c r="L544" i="63" s="1"/>
  <c r="M610" i="63"/>
  <c r="G26" i="69" s="1"/>
  <c r="J610" i="63"/>
  <c r="I549" i="63"/>
  <c r="I547" i="63"/>
  <c r="I544" i="63"/>
  <c r="I543" i="63"/>
  <c r="I542" i="63"/>
  <c r="I541" i="63"/>
  <c r="I539" i="63"/>
  <c r="I538" i="63"/>
  <c r="I537" i="63"/>
  <c r="I534" i="63"/>
  <c r="I533" i="63"/>
  <c r="I532" i="63"/>
  <c r="I531" i="63"/>
  <c r="I530" i="63"/>
  <c r="I529" i="63"/>
  <c r="I528" i="63"/>
  <c r="I527" i="63"/>
  <c r="I526" i="63"/>
  <c r="I524" i="63"/>
  <c r="I521" i="63"/>
  <c r="I518" i="63"/>
  <c r="M545" i="63"/>
  <c r="G25" i="69" s="1"/>
  <c r="J545" i="63"/>
  <c r="I484" i="63"/>
  <c r="I483" i="63"/>
  <c r="I480" i="63"/>
  <c r="I479" i="63"/>
  <c r="I478" i="63"/>
  <c r="I477" i="63"/>
  <c r="I476" i="63"/>
  <c r="I474" i="63"/>
  <c r="I473" i="63"/>
  <c r="I472" i="63"/>
  <c r="I471" i="63"/>
  <c r="I467" i="63"/>
  <c r="I466" i="63"/>
  <c r="I468" i="63"/>
  <c r="I465" i="63"/>
  <c r="I464" i="63"/>
  <c r="I463" i="63"/>
  <c r="I462" i="63"/>
  <c r="I461" i="63"/>
  <c r="I460" i="63"/>
  <c r="I459" i="63"/>
  <c r="I456" i="63"/>
  <c r="I455" i="63"/>
  <c r="I454" i="63"/>
  <c r="I453" i="63"/>
  <c r="I450" i="63"/>
  <c r="I448" i="63"/>
  <c r="K410" i="63"/>
  <c r="L410" i="63" s="1"/>
  <c r="I414" i="63"/>
  <c r="I415" i="63"/>
  <c r="I413" i="63"/>
  <c r="I410" i="63"/>
  <c r="I408" i="63"/>
  <c r="I407" i="63"/>
  <c r="I406" i="63"/>
  <c r="I404" i="63"/>
  <c r="I401" i="63"/>
  <c r="I400" i="63"/>
  <c r="I398" i="63"/>
  <c r="I397" i="63"/>
  <c r="I396" i="63"/>
  <c r="I395" i="63"/>
  <c r="I394" i="63"/>
  <c r="I393" i="63"/>
  <c r="I392" i="63"/>
  <c r="I391" i="63"/>
  <c r="I389" i="63"/>
  <c r="I387" i="63"/>
  <c r="I386" i="63"/>
  <c r="I383" i="63"/>
  <c r="M411" i="63"/>
  <c r="G23" i="69" s="1"/>
  <c r="J411" i="63"/>
  <c r="I346" i="63"/>
  <c r="I341" i="63"/>
  <c r="I339" i="63"/>
  <c r="I335" i="63"/>
  <c r="I338" i="63"/>
  <c r="I337" i="63"/>
  <c r="I336" i="63"/>
  <c r="I332" i="63"/>
  <c r="I331" i="63"/>
  <c r="I330" i="63"/>
  <c r="I329" i="63"/>
  <c r="I328" i="63"/>
  <c r="I327" i="63"/>
  <c r="I326" i="63"/>
  <c r="I325" i="63"/>
  <c r="I324" i="63"/>
  <c r="I323" i="63"/>
  <c r="I321" i="63"/>
  <c r="I320" i="63"/>
  <c r="I319" i="63"/>
  <c r="I315" i="63"/>
  <c r="I313" i="63"/>
  <c r="M342" i="63"/>
  <c r="G22" i="69" s="1"/>
  <c r="K341" i="63"/>
  <c r="L341" i="63" s="1"/>
  <c r="J342" i="63"/>
  <c r="I277" i="63"/>
  <c r="I276" i="63"/>
  <c r="L273" i="63"/>
  <c r="M274" i="63"/>
  <c r="G21" i="69" s="1"/>
  <c r="J274" i="63"/>
  <c r="I273" i="63"/>
  <c r="I271" i="63"/>
  <c r="I270" i="63"/>
  <c r="I268" i="63"/>
  <c r="I267" i="63"/>
  <c r="I266" i="63"/>
  <c r="I263" i="63"/>
  <c r="I262" i="63"/>
  <c r="I260" i="63"/>
  <c r="I259" i="63"/>
  <c r="I258" i="63"/>
  <c r="I257" i="63"/>
  <c r="I256" i="63"/>
  <c r="I255" i="63"/>
  <c r="I254" i="63"/>
  <c r="I252" i="63"/>
  <c r="I250" i="63"/>
  <c r="I249" i="63"/>
  <c r="I247" i="63"/>
  <c r="I246" i="63"/>
  <c r="I244" i="63"/>
  <c r="I205" i="63"/>
  <c r="J203" i="63"/>
  <c r="I202" i="63"/>
  <c r="I201" i="63"/>
  <c r="I199" i="63"/>
  <c r="I198" i="63"/>
  <c r="I196" i="63"/>
  <c r="I189" i="63"/>
  <c r="I181" i="63"/>
  <c r="I193" i="63"/>
  <c r="I192" i="63"/>
  <c r="I191" i="63"/>
  <c r="I190" i="63"/>
  <c r="I188" i="63"/>
  <c r="I187" i="63"/>
  <c r="I186" i="63"/>
  <c r="I185" i="63"/>
  <c r="I183" i="63"/>
  <c r="I179" i="63"/>
  <c r="I178" i="63"/>
  <c r="I177" i="63"/>
  <c r="I175" i="63"/>
  <c r="I141" i="63"/>
  <c r="I137" i="63"/>
  <c r="I136" i="63"/>
  <c r="J134" i="63"/>
  <c r="K133" i="63"/>
  <c r="L133" i="63" s="1"/>
  <c r="I133" i="63"/>
  <c r="I131" i="63"/>
  <c r="I130" i="63"/>
  <c r="I129" i="63"/>
  <c r="I128" i="63"/>
  <c r="I127" i="63"/>
  <c r="I126" i="63"/>
  <c r="I125" i="63"/>
  <c r="I123" i="63"/>
  <c r="I122" i="63"/>
  <c r="I121" i="63"/>
  <c r="I120" i="63"/>
  <c r="I117" i="63"/>
  <c r="I116" i="63"/>
  <c r="I114" i="63"/>
  <c r="I113" i="63"/>
  <c r="I112" i="63"/>
  <c r="I111" i="63"/>
  <c r="I110" i="63"/>
  <c r="I109" i="63"/>
  <c r="I106" i="63"/>
  <c r="I102" i="63"/>
  <c r="I101" i="63"/>
  <c r="I100" i="63"/>
  <c r="I98" i="63"/>
  <c r="I68" i="63"/>
  <c r="I66" i="63"/>
  <c r="I65" i="63"/>
  <c r="I64" i="63"/>
  <c r="I61" i="63"/>
  <c r="I58" i="63"/>
  <c r="I57" i="63"/>
  <c r="I56" i="63"/>
  <c r="I55" i="63"/>
  <c r="I54" i="63"/>
  <c r="I53" i="63"/>
  <c r="I52" i="63"/>
  <c r="I50" i="63"/>
  <c r="I49" i="63"/>
  <c r="I48" i="63"/>
  <c r="I45" i="63"/>
  <c r="I44" i="63"/>
  <c r="I43" i="63"/>
  <c r="I42" i="63"/>
  <c r="I41" i="63"/>
  <c r="I40" i="63"/>
  <c r="I39" i="63"/>
  <c r="I38" i="63"/>
  <c r="I33" i="63"/>
  <c r="I36" i="63"/>
  <c r="I35" i="63"/>
  <c r="I34" i="63"/>
  <c r="I31" i="63"/>
  <c r="I30" i="63"/>
  <c r="I28" i="63"/>
  <c r="I27" i="63"/>
  <c r="I25" i="63"/>
  <c r="I24" i="63"/>
  <c r="I545" i="63" l="1"/>
  <c r="I610" i="63"/>
  <c r="I203" i="63"/>
  <c r="I274" i="63"/>
  <c r="I411" i="63"/>
  <c r="I342" i="63"/>
  <c r="L202" i="63"/>
  <c r="N1204" i="64" l="1"/>
  <c r="N1066" i="64"/>
  <c r="N1061" i="64"/>
  <c r="N1050" i="64"/>
  <c r="N1002" i="64"/>
  <c r="N994" i="64"/>
  <c r="N990" i="64"/>
  <c r="N984" i="64"/>
  <c r="N928" i="64"/>
  <c r="N924" i="64"/>
  <c r="N904" i="64"/>
  <c r="N708" i="64"/>
  <c r="N703" i="64"/>
  <c r="N698" i="64"/>
  <c r="N657" i="64"/>
  <c r="N560" i="64"/>
  <c r="N555" i="64"/>
  <c r="N478" i="64"/>
  <c r="N406" i="64"/>
  <c r="N400" i="64"/>
  <c r="N322" i="64"/>
  <c r="N243" i="64"/>
  <c r="N91" i="64"/>
  <c r="N37" i="64"/>
  <c r="N32" i="64"/>
  <c r="J201" i="64"/>
  <c r="M182" i="64" l="1"/>
  <c r="O182" i="64" s="1"/>
  <c r="M178" i="64"/>
  <c r="O178" i="64" s="1"/>
  <c r="M174" i="64"/>
  <c r="O174" i="64" s="1"/>
  <c r="M170" i="64"/>
  <c r="O170" i="64" s="1"/>
  <c r="M166" i="64"/>
  <c r="O166" i="64" s="1"/>
  <c r="J797" i="64" l="1"/>
  <c r="L201" i="64"/>
  <c r="M1191" i="64"/>
  <c r="O1191" i="64" s="1"/>
  <c r="M1188" i="64"/>
  <c r="J1215" i="64"/>
  <c r="L1167" i="64"/>
  <c r="M321" i="64"/>
  <c r="O321" i="64" s="1"/>
  <c r="J66" i="64"/>
  <c r="J63" i="64"/>
  <c r="J60" i="64"/>
  <c r="J57" i="64"/>
  <c r="M250" i="64" l="1"/>
  <c r="O250" i="64" s="1"/>
  <c r="J69" i="64"/>
  <c r="J123" i="64"/>
  <c r="M625" i="64"/>
  <c r="O625" i="64" s="1"/>
  <c r="M545" i="64"/>
  <c r="O545" i="64" s="1"/>
  <c r="J124" i="64" l="1"/>
  <c r="M97" i="64"/>
  <c r="O97" i="64" s="1"/>
  <c r="M20" i="64"/>
  <c r="O20" i="64" s="1"/>
  <c r="M66" i="64"/>
  <c r="O66" i="64" s="1"/>
  <c r="M256" i="64"/>
  <c r="O256" i="64" s="1"/>
  <c r="M63" i="64"/>
  <c r="O63" i="64" s="1"/>
  <c r="M60" i="64"/>
  <c r="O60" i="64" s="1"/>
  <c r="M57" i="64"/>
  <c r="O57" i="64" s="1"/>
  <c r="M50" i="64"/>
  <c r="O50" i="64" s="1"/>
  <c r="M975" i="64"/>
  <c r="O975" i="64" s="1"/>
  <c r="M1009" i="64"/>
  <c r="O1009" i="64" s="1"/>
  <c r="M1005" i="64"/>
  <c r="O1005" i="64" s="1"/>
  <c r="M832" i="64"/>
  <c r="O832" i="64" s="1"/>
  <c r="M836" i="64" l="1"/>
  <c r="O836" i="64" s="1"/>
  <c r="M848" i="64"/>
  <c r="O848" i="64" s="1"/>
  <c r="M856" i="64"/>
  <c r="O856" i="64" s="1"/>
  <c r="L388" i="63"/>
  <c r="M69" i="63" l="1"/>
  <c r="I18" i="69" s="1"/>
  <c r="J69" i="63"/>
  <c r="J1303" i="64" l="1"/>
  <c r="M1270" i="64"/>
  <c r="O1270" i="64" s="1"/>
  <c r="M1264" i="64"/>
  <c r="O1264" i="64" s="1"/>
  <c r="O1303" i="64" s="1"/>
  <c r="M1129" i="64"/>
  <c r="O1129" i="64" s="1"/>
  <c r="M1144" i="64"/>
  <c r="O1144" i="64" s="1"/>
  <c r="M1141" i="64"/>
  <c r="O1141" i="64" s="1"/>
  <c r="J1167" i="64"/>
  <c r="M1147" i="64"/>
  <c r="O1147" i="64" s="1"/>
  <c r="M1208" i="64"/>
  <c r="O1208" i="64" s="1"/>
  <c r="M1203" i="64"/>
  <c r="O1203" i="64" s="1"/>
  <c r="M1200" i="64"/>
  <c r="O1200" i="64" s="1"/>
  <c r="M1197" i="64"/>
  <c r="O1197" i="64" s="1"/>
  <c r="M1194" i="64"/>
  <c r="O1194" i="64" s="1"/>
  <c r="M1165" i="64"/>
  <c r="O1165" i="64" s="1"/>
  <c r="M1162" i="64"/>
  <c r="O1162" i="64" s="1"/>
  <c r="M1159" i="64"/>
  <c r="O1159" i="64" s="1"/>
  <c r="M1156" i="64"/>
  <c r="O1156" i="64" s="1"/>
  <c r="M1153" i="64"/>
  <c r="O1153" i="64" s="1"/>
  <c r="M1150" i="64"/>
  <c r="O1150" i="64" s="1"/>
  <c r="M1138" i="64"/>
  <c r="O1138" i="64" s="1"/>
  <c r="M1135" i="64"/>
  <c r="O1135" i="64" s="1"/>
  <c r="M1132" i="64"/>
  <c r="O1132" i="64" s="1"/>
  <c r="M1126" i="64"/>
  <c r="O1126" i="64" s="1"/>
  <c r="M1123" i="64"/>
  <c r="O1123" i="64" s="1"/>
  <c r="M1120" i="64"/>
  <c r="O1120" i="64" s="1"/>
  <c r="M1117" i="64"/>
  <c r="O1117" i="64" s="1"/>
  <c r="J1084" i="64"/>
  <c r="M1065" i="64"/>
  <c r="O1065" i="64" s="1"/>
  <c r="M1060" i="64"/>
  <c r="O1060" i="64" s="1"/>
  <c r="M1057" i="64"/>
  <c r="O1057" i="64" s="1"/>
  <c r="M1054" i="64"/>
  <c r="O1054" i="64" s="1"/>
  <c r="M1049" i="64"/>
  <c r="O1049" i="64" s="1"/>
  <c r="M1045" i="64"/>
  <c r="O1045" i="64" s="1"/>
  <c r="J1016" i="64"/>
  <c r="M1011" i="64"/>
  <c r="O1011" i="64" s="1"/>
  <c r="M1007" i="64"/>
  <c r="O1007" i="64" s="1"/>
  <c r="M1001" i="64"/>
  <c r="O1001" i="64" s="1"/>
  <c r="M999" i="64"/>
  <c r="O999" i="64" s="1"/>
  <c r="M997" i="64"/>
  <c r="O997" i="64" s="1"/>
  <c r="M993" i="64"/>
  <c r="O993" i="64" s="1"/>
  <c r="M989" i="64"/>
  <c r="O989" i="64" s="1"/>
  <c r="M987" i="64"/>
  <c r="O987" i="64" s="1"/>
  <c r="M983" i="64"/>
  <c r="O983" i="64" s="1"/>
  <c r="M981" i="64"/>
  <c r="O981" i="64" s="1"/>
  <c r="M979" i="64"/>
  <c r="O979" i="64" s="1"/>
  <c r="M977" i="64"/>
  <c r="O977" i="64" s="1"/>
  <c r="M972" i="64"/>
  <c r="O972" i="64" s="1"/>
  <c r="J939" i="64"/>
  <c r="M899" i="64"/>
  <c r="O899" i="64" s="1"/>
  <c r="M927" i="64"/>
  <c r="O927" i="64" s="1"/>
  <c r="M923" i="64"/>
  <c r="O923" i="64" s="1"/>
  <c r="M919" i="64"/>
  <c r="O919" i="64" s="1"/>
  <c r="M915" i="64"/>
  <c r="O915" i="64" s="1"/>
  <c r="M911" i="64"/>
  <c r="O911" i="64" s="1"/>
  <c r="M907" i="64"/>
  <c r="O907" i="64" s="1"/>
  <c r="M903" i="64"/>
  <c r="O903" i="64" s="1"/>
  <c r="M894" i="64"/>
  <c r="L861" i="64"/>
  <c r="J861" i="64"/>
  <c r="M844" i="64"/>
  <c r="O844" i="64" s="1"/>
  <c r="M840" i="64"/>
  <c r="O840" i="64" s="1"/>
  <c r="M852" i="64"/>
  <c r="O852" i="64" s="1"/>
  <c r="M827" i="64"/>
  <c r="O827" i="64" s="1"/>
  <c r="L797" i="64"/>
  <c r="M767" i="64"/>
  <c r="O767" i="64" s="1"/>
  <c r="M763" i="64"/>
  <c r="O763" i="64" s="1"/>
  <c r="M758" i="64"/>
  <c r="O758" i="64" s="1"/>
  <c r="J725" i="64"/>
  <c r="M712" i="64"/>
  <c r="O712" i="64" s="1"/>
  <c r="M707" i="64"/>
  <c r="O707" i="64" s="1"/>
  <c r="M702" i="64"/>
  <c r="O702" i="64" s="1"/>
  <c r="M697" i="64"/>
  <c r="O697" i="64" s="1"/>
  <c r="M693" i="64"/>
  <c r="O693" i="64" s="1"/>
  <c r="M689" i="64"/>
  <c r="O689" i="64" s="1"/>
  <c r="J661" i="64"/>
  <c r="M656" i="64"/>
  <c r="O656" i="64" s="1"/>
  <c r="M653" i="64"/>
  <c r="O653" i="64" s="1"/>
  <c r="M650" i="64"/>
  <c r="O650" i="64" s="1"/>
  <c r="M647" i="64"/>
  <c r="O647" i="64" s="1"/>
  <c r="M644" i="64"/>
  <c r="O644" i="64" s="1"/>
  <c r="M641" i="64"/>
  <c r="O641" i="64" s="1"/>
  <c r="M638" i="64"/>
  <c r="O638" i="64" s="1"/>
  <c r="M635" i="64"/>
  <c r="O635" i="64" s="1"/>
  <c r="M632" i="64"/>
  <c r="O632" i="64" s="1"/>
  <c r="M628" i="64"/>
  <c r="O628" i="64" s="1"/>
  <c r="M620" i="64"/>
  <c r="M615" i="64"/>
  <c r="O615" i="64" s="1"/>
  <c r="J585" i="64"/>
  <c r="M548" i="64"/>
  <c r="O548" i="64" s="1"/>
  <c r="M559" i="64"/>
  <c r="O559" i="64" s="1"/>
  <c r="M554" i="64"/>
  <c r="O554" i="64" s="1"/>
  <c r="M551" i="64"/>
  <c r="O551" i="64" s="1"/>
  <c r="M541" i="64"/>
  <c r="O541" i="64" s="1"/>
  <c r="J508" i="64"/>
  <c r="M477" i="64"/>
  <c r="O477" i="64" s="1"/>
  <c r="M473" i="64"/>
  <c r="O473" i="64" s="1"/>
  <c r="M469" i="64"/>
  <c r="O469" i="64" s="1"/>
  <c r="J437" i="64"/>
  <c r="M405" i="64"/>
  <c r="O405" i="64" s="1"/>
  <c r="M399" i="64"/>
  <c r="O399" i="64" s="1"/>
  <c r="M395" i="64"/>
  <c r="O395" i="64" s="1"/>
  <c r="L360" i="64"/>
  <c r="L1328" i="64" s="1"/>
  <c r="J360" i="64"/>
  <c r="M327" i="64"/>
  <c r="O327" i="64" s="1"/>
  <c r="O360" i="64" s="1"/>
  <c r="M331" i="64"/>
  <c r="O331" i="64" s="1"/>
  <c r="J271" i="64"/>
  <c r="M259" i="64"/>
  <c r="O259" i="64" s="1"/>
  <c r="M253" i="64"/>
  <c r="O253" i="64" s="1"/>
  <c r="M247" i="64"/>
  <c r="O247" i="64" s="1"/>
  <c r="M242" i="64"/>
  <c r="O242" i="64" s="1"/>
  <c r="M239" i="64"/>
  <c r="O239" i="64" s="1"/>
  <c r="M236" i="64"/>
  <c r="O236" i="64" s="1"/>
  <c r="M232" i="64"/>
  <c r="O232" i="64" s="1"/>
  <c r="M195" i="64"/>
  <c r="O195" i="64" s="1"/>
  <c r="M190" i="64"/>
  <c r="O190" i="64" s="1"/>
  <c r="M186" i="64"/>
  <c r="M162" i="64"/>
  <c r="O162" i="64" s="1"/>
  <c r="M158" i="64"/>
  <c r="O158" i="64" s="1"/>
  <c r="M154" i="64"/>
  <c r="O154" i="64" s="1"/>
  <c r="M90" i="64"/>
  <c r="O90" i="64" s="1"/>
  <c r="M87" i="64"/>
  <c r="O87" i="64" s="1"/>
  <c r="M54" i="64"/>
  <c r="O54" i="64" s="1"/>
  <c r="M47" i="64"/>
  <c r="O47" i="64" s="1"/>
  <c r="M44" i="64"/>
  <c r="O44" i="64" s="1"/>
  <c r="M41" i="64"/>
  <c r="O41" i="64" s="1"/>
  <c r="M36" i="64"/>
  <c r="O36" i="64" s="1"/>
  <c r="M31" i="64"/>
  <c r="O31" i="64" s="1"/>
  <c r="M26" i="64"/>
  <c r="O26" i="64" s="1"/>
  <c r="M23" i="64"/>
  <c r="O23" i="64" s="1"/>
  <c r="M15" i="64"/>
  <c r="O15" i="64" s="1"/>
  <c r="O201" i="64" l="1"/>
  <c r="O661" i="64"/>
  <c r="O861" i="64"/>
  <c r="O1016" i="64"/>
  <c r="O585" i="64"/>
  <c r="O1218" i="64"/>
  <c r="O437" i="64"/>
  <c r="O797" i="64"/>
  <c r="O69" i="64"/>
  <c r="O725" i="64"/>
  <c r="O1167" i="64"/>
  <c r="O123" i="64"/>
  <c r="O271" i="64"/>
  <c r="O508" i="64"/>
  <c r="O939" i="64"/>
  <c r="O1084" i="64"/>
  <c r="M1215" i="64"/>
  <c r="M123" i="64"/>
  <c r="M508" i="64"/>
  <c r="M201" i="64"/>
  <c r="M69" i="64"/>
  <c r="M271" i="64"/>
  <c r="J1218" i="64"/>
  <c r="M861" i="64"/>
  <c r="J272" i="64"/>
  <c r="M661" i="64"/>
  <c r="M585" i="64"/>
  <c r="M437" i="64"/>
  <c r="M725" i="64"/>
  <c r="M1084" i="64"/>
  <c r="M1167" i="64"/>
  <c r="M1303" i="64"/>
  <c r="M360" i="64"/>
  <c r="M939" i="64"/>
  <c r="M1016" i="64"/>
  <c r="M797" i="64"/>
  <c r="J1328" i="64" l="1"/>
  <c r="O1329" i="64"/>
  <c r="O1330" i="64" s="1"/>
  <c r="O1328" i="64"/>
  <c r="M124" i="64"/>
  <c r="J1329" i="64"/>
  <c r="J1330" i="64" s="1"/>
  <c r="M272" i="64"/>
  <c r="M1218" i="64"/>
  <c r="M1328" i="64" l="1"/>
  <c r="M1329" i="64"/>
  <c r="M1330" i="64" s="1"/>
  <c r="L11" i="45" l="1"/>
  <c r="J142" i="63" l="1"/>
  <c r="M142" i="63"/>
  <c r="L50" i="45" l="1"/>
  <c r="I130" i="16" l="1"/>
  <c r="I129" i="16"/>
  <c r="I127" i="16"/>
  <c r="I125" i="16"/>
  <c r="I124" i="16"/>
  <c r="I123" i="16"/>
  <c r="I122" i="16"/>
  <c r="I121" i="16"/>
  <c r="I116" i="16"/>
  <c r="I113" i="16"/>
  <c r="I104" i="16"/>
  <c r="I51" i="16"/>
  <c r="J51" i="16" s="1"/>
  <c r="I48" i="16"/>
  <c r="I47" i="16"/>
  <c r="I41" i="16"/>
  <c r="I40" i="16"/>
  <c r="I38" i="16"/>
  <c r="I37" i="16"/>
  <c r="I35" i="16"/>
  <c r="I32" i="16"/>
  <c r="I31" i="16"/>
  <c r="I27" i="16"/>
  <c r="I26" i="16"/>
  <c r="I24" i="16"/>
  <c r="I126" i="16"/>
  <c r="I33" i="16"/>
  <c r="I28" i="16"/>
  <c r="K1017" i="63"/>
  <c r="K1016" i="63"/>
  <c r="K1015" i="63"/>
  <c r="K993" i="63"/>
  <c r="K988" i="63"/>
  <c r="K949" i="63"/>
  <c r="K947" i="63"/>
  <c r="K943" i="63"/>
  <c r="K942" i="63"/>
  <c r="K941" i="63"/>
  <c r="K939" i="63"/>
  <c r="K938" i="63"/>
  <c r="K931" i="63"/>
  <c r="K945" i="63" l="1"/>
  <c r="K1019" i="63"/>
  <c r="L991" i="63"/>
  <c r="H198" i="16"/>
  <c r="H53" i="16"/>
  <c r="M53" i="16" s="1"/>
  <c r="I53" i="16"/>
  <c r="K933" i="63" l="1"/>
  <c r="L927" i="63"/>
  <c r="K925" i="63"/>
  <c r="K924" i="63"/>
  <c r="K923" i="63"/>
  <c r="K922" i="63"/>
  <c r="M888" i="63"/>
  <c r="J888" i="63"/>
  <c r="I888" i="63"/>
  <c r="L887" i="63"/>
  <c r="K883" i="63"/>
  <c r="K857" i="63"/>
  <c r="K870" i="63"/>
  <c r="K868" i="63"/>
  <c r="K864" i="63"/>
  <c r="K863" i="63"/>
  <c r="L862" i="63"/>
  <c r="K817" i="63"/>
  <c r="K821" i="63" s="1"/>
  <c r="L796" i="63"/>
  <c r="K747" i="63"/>
  <c r="K746" i="63"/>
  <c r="K745" i="63"/>
  <c r="K744" i="63"/>
  <c r="K742" i="63"/>
  <c r="L737" i="63"/>
  <c r="K735" i="63"/>
  <c r="K733" i="63"/>
  <c r="L727" i="63"/>
  <c r="K729" i="63"/>
  <c r="K725" i="63"/>
  <c r="K724" i="63"/>
  <c r="K723" i="63"/>
  <c r="K722" i="63"/>
  <c r="K721" i="63"/>
  <c r="K743" i="63"/>
  <c r="K681" i="63"/>
  <c r="K677" i="63"/>
  <c r="K676" i="63"/>
  <c r="K674" i="63"/>
  <c r="K673" i="63"/>
  <c r="L659" i="63"/>
  <c r="K612" i="63"/>
  <c r="K608" i="63"/>
  <c r="K607" i="63"/>
  <c r="K606" i="63"/>
  <c r="K604" i="63"/>
  <c r="K603" i="63"/>
  <c r="K602" i="63"/>
  <c r="L598" i="63"/>
  <c r="L588" i="63"/>
  <c r="K543" i="63"/>
  <c r="K542" i="63"/>
  <c r="K541" i="63"/>
  <c r="K540" i="63"/>
  <c r="K538" i="63"/>
  <c r="K526" i="63"/>
  <c r="L524" i="63"/>
  <c r="K522" i="63"/>
  <c r="K521" i="63"/>
  <c r="K520" i="63"/>
  <c r="K519" i="63"/>
  <c r="K518" i="63"/>
  <c r="L485" i="63"/>
  <c r="K475" i="63"/>
  <c r="K455" i="63"/>
  <c r="L484" i="63"/>
  <c r="K477" i="63"/>
  <c r="K476" i="63"/>
  <c r="J481" i="63"/>
  <c r="L456" i="63"/>
  <c r="K452" i="63"/>
  <c r="K451" i="63"/>
  <c r="L392" i="63"/>
  <c r="L394" i="63"/>
  <c r="L387" i="63"/>
  <c r="L390" i="63"/>
  <c r="L381" i="63"/>
  <c r="K339" i="63"/>
  <c r="K337" i="63"/>
  <c r="K336" i="63"/>
  <c r="L321" i="63"/>
  <c r="K324" i="63"/>
  <c r="K323" i="63"/>
  <c r="K319" i="63"/>
  <c r="K318" i="63"/>
  <c r="K317" i="63"/>
  <c r="K316" i="63"/>
  <c r="K315" i="63"/>
  <c r="K545" i="63" l="1"/>
  <c r="K610" i="63"/>
  <c r="K683" i="63"/>
  <c r="M203" i="63"/>
  <c r="G20" i="69" s="1"/>
  <c r="M134" i="63"/>
  <c r="M264" i="63"/>
  <c r="K384" i="63"/>
  <c r="L384" i="63" s="1"/>
  <c r="L391" i="63"/>
  <c r="L397" i="63"/>
  <c r="K385" i="63"/>
  <c r="L385" i="63" s="1"/>
  <c r="L393" i="63"/>
  <c r="L398" i="63"/>
  <c r="K408" i="63"/>
  <c r="L386" i="63"/>
  <c r="L395" i="63"/>
  <c r="L400" i="63"/>
  <c r="K474" i="63"/>
  <c r="K479" i="63"/>
  <c r="L383" i="63"/>
  <c r="L389" i="63"/>
  <c r="L396" i="63"/>
  <c r="K888" i="63"/>
  <c r="L886" i="63"/>
  <c r="K689" i="63"/>
  <c r="L277" i="63"/>
  <c r="K272" i="63"/>
  <c r="K271" i="63"/>
  <c r="K270" i="63"/>
  <c r="K269" i="63"/>
  <c r="K267" i="63"/>
  <c r="K266" i="63"/>
  <c r="K260" i="63"/>
  <c r="K258" i="63"/>
  <c r="K254" i="63"/>
  <c r="L252" i="63"/>
  <c r="K250" i="63"/>
  <c r="K249" i="63"/>
  <c r="K206" i="63"/>
  <c r="K201" i="63"/>
  <c r="K199" i="63"/>
  <c r="L185" i="63"/>
  <c r="L184" i="63"/>
  <c r="L183" i="63"/>
  <c r="K182" i="63"/>
  <c r="L181" i="63"/>
  <c r="L180" i="63"/>
  <c r="K179" i="63"/>
  <c r="L179" i="63" s="1"/>
  <c r="K178" i="63"/>
  <c r="L178" i="63" s="1"/>
  <c r="K130" i="63"/>
  <c r="K129" i="63"/>
  <c r="K128" i="63"/>
  <c r="K125" i="63"/>
  <c r="K124" i="63"/>
  <c r="K123" i="63"/>
  <c r="K121" i="63"/>
  <c r="K120" i="63"/>
  <c r="L106" i="63"/>
  <c r="K102" i="63"/>
  <c r="K101" i="63"/>
  <c r="J125" i="45" l="1"/>
  <c r="F21" i="69"/>
  <c r="J21" i="69" s="1"/>
  <c r="K50" i="45"/>
  <c r="G19" i="69"/>
  <c r="L182" i="63"/>
  <c r="K481" i="63"/>
  <c r="K274" i="63"/>
  <c r="K203" i="63"/>
  <c r="G53" i="16" l="1"/>
  <c r="I481" i="63"/>
  <c r="I142" i="63" l="1"/>
  <c r="I124" i="63"/>
  <c r="I108" i="63"/>
  <c r="I104" i="63"/>
  <c r="I103" i="63"/>
  <c r="K63" i="63"/>
  <c r="K62" i="63"/>
  <c r="K58" i="63"/>
  <c r="K53" i="63"/>
  <c r="K52" i="63"/>
  <c r="K51" i="63"/>
  <c r="K49" i="63"/>
  <c r="K45" i="63"/>
  <c r="K32" i="63"/>
  <c r="K29" i="63"/>
  <c r="I69" i="63"/>
  <c r="M59" i="63"/>
  <c r="J59" i="63"/>
  <c r="I59" i="63"/>
  <c r="K11" i="45" l="1"/>
  <c r="G18" i="69"/>
  <c r="I134" i="63"/>
  <c r="L25" i="63"/>
  <c r="L58" i="63"/>
  <c r="L36" i="63"/>
  <c r="I272" i="13"/>
  <c r="I271" i="13"/>
  <c r="I270" i="13"/>
  <c r="I269" i="13"/>
  <c r="I268" i="13"/>
  <c r="I267" i="13"/>
  <c r="I266" i="13"/>
  <c r="I265" i="13"/>
  <c r="I264" i="13"/>
  <c r="I258" i="13"/>
  <c r="I257" i="13"/>
  <c r="I256" i="13"/>
  <c r="I255" i="13"/>
  <c r="I254" i="13"/>
  <c r="I253" i="13"/>
  <c r="I252" i="13"/>
  <c r="I251" i="13"/>
  <c r="I250" i="13"/>
  <c r="I249" i="13"/>
  <c r="I248" i="13"/>
  <c r="I247" i="13"/>
  <c r="I246" i="13"/>
  <c r="I245" i="13"/>
  <c r="I244" i="13"/>
  <c r="I243" i="13"/>
  <c r="I242" i="13"/>
  <c r="I241" i="13"/>
  <c r="I104" i="13"/>
  <c r="I28" i="13"/>
  <c r="H95" i="5"/>
  <c r="H65" i="5"/>
  <c r="K1028" i="63"/>
  <c r="L1028" i="63" s="1"/>
  <c r="K1026" i="63"/>
  <c r="J1026" i="63"/>
  <c r="I1026" i="63"/>
  <c r="L1025" i="63"/>
  <c r="L1024" i="63"/>
  <c r="L1023" i="63"/>
  <c r="M1026" i="63"/>
  <c r="L1022" i="63"/>
  <c r="L1021" i="63"/>
  <c r="L1017" i="63"/>
  <c r="L1016" i="63"/>
  <c r="L1015" i="63"/>
  <c r="L1014" i="63"/>
  <c r="L1013" i="63"/>
  <c r="L1012" i="63"/>
  <c r="L1011" i="63"/>
  <c r="L1010" i="63"/>
  <c r="L1009" i="63"/>
  <c r="L1008" i="63"/>
  <c r="L1004" i="63"/>
  <c r="L1003" i="63"/>
  <c r="K1002" i="63"/>
  <c r="K1006" i="63" s="1"/>
  <c r="L1001" i="63"/>
  <c r="L1000" i="63"/>
  <c r="L999" i="63"/>
  <c r="L998" i="63"/>
  <c r="L997" i="63"/>
  <c r="L996" i="63"/>
  <c r="L995" i="63"/>
  <c r="L994" i="63"/>
  <c r="L993" i="63"/>
  <c r="L992" i="63"/>
  <c r="L990" i="63"/>
  <c r="L989" i="63"/>
  <c r="L988" i="63"/>
  <c r="L987" i="63"/>
  <c r="L986" i="63"/>
  <c r="L984" i="63"/>
  <c r="J950" i="63"/>
  <c r="I950" i="63"/>
  <c r="L949" i="63"/>
  <c r="M950" i="63"/>
  <c r="L948" i="63"/>
  <c r="L947" i="63"/>
  <c r="L943" i="63"/>
  <c r="L942" i="63"/>
  <c r="L941" i="63"/>
  <c r="L940" i="63"/>
  <c r="L939" i="63"/>
  <c r="M936" i="63"/>
  <c r="F31" i="69" s="1"/>
  <c r="J31" i="69" s="1"/>
  <c r="I936" i="63"/>
  <c r="L935" i="63"/>
  <c r="J936" i="63"/>
  <c r="L933" i="63"/>
  <c r="L932" i="63"/>
  <c r="L931" i="63"/>
  <c r="L930" i="63"/>
  <c r="L929" i="63"/>
  <c r="L928" i="63"/>
  <c r="L926" i="63"/>
  <c r="L925" i="63"/>
  <c r="L924" i="63"/>
  <c r="L923" i="63"/>
  <c r="L922" i="63"/>
  <c r="L885" i="63"/>
  <c r="L888" i="63" s="1"/>
  <c r="I103" i="13"/>
  <c r="L881" i="63"/>
  <c r="L880" i="63"/>
  <c r="L879" i="63"/>
  <c r="L878" i="63"/>
  <c r="L877" i="63"/>
  <c r="L876" i="63"/>
  <c r="M874" i="63"/>
  <c r="F30" i="69" s="1"/>
  <c r="J30" i="69" s="1"/>
  <c r="L873" i="63"/>
  <c r="L872" i="63"/>
  <c r="L870" i="63"/>
  <c r="L869" i="63"/>
  <c r="L868" i="63"/>
  <c r="L867" i="63"/>
  <c r="I874" i="63"/>
  <c r="L866" i="63"/>
  <c r="L865" i="63"/>
  <c r="L864" i="63"/>
  <c r="L863" i="63"/>
  <c r="L861" i="63"/>
  <c r="K860" i="63"/>
  <c r="L860" i="63" s="1"/>
  <c r="K859" i="63"/>
  <c r="L859" i="63" s="1"/>
  <c r="K858" i="63"/>
  <c r="L858" i="63" s="1"/>
  <c r="L857" i="63"/>
  <c r="J826" i="63"/>
  <c r="I826" i="63"/>
  <c r="L825" i="63"/>
  <c r="M826" i="63"/>
  <c r="L824" i="63"/>
  <c r="K826" i="63"/>
  <c r="L819" i="63"/>
  <c r="L818" i="63"/>
  <c r="L817" i="63"/>
  <c r="L815" i="63"/>
  <c r="L814" i="63"/>
  <c r="L813" i="63"/>
  <c r="L812" i="63"/>
  <c r="L811" i="63"/>
  <c r="M809" i="63"/>
  <c r="K808" i="63"/>
  <c r="L807" i="63"/>
  <c r="L806" i="63"/>
  <c r="L805" i="63"/>
  <c r="L804" i="63"/>
  <c r="L803" i="63"/>
  <c r="L802" i="63"/>
  <c r="I809" i="63"/>
  <c r="L801" i="63"/>
  <c r="L799" i="63"/>
  <c r="L798" i="63"/>
  <c r="L797" i="63"/>
  <c r="L795" i="63"/>
  <c r="L794" i="63"/>
  <c r="L792" i="63"/>
  <c r="K791" i="63"/>
  <c r="L791" i="63" s="1"/>
  <c r="K790" i="63"/>
  <c r="L790" i="63" s="1"/>
  <c r="L789" i="63"/>
  <c r="L787" i="63"/>
  <c r="M757" i="63"/>
  <c r="I757" i="63"/>
  <c r="L756" i="63"/>
  <c r="L755" i="63"/>
  <c r="L753" i="63"/>
  <c r="K749" i="63"/>
  <c r="L747" i="63"/>
  <c r="L746" i="63"/>
  <c r="L745" i="63"/>
  <c r="L744" i="63"/>
  <c r="L743" i="63"/>
  <c r="L742" i="63"/>
  <c r="M739" i="63"/>
  <c r="F28" i="69" s="1"/>
  <c r="J28" i="69" s="1"/>
  <c r="J739" i="63"/>
  <c r="I739" i="63"/>
  <c r="L738" i="63"/>
  <c r="L736" i="63"/>
  <c r="L735" i="63"/>
  <c r="L734" i="63"/>
  <c r="L733" i="63"/>
  <c r="L732" i="63"/>
  <c r="L731" i="63"/>
  <c r="L730" i="63"/>
  <c r="L729" i="63"/>
  <c r="L728" i="63"/>
  <c r="L726" i="63"/>
  <c r="L725" i="63"/>
  <c r="L724" i="63"/>
  <c r="L723" i="63"/>
  <c r="L722" i="63"/>
  <c r="L721" i="63"/>
  <c r="J689" i="63"/>
  <c r="I689" i="63"/>
  <c r="L688" i="63"/>
  <c r="L687" i="63"/>
  <c r="L686" i="63"/>
  <c r="M689" i="63"/>
  <c r="L685" i="63"/>
  <c r="L681" i="63"/>
  <c r="L679" i="63"/>
  <c r="L678" i="63"/>
  <c r="L677" i="63"/>
  <c r="L676" i="63"/>
  <c r="L675" i="63"/>
  <c r="L673" i="63"/>
  <c r="M671" i="63"/>
  <c r="F27" i="69" s="1"/>
  <c r="J27" i="69" s="1"/>
  <c r="J671" i="63"/>
  <c r="I671" i="63"/>
  <c r="L670" i="63"/>
  <c r="L669" i="63"/>
  <c r="L668" i="63"/>
  <c r="L667" i="63"/>
  <c r="L666" i="63"/>
  <c r="L665" i="63"/>
  <c r="L664" i="63"/>
  <c r="L663" i="63"/>
  <c r="L662" i="63"/>
  <c r="L661" i="63"/>
  <c r="L660" i="63"/>
  <c r="L658" i="63"/>
  <c r="L657" i="63"/>
  <c r="L656" i="63"/>
  <c r="L655" i="63"/>
  <c r="K654" i="63"/>
  <c r="L654" i="63" s="1"/>
  <c r="K653" i="63"/>
  <c r="L653" i="63" s="1"/>
  <c r="L652" i="63"/>
  <c r="M616" i="63"/>
  <c r="J616" i="63"/>
  <c r="I616" i="63"/>
  <c r="L615" i="63"/>
  <c r="L614" i="63"/>
  <c r="L613" i="63"/>
  <c r="L612" i="63"/>
  <c r="K616" i="63"/>
  <c r="L608" i="63"/>
  <c r="L607" i="63"/>
  <c r="L606" i="63"/>
  <c r="L605" i="63"/>
  <c r="L604" i="63"/>
  <c r="L603" i="63"/>
  <c r="L602" i="63"/>
  <c r="M600" i="63"/>
  <c r="F26" i="69" s="1"/>
  <c r="J26" i="69" s="1"/>
  <c r="J600" i="63"/>
  <c r="I600" i="63"/>
  <c r="K599" i="63"/>
  <c r="L599" i="63" s="1"/>
  <c r="L597" i="63"/>
  <c r="L596" i="63"/>
  <c r="L595" i="63"/>
  <c r="L594" i="63"/>
  <c r="L593" i="63"/>
  <c r="L592" i="63"/>
  <c r="L591" i="63"/>
  <c r="L590" i="63"/>
  <c r="L589" i="63"/>
  <c r="L587" i="63"/>
  <c r="L586" i="63"/>
  <c r="L585" i="63"/>
  <c r="K584" i="63"/>
  <c r="L584" i="63" s="1"/>
  <c r="K583" i="63"/>
  <c r="L583" i="63" s="1"/>
  <c r="L582" i="63"/>
  <c r="J551" i="63"/>
  <c r="I551" i="63"/>
  <c r="L550" i="63"/>
  <c r="M551" i="63"/>
  <c r="L549" i="63"/>
  <c r="L548" i="63"/>
  <c r="L547" i="63"/>
  <c r="L543" i="63"/>
  <c r="L542" i="63"/>
  <c r="L541" i="63"/>
  <c r="L540" i="63"/>
  <c r="L539" i="63"/>
  <c r="L538" i="63"/>
  <c r="M535" i="63"/>
  <c r="F25" i="69" s="1"/>
  <c r="J25" i="69" s="1"/>
  <c r="J535" i="63"/>
  <c r="K534" i="63"/>
  <c r="L534" i="63" s="1"/>
  <c r="L533" i="63"/>
  <c r="L532" i="63"/>
  <c r="L531" i="63"/>
  <c r="L530" i="63"/>
  <c r="L529" i="63"/>
  <c r="I535" i="63"/>
  <c r="L528" i="63"/>
  <c r="L527" i="63"/>
  <c r="L526" i="63"/>
  <c r="L525" i="63"/>
  <c r="L523" i="63"/>
  <c r="L522" i="63"/>
  <c r="L521" i="63"/>
  <c r="L520" i="63"/>
  <c r="L519" i="63"/>
  <c r="L516" i="63"/>
  <c r="M487" i="63"/>
  <c r="J487" i="63"/>
  <c r="I487" i="63"/>
  <c r="L486" i="63"/>
  <c r="L483" i="63"/>
  <c r="K487" i="63"/>
  <c r="L479" i="63"/>
  <c r="L478" i="63"/>
  <c r="L477" i="63"/>
  <c r="M481" i="63"/>
  <c r="G24" i="69" s="1"/>
  <c r="L476" i="63"/>
  <c r="L475" i="63"/>
  <c r="L474" i="63"/>
  <c r="L473" i="63"/>
  <c r="L472" i="63"/>
  <c r="L471" i="63"/>
  <c r="M469" i="63"/>
  <c r="F24" i="69" s="1"/>
  <c r="J469" i="63"/>
  <c r="K468" i="63"/>
  <c r="L468" i="63" s="1"/>
  <c r="L467" i="63"/>
  <c r="L465" i="63"/>
  <c r="L464" i="63"/>
  <c r="L463" i="63"/>
  <c r="L462" i="63"/>
  <c r="I469" i="63"/>
  <c r="L461" i="63"/>
  <c r="L460" i="63"/>
  <c r="L459" i="63"/>
  <c r="L458" i="63"/>
  <c r="L457" i="63"/>
  <c r="L455" i="63"/>
  <c r="L454" i="63"/>
  <c r="L453" i="63"/>
  <c r="L452" i="63"/>
  <c r="L451" i="63"/>
  <c r="L450" i="63"/>
  <c r="L448" i="63"/>
  <c r="M417" i="63"/>
  <c r="J417" i="63"/>
  <c r="I417" i="63"/>
  <c r="L416" i="63"/>
  <c r="L415" i="63"/>
  <c r="L414" i="63"/>
  <c r="L413" i="63"/>
  <c r="K409" i="63"/>
  <c r="L408" i="63"/>
  <c r="L407" i="63"/>
  <c r="L406" i="63"/>
  <c r="L405" i="63"/>
  <c r="L404" i="63"/>
  <c r="M402" i="63"/>
  <c r="F23" i="69" s="1"/>
  <c r="J23" i="69" s="1"/>
  <c r="J402" i="63"/>
  <c r="K401" i="63"/>
  <c r="L401" i="63" s="1"/>
  <c r="I402" i="63"/>
  <c r="J347" i="63"/>
  <c r="I347" i="63"/>
  <c r="M347" i="63"/>
  <c r="L346" i="63"/>
  <c r="L345" i="63"/>
  <c r="K344" i="63"/>
  <c r="L344" i="63" s="1"/>
  <c r="K340" i="63"/>
  <c r="L339" i="63"/>
  <c r="L338" i="63"/>
  <c r="L337" i="63"/>
  <c r="L336" i="63"/>
  <c r="L335" i="63"/>
  <c r="M333" i="63"/>
  <c r="F22" i="69" s="1"/>
  <c r="J22" i="69" s="1"/>
  <c r="J333" i="63"/>
  <c r="K332" i="63"/>
  <c r="L332" i="63" s="1"/>
  <c r="L331" i="63"/>
  <c r="K330" i="63"/>
  <c r="L330" i="63" s="1"/>
  <c r="L329" i="63"/>
  <c r="L328" i="63"/>
  <c r="L327" i="63"/>
  <c r="L326" i="63"/>
  <c r="L325" i="63"/>
  <c r="L324" i="63"/>
  <c r="L323" i="63"/>
  <c r="I333" i="63"/>
  <c r="L322" i="63"/>
  <c r="L320" i="63"/>
  <c r="L319" i="63"/>
  <c r="L318" i="63"/>
  <c r="L317" i="63"/>
  <c r="L316" i="63"/>
  <c r="L315" i="63"/>
  <c r="L313" i="63"/>
  <c r="M279" i="63"/>
  <c r="J279" i="63"/>
  <c r="I279" i="63"/>
  <c r="L278" i="63"/>
  <c r="K279" i="63"/>
  <c r="L276" i="63"/>
  <c r="L272" i="63"/>
  <c r="L271" i="63"/>
  <c r="L270" i="63"/>
  <c r="L269" i="63"/>
  <c r="L268" i="63"/>
  <c r="L267" i="63"/>
  <c r="L266" i="63"/>
  <c r="I45" i="13"/>
  <c r="J264" i="63"/>
  <c r="L263" i="63"/>
  <c r="L262" i="63"/>
  <c r="L260" i="63"/>
  <c r="L259" i="63"/>
  <c r="L258" i="63"/>
  <c r="L257" i="63"/>
  <c r="L256" i="63"/>
  <c r="L255" i="63"/>
  <c r="L254" i="63"/>
  <c r="L253" i="63"/>
  <c r="L251" i="63"/>
  <c r="L250" i="63"/>
  <c r="L249" i="63"/>
  <c r="K248" i="63"/>
  <c r="L248" i="63" s="1"/>
  <c r="K247" i="63"/>
  <c r="L247" i="63" s="1"/>
  <c r="L246" i="63"/>
  <c r="L244" i="63"/>
  <c r="J208" i="63"/>
  <c r="I208" i="63"/>
  <c r="M208" i="63"/>
  <c r="L207" i="63"/>
  <c r="L206" i="63"/>
  <c r="L205" i="63"/>
  <c r="L201" i="63"/>
  <c r="L200" i="63"/>
  <c r="L199" i="63"/>
  <c r="L198" i="63"/>
  <c r="L197" i="63"/>
  <c r="L196" i="63"/>
  <c r="M194" i="63"/>
  <c r="F20" i="69" s="1"/>
  <c r="J20" i="69" s="1"/>
  <c r="J194" i="63"/>
  <c r="L193" i="63"/>
  <c r="L192" i="63"/>
  <c r="L191" i="63"/>
  <c r="L190" i="63"/>
  <c r="L188" i="63"/>
  <c r="I194" i="63"/>
  <c r="L187" i="63"/>
  <c r="L186" i="63"/>
  <c r="L177" i="63"/>
  <c r="L175" i="63"/>
  <c r="K139" i="63"/>
  <c r="L136" i="63"/>
  <c r="K132" i="63"/>
  <c r="L131" i="63"/>
  <c r="L130" i="63"/>
  <c r="L129" i="63"/>
  <c r="L128" i="63"/>
  <c r="L127" i="63"/>
  <c r="I33" i="13"/>
  <c r="L126" i="63"/>
  <c r="L125" i="63"/>
  <c r="L124" i="63"/>
  <c r="L123" i="63"/>
  <c r="L122" i="63"/>
  <c r="L121" i="63"/>
  <c r="M118" i="63"/>
  <c r="F19" i="69" s="1"/>
  <c r="J19" i="69" s="1"/>
  <c r="K117" i="63"/>
  <c r="L117" i="63" s="1"/>
  <c r="L116" i="63"/>
  <c r="L115" i="63"/>
  <c r="L114" i="63"/>
  <c r="L113" i="63"/>
  <c r="L112" i="63"/>
  <c r="L111" i="63"/>
  <c r="I118" i="63"/>
  <c r="L110" i="63"/>
  <c r="L109" i="63"/>
  <c r="L108" i="63"/>
  <c r="L107" i="63"/>
  <c r="L105" i="63"/>
  <c r="L104" i="63"/>
  <c r="L103" i="63"/>
  <c r="L102" i="63"/>
  <c r="L101" i="63"/>
  <c r="L98" i="63"/>
  <c r="L68" i="63"/>
  <c r="I29" i="13"/>
  <c r="L66" i="63"/>
  <c r="L65" i="63"/>
  <c r="K69" i="63"/>
  <c r="L64" i="63"/>
  <c r="L63" i="63"/>
  <c r="L62" i="63"/>
  <c r="L61" i="63"/>
  <c r="L55" i="63"/>
  <c r="L54" i="63"/>
  <c r="L53" i="63"/>
  <c r="L52" i="63"/>
  <c r="L51" i="63"/>
  <c r="L50" i="63"/>
  <c r="L49" i="63"/>
  <c r="M46" i="63"/>
  <c r="F18" i="69" s="1"/>
  <c r="J46" i="63"/>
  <c r="L45" i="63"/>
  <c r="L44" i="63"/>
  <c r="L43" i="63"/>
  <c r="L42" i="63"/>
  <c r="L41" i="63"/>
  <c r="L40" i="63"/>
  <c r="L39" i="63"/>
  <c r="I46" i="63"/>
  <c r="L38" i="63"/>
  <c r="L37" i="63"/>
  <c r="L35" i="63"/>
  <c r="L34" i="63"/>
  <c r="L33" i="63"/>
  <c r="L32" i="63"/>
  <c r="L31" i="63"/>
  <c r="L30" i="63"/>
  <c r="L29" i="63"/>
  <c r="L28" i="63"/>
  <c r="L27" i="63"/>
  <c r="I33" i="69" l="1"/>
  <c r="H158" i="5"/>
  <c r="H161" i="5" s="1"/>
  <c r="J18" i="69"/>
  <c r="J24" i="69"/>
  <c r="I96" i="13"/>
  <c r="F29" i="69"/>
  <c r="J29" i="69" s="1"/>
  <c r="J33" i="69"/>
  <c r="I36" i="69"/>
  <c r="K134" i="63"/>
  <c r="K142" i="63"/>
  <c r="L139" i="63"/>
  <c r="L821" i="63"/>
  <c r="L883" i="63"/>
  <c r="L1019" i="63"/>
  <c r="L749" i="63"/>
  <c r="K751" i="63"/>
  <c r="L610" i="63"/>
  <c r="L481" i="63"/>
  <c r="L409" i="63"/>
  <c r="L411" i="63" s="1"/>
  <c r="K411" i="63"/>
  <c r="L274" i="63"/>
  <c r="L340" i="63"/>
  <c r="L342" i="63" s="1"/>
  <c r="K342" i="63"/>
  <c r="L203" i="63"/>
  <c r="L132" i="63"/>
  <c r="I59" i="13"/>
  <c r="L216" i="45"/>
  <c r="I86" i="13"/>
  <c r="L414" i="45"/>
  <c r="L406" i="45"/>
  <c r="I90" i="13"/>
  <c r="J469" i="45"/>
  <c r="I40" i="13"/>
  <c r="K94" i="45"/>
  <c r="I50" i="13"/>
  <c r="J158" i="45"/>
  <c r="I63" i="13"/>
  <c r="J261" i="45"/>
  <c r="I78" i="13"/>
  <c r="J345" i="45"/>
  <c r="H91" i="5"/>
  <c r="L345" i="45"/>
  <c r="L808" i="63"/>
  <c r="I108" i="13"/>
  <c r="J612" i="45"/>
  <c r="M1029" i="63"/>
  <c r="I92" i="13"/>
  <c r="L469" i="45"/>
  <c r="I32" i="13"/>
  <c r="J50" i="45"/>
  <c r="H68" i="5"/>
  <c r="K125" i="45"/>
  <c r="I52" i="13"/>
  <c r="L158" i="45"/>
  <c r="I58" i="13"/>
  <c r="K216" i="45"/>
  <c r="I72" i="13"/>
  <c r="J302" i="45"/>
  <c r="L793" i="63"/>
  <c r="I110" i="13"/>
  <c r="L612" i="45"/>
  <c r="L1002" i="63"/>
  <c r="H86" i="5"/>
  <c r="L125" i="45"/>
  <c r="I57" i="13"/>
  <c r="J216" i="45"/>
  <c r="I27" i="13"/>
  <c r="J11" i="45"/>
  <c r="L69" i="63"/>
  <c r="H34" i="5"/>
  <c r="J94" i="45"/>
  <c r="I41" i="13"/>
  <c r="L94" i="45"/>
  <c r="I51" i="13"/>
  <c r="K158" i="45"/>
  <c r="I65" i="13"/>
  <c r="L261" i="45"/>
  <c r="H72" i="5"/>
  <c r="K302" i="45"/>
  <c r="H90" i="5"/>
  <c r="L302" i="45"/>
  <c r="H41" i="5"/>
  <c r="J406" i="45"/>
  <c r="I98" i="13"/>
  <c r="L553" i="45"/>
  <c r="J717" i="45"/>
  <c r="I275" i="13"/>
  <c r="L717" i="45"/>
  <c r="I102" i="13"/>
  <c r="J553" i="45"/>
  <c r="I97" i="13"/>
  <c r="K553" i="45"/>
  <c r="M952" i="63"/>
  <c r="L142" i="63"/>
  <c r="K347" i="63"/>
  <c r="L823" i="63"/>
  <c r="L826" i="63" s="1"/>
  <c r="I263" i="13"/>
  <c r="K345" i="45"/>
  <c r="H87" i="5"/>
  <c r="I145" i="13"/>
  <c r="I143" i="13"/>
  <c r="L1026" i="63"/>
  <c r="J1029" i="63"/>
  <c r="H240" i="16" s="1"/>
  <c r="H96" i="5"/>
  <c r="H45" i="5"/>
  <c r="H77" i="5"/>
  <c r="M890" i="63"/>
  <c r="H44" i="5"/>
  <c r="K874" i="63"/>
  <c r="K890" i="63" s="1"/>
  <c r="H94" i="5"/>
  <c r="H76" i="5"/>
  <c r="H43" i="5"/>
  <c r="H93" i="5"/>
  <c r="H42" i="5"/>
  <c r="K757" i="63"/>
  <c r="L754" i="63"/>
  <c r="L757" i="63" s="1"/>
  <c r="H92" i="5"/>
  <c r="I84" i="13"/>
  <c r="J691" i="63"/>
  <c r="K671" i="63"/>
  <c r="L650" i="63"/>
  <c r="L671" i="63" s="1"/>
  <c r="I80" i="13"/>
  <c r="H40" i="5"/>
  <c r="L616" i="63"/>
  <c r="J618" i="63"/>
  <c r="I74" i="13"/>
  <c r="I73" i="13"/>
  <c r="H39" i="5"/>
  <c r="L551" i="63"/>
  <c r="K535" i="63"/>
  <c r="J553" i="63"/>
  <c r="H89" i="5"/>
  <c r="H71" i="5"/>
  <c r="H38" i="5"/>
  <c r="M489" i="63"/>
  <c r="L487" i="63"/>
  <c r="H70" i="5"/>
  <c r="H88" i="5"/>
  <c r="M419" i="63"/>
  <c r="H37" i="5"/>
  <c r="L417" i="63"/>
  <c r="J419" i="63"/>
  <c r="H83" i="5"/>
  <c r="H69" i="5"/>
  <c r="M349" i="63"/>
  <c r="H36" i="5"/>
  <c r="L347" i="63"/>
  <c r="J349" i="63"/>
  <c r="I47" i="13"/>
  <c r="I46" i="13"/>
  <c r="H35" i="5"/>
  <c r="L279" i="63"/>
  <c r="J281" i="63"/>
  <c r="L264" i="63"/>
  <c r="H85" i="5"/>
  <c r="H67" i="5"/>
  <c r="M210" i="63"/>
  <c r="I39" i="13"/>
  <c r="L208" i="63"/>
  <c r="J210" i="63"/>
  <c r="K194" i="63"/>
  <c r="H33" i="5"/>
  <c r="H66" i="5"/>
  <c r="M144" i="63"/>
  <c r="H84" i="5"/>
  <c r="I34" i="13"/>
  <c r="K118" i="63"/>
  <c r="I1029" i="63"/>
  <c r="G240" i="16" s="1"/>
  <c r="I952" i="63"/>
  <c r="I890" i="63"/>
  <c r="I759" i="63"/>
  <c r="I691" i="63"/>
  <c r="I618" i="63"/>
  <c r="I553" i="63"/>
  <c r="I489" i="63"/>
  <c r="I144" i="63"/>
  <c r="M71" i="63"/>
  <c r="H32" i="5"/>
  <c r="K59" i="63"/>
  <c r="L48" i="63"/>
  <c r="K46" i="63"/>
  <c r="J71" i="63"/>
  <c r="I71" i="63"/>
  <c r="I419" i="63"/>
  <c r="L333" i="63"/>
  <c r="L24" i="63"/>
  <c r="L100" i="63"/>
  <c r="L118" i="63" s="1"/>
  <c r="L189" i="63"/>
  <c r="L194" i="63" s="1"/>
  <c r="K208" i="63"/>
  <c r="K264" i="63"/>
  <c r="K333" i="63"/>
  <c r="L402" i="63"/>
  <c r="J489" i="63"/>
  <c r="M553" i="63"/>
  <c r="K551" i="63"/>
  <c r="L580" i="63"/>
  <c r="L600" i="63" s="1"/>
  <c r="K600" i="63"/>
  <c r="L689" i="63"/>
  <c r="K417" i="63"/>
  <c r="L674" i="63"/>
  <c r="L683" i="63" s="1"/>
  <c r="M691" i="63"/>
  <c r="I828" i="63"/>
  <c r="J118" i="63"/>
  <c r="J144" i="63" s="1"/>
  <c r="K402" i="63"/>
  <c r="L537" i="63"/>
  <c r="L545" i="63" s="1"/>
  <c r="J874" i="63"/>
  <c r="J890" i="63" s="1"/>
  <c r="L120" i="63"/>
  <c r="L134" i="63" s="1"/>
  <c r="I210" i="63"/>
  <c r="M281" i="63"/>
  <c r="L518" i="63"/>
  <c r="L535" i="63" s="1"/>
  <c r="I264" i="63"/>
  <c r="I349" i="63"/>
  <c r="L469" i="63"/>
  <c r="K469" i="63"/>
  <c r="K739" i="63"/>
  <c r="L719" i="63"/>
  <c r="L739" i="63" s="1"/>
  <c r="J809" i="63"/>
  <c r="J828" i="63" s="1"/>
  <c r="L800" i="63"/>
  <c r="L855" i="63"/>
  <c r="L874" i="63" s="1"/>
  <c r="J952" i="63"/>
  <c r="L741" i="63"/>
  <c r="J759" i="63"/>
  <c r="M828" i="63"/>
  <c r="L950" i="63"/>
  <c r="L934" i="63"/>
  <c r="K950" i="63"/>
  <c r="L920" i="63"/>
  <c r="L938" i="63"/>
  <c r="L945" i="63" s="1"/>
  <c r="L983" i="63"/>
  <c r="K240" i="16" l="1"/>
  <c r="H174" i="5"/>
  <c r="H200" i="16"/>
  <c r="L1006" i="63"/>
  <c r="L1029" i="63" s="1"/>
  <c r="J240" i="16" s="1"/>
  <c r="F36" i="69"/>
  <c r="L751" i="63"/>
  <c r="L419" i="63"/>
  <c r="L809" i="63"/>
  <c r="L828" i="63" s="1"/>
  <c r="L890" i="63"/>
  <c r="I85" i="13"/>
  <c r="K406" i="45"/>
  <c r="I144" i="13"/>
  <c r="K717" i="45"/>
  <c r="H74" i="5"/>
  <c r="I109" i="13"/>
  <c r="K612" i="45"/>
  <c r="I64" i="13"/>
  <c r="K261" i="45"/>
  <c r="L46" i="63"/>
  <c r="M618" i="63"/>
  <c r="L59" i="63"/>
  <c r="H78" i="5"/>
  <c r="I79" i="13"/>
  <c r="H73" i="5"/>
  <c r="H237" i="16"/>
  <c r="K1029" i="63"/>
  <c r="I240" i="16" s="1"/>
  <c r="L489" i="63"/>
  <c r="L618" i="63"/>
  <c r="K618" i="63"/>
  <c r="K553" i="63"/>
  <c r="L553" i="63"/>
  <c r="K489" i="63"/>
  <c r="K419" i="63"/>
  <c r="K349" i="63"/>
  <c r="L349" i="63"/>
  <c r="L281" i="63"/>
  <c r="K281" i="63"/>
  <c r="L210" i="63"/>
  <c r="K144" i="63"/>
  <c r="K71" i="63"/>
  <c r="J1045" i="63"/>
  <c r="L144" i="63"/>
  <c r="L759" i="63"/>
  <c r="K809" i="63"/>
  <c r="K828" i="63" s="1"/>
  <c r="K210" i="63"/>
  <c r="K691" i="63"/>
  <c r="L936" i="63"/>
  <c r="L952" i="63" s="1"/>
  <c r="K936" i="63"/>
  <c r="K952" i="63" s="1"/>
  <c r="L691" i="63"/>
  <c r="H238" i="16" l="1"/>
  <c r="L71" i="63"/>
  <c r="L1045" i="63" s="1"/>
  <c r="O414" i="45"/>
  <c r="K53" i="16" l="1"/>
  <c r="G32" i="69" l="1"/>
  <c r="J32" i="69" s="1"/>
  <c r="J36" i="69" s="1"/>
  <c r="O758" i="45"/>
  <c r="G36" i="69" l="1"/>
  <c r="I249" i="16" l="1"/>
  <c r="I198" i="16" l="1"/>
  <c r="J50" i="16"/>
  <c r="J48" i="16"/>
  <c r="J47" i="16"/>
  <c r="J46" i="16"/>
  <c r="K245" i="16" l="1"/>
  <c r="I88" i="20" l="1"/>
  <c r="J245" i="16" l="1"/>
  <c r="H245" i="16"/>
  <c r="G245" i="16"/>
  <c r="J45" i="16" l="1"/>
  <c r="O760" i="45" l="1"/>
  <c r="L739" i="45"/>
  <c r="J739" i="45"/>
  <c r="L673" i="45"/>
  <c r="J673" i="45"/>
  <c r="J496" i="45"/>
  <c r="J414" i="45"/>
  <c r="L185" i="45"/>
  <c r="J185" i="45"/>
  <c r="L103" i="45"/>
  <c r="J103" i="45"/>
  <c r="J131" i="16" l="1"/>
  <c r="H147" i="5" l="1"/>
  <c r="J29" i="16"/>
  <c r="J44" i="16"/>
  <c r="J43" i="16"/>
  <c r="J42" i="16"/>
  <c r="J39" i="16"/>
  <c r="J38" i="16"/>
  <c r="J37" i="16"/>
  <c r="J36" i="16"/>
  <c r="J32" i="16"/>
  <c r="J33" i="16"/>
  <c r="J27" i="16"/>
  <c r="J26" i="16"/>
  <c r="J31" i="16" l="1"/>
  <c r="J23" i="16"/>
  <c r="I116" i="13" l="1"/>
  <c r="H148" i="5" l="1"/>
  <c r="J132" i="16" l="1"/>
  <c r="J130" i="16"/>
  <c r="J129" i="16"/>
  <c r="J128" i="16"/>
  <c r="J126" i="16"/>
  <c r="J125" i="16"/>
  <c r="J124" i="16"/>
  <c r="J123" i="16"/>
  <c r="J122" i="16"/>
  <c r="J121" i="16"/>
  <c r="J120" i="16"/>
  <c r="J118" i="16"/>
  <c r="J117" i="16"/>
  <c r="J116" i="16"/>
  <c r="J115" i="16"/>
  <c r="J114" i="16"/>
  <c r="J113" i="16"/>
  <c r="J112" i="16"/>
  <c r="J111" i="16"/>
  <c r="J110" i="16"/>
  <c r="J108" i="16"/>
  <c r="J107" i="16"/>
  <c r="J105" i="16"/>
  <c r="J41" i="16"/>
  <c r="J40" i="16"/>
  <c r="J35" i="16"/>
  <c r="J30" i="16"/>
  <c r="J28" i="16"/>
  <c r="J25" i="16"/>
  <c r="J22" i="16"/>
  <c r="M50" i="45"/>
  <c r="I92" i="20"/>
  <c r="L496" i="45"/>
  <c r="H159" i="5"/>
  <c r="H200" i="5" s="1"/>
  <c r="J119" i="16"/>
  <c r="J109" i="16"/>
  <c r="J103" i="16"/>
  <c r="K414" i="45"/>
  <c r="M345" i="45"/>
  <c r="M261" i="45"/>
  <c r="M216" i="45"/>
  <c r="M158" i="45"/>
  <c r="M185" i="45" s="1"/>
  <c r="M125" i="45"/>
  <c r="M302" i="45" l="1"/>
  <c r="L586" i="45"/>
  <c r="J586" i="45"/>
  <c r="K739" i="45"/>
  <c r="M717" i="45"/>
  <c r="M739" i="45" s="1"/>
  <c r="K586" i="45"/>
  <c r="M612" i="45"/>
  <c r="M673" i="45" s="1"/>
  <c r="K673" i="45"/>
  <c r="M94" i="45"/>
  <c r="M103" i="45" s="1"/>
  <c r="K103" i="45"/>
  <c r="M406" i="45"/>
  <c r="M414" i="45" s="1"/>
  <c r="J127" i="16"/>
  <c r="J24" i="16"/>
  <c r="J53" i="16" s="1"/>
  <c r="I218" i="13"/>
  <c r="H235" i="16"/>
  <c r="J104" i="16"/>
  <c r="J102" i="16"/>
  <c r="H146" i="5"/>
  <c r="I114" i="13"/>
  <c r="H193" i="5"/>
  <c r="I259" i="13"/>
  <c r="I273" i="13"/>
  <c r="M11" i="45"/>
  <c r="H198" i="5"/>
  <c r="H21" i="5"/>
  <c r="I17" i="20"/>
  <c r="I25" i="20"/>
  <c r="I95" i="20"/>
  <c r="H25" i="5"/>
  <c r="J198" i="16" l="1"/>
  <c r="J200" i="16" s="1"/>
  <c r="J204" i="16" s="1"/>
  <c r="I21" i="13"/>
  <c r="I155" i="13" s="1"/>
  <c r="M553" i="45"/>
  <c r="M586" i="45" s="1"/>
  <c r="I66" i="13"/>
  <c r="H199" i="5"/>
  <c r="H201" i="5" s="1"/>
  <c r="I115" i="13"/>
  <c r="I117" i="13" s="1"/>
  <c r="K235" i="16"/>
  <c r="I235" i="16"/>
  <c r="I30" i="13"/>
  <c r="H149" i="5"/>
  <c r="H46" i="5"/>
  <c r="I15" i="13"/>
  <c r="I208" i="13" s="1"/>
  <c r="I147" i="13"/>
  <c r="J283" i="13" s="1"/>
  <c r="I81" i="13"/>
  <c r="I105" i="13"/>
  <c r="I87" i="13"/>
  <c r="I42" i="13"/>
  <c r="H162" i="5"/>
  <c r="H179" i="5" s="1"/>
  <c r="I60" i="13"/>
  <c r="I75" i="13"/>
  <c r="I53" i="13"/>
  <c r="I35" i="13"/>
  <c r="J275" i="13"/>
  <c r="J277" i="13" s="1"/>
  <c r="J278" i="13" s="1"/>
  <c r="H97" i="5"/>
  <c r="I99" i="13"/>
  <c r="I48" i="13"/>
  <c r="I111" i="13"/>
  <c r="I29" i="20"/>
  <c r="H27" i="5"/>
  <c r="J282" i="13" l="1"/>
  <c r="J284" i="13" s="1"/>
  <c r="J237" i="16"/>
  <c r="J238" i="16" s="1"/>
  <c r="J235" i="16"/>
  <c r="H170" i="5"/>
  <c r="I226" i="13"/>
  <c r="I154" i="13"/>
  <c r="I156" i="13" s="1"/>
  <c r="I23" i="13"/>
  <c r="I148" i="13"/>
  <c r="I167" i="13" s="1"/>
  <c r="H192" i="5"/>
  <c r="H194" i="5" s="1"/>
  <c r="H175" i="5"/>
  <c r="I161" i="13"/>
  <c r="I230" i="13" l="1"/>
  <c r="J246" i="16"/>
  <c r="J250" i="16"/>
  <c r="H246" i="16"/>
  <c r="H250" i="16"/>
  <c r="I219" i="13" l="1"/>
  <c r="I220" i="13" s="1"/>
  <c r="G235" i="16"/>
  <c r="I281" i="63" l="1"/>
  <c r="I1045" i="63" s="1"/>
  <c r="G237" i="16"/>
  <c r="G250" i="16" s="1"/>
  <c r="G200" i="16" l="1"/>
  <c r="G204" i="16" s="1"/>
  <c r="G242" i="16"/>
  <c r="G246" i="16"/>
  <c r="K759" i="63"/>
  <c r="K1045" i="63" l="1"/>
  <c r="I200" i="16"/>
  <c r="G238" i="16"/>
  <c r="I237" i="16"/>
  <c r="I238" i="16" l="1"/>
  <c r="I250" i="16"/>
  <c r="I246" i="16"/>
  <c r="M759" i="63"/>
  <c r="K200" i="16" s="1"/>
  <c r="H75" i="5"/>
  <c r="H79" i="5" s="1"/>
  <c r="H151" i="5" s="1"/>
  <c r="H152" i="5" s="1"/>
  <c r="H178" i="5" s="1"/>
  <c r="H180" i="5" s="1"/>
  <c r="H181" i="5" s="1"/>
  <c r="K469" i="45"/>
  <c r="K496" i="45" s="1"/>
  <c r="I91" i="13"/>
  <c r="I93" i="13" s="1"/>
  <c r="I120" i="13" s="1"/>
  <c r="I160" i="13" s="1"/>
  <c r="I162" i="13" s="1"/>
  <c r="M1045" i="63" l="1"/>
  <c r="K204" i="16"/>
  <c r="M469" i="45"/>
  <c r="M496" i="45" s="1"/>
  <c r="O757" i="45" s="1"/>
  <c r="O759" i="45" s="1"/>
  <c r="O761" i="45" s="1"/>
  <c r="I121" i="13"/>
  <c r="I166" i="13" s="1"/>
  <c r="I168" i="13" s="1"/>
  <c r="I170" i="13" s="1"/>
  <c r="I210" i="13"/>
  <c r="I212" i="13" s="1"/>
  <c r="K237" i="16"/>
  <c r="K271" i="16" s="1"/>
  <c r="K238" i="16" l="1"/>
  <c r="K250" i="16"/>
  <c r="K246" i="16"/>
  <c r="K242" i="16"/>
  <c r="O763" i="45"/>
</calcChain>
</file>

<file path=xl/sharedStrings.xml><?xml version="1.0" encoding="utf-8"?>
<sst xmlns="http://schemas.openxmlformats.org/spreadsheetml/2006/main" count="6352" uniqueCount="1927">
  <si>
    <t>GENERAL FUND</t>
  </si>
  <si>
    <t>ACCOUNT</t>
  </si>
  <si>
    <t xml:space="preserve">INCOME </t>
  </si>
  <si>
    <t>PARTICULARS</t>
  </si>
  <si>
    <t>CODE</t>
  </si>
  <si>
    <t>CLASSIFICATION</t>
  </si>
  <si>
    <t>PAST YEAR</t>
  </si>
  <si>
    <t>BUDGET YEAR</t>
  </si>
  <si>
    <t>TOTAL NON-TAX REVENUE</t>
  </si>
  <si>
    <t>TOTAL RECEIPTS</t>
  </si>
  <si>
    <t>MARKET</t>
  </si>
  <si>
    <t>LOCAL FINANCE COMMITTEE:</t>
  </si>
  <si>
    <t>MELBA B. BAGOOD</t>
  </si>
  <si>
    <t>M.P.D.C.</t>
  </si>
  <si>
    <t>Municipal Mayor</t>
  </si>
  <si>
    <t>TOTAL</t>
  </si>
  <si>
    <t>Certified Correct:</t>
  </si>
  <si>
    <t>EMELY S. BADUA</t>
  </si>
  <si>
    <t>Municipal Budget Officer</t>
  </si>
  <si>
    <t>TOTAL EXPENDITURES</t>
  </si>
  <si>
    <t>Unappropriated Balance</t>
  </si>
  <si>
    <t>OBJECT OF EXPENDITURE</t>
  </si>
  <si>
    <t>Municipal Vice Mayor</t>
  </si>
  <si>
    <t>SALUD D. PANIDA</t>
  </si>
  <si>
    <t>EDNA C. PADAYAO</t>
  </si>
  <si>
    <t>TERESA O. MAMALIO</t>
  </si>
  <si>
    <t>1141-2</t>
  </si>
  <si>
    <t>9993-1</t>
  </si>
  <si>
    <t>9993-2</t>
  </si>
  <si>
    <t>9993-3</t>
  </si>
  <si>
    <t>9993-4</t>
  </si>
  <si>
    <t>9993-5</t>
  </si>
  <si>
    <t>1011-1</t>
  </si>
  <si>
    <t>1011-2</t>
  </si>
  <si>
    <t>1011-3</t>
  </si>
  <si>
    <t>1011-5</t>
  </si>
  <si>
    <t>1011-6</t>
  </si>
  <si>
    <t>1011-7</t>
  </si>
  <si>
    <t>1011-8</t>
  </si>
  <si>
    <t>1011-9</t>
  </si>
  <si>
    <t>1011-10</t>
  </si>
  <si>
    <t>GRAND TOTAL</t>
  </si>
  <si>
    <t>Current Year</t>
  </si>
  <si>
    <t>POSITION TITLE</t>
  </si>
  <si>
    <t>NAME OF</t>
  </si>
  <si>
    <t>Increase/</t>
  </si>
  <si>
    <t>INCUMBENT</t>
  </si>
  <si>
    <t>Decrease</t>
  </si>
  <si>
    <t>AMOUNT</t>
  </si>
  <si>
    <t>HEIDEE GANIGAN-CHUA</t>
  </si>
  <si>
    <t>PERSONAL STAFF</t>
  </si>
  <si>
    <t>EMETERIO E. LAROYA</t>
  </si>
  <si>
    <t>15/1</t>
  </si>
  <si>
    <t>Administrative Aide IV</t>
  </si>
  <si>
    <t>ANA D. FRONDA</t>
  </si>
  <si>
    <t>4/1</t>
  </si>
  <si>
    <t>GENERAL SERVICES</t>
  </si>
  <si>
    <t>Administrative Aide III</t>
  </si>
  <si>
    <t>GERARDO M. VELASCO</t>
  </si>
  <si>
    <t>JULIAN M. ILUMIN</t>
  </si>
  <si>
    <t>PRINCESS C. POON</t>
  </si>
  <si>
    <t xml:space="preserve">HUMAN RESOURCE </t>
  </si>
  <si>
    <t>MANAGEMENT OFFICE</t>
  </si>
  <si>
    <t>Administrative Officer II</t>
  </si>
  <si>
    <t>RIZALINA C. AYING</t>
  </si>
  <si>
    <t>11/8</t>
  </si>
  <si>
    <t>24/1</t>
  </si>
  <si>
    <t>ABC PRESIDENT</t>
  </si>
  <si>
    <t>PPSK President</t>
  </si>
  <si>
    <t>Secretary to Sangguniang</t>
  </si>
  <si>
    <t>DIOSDADO C. BALANGA</t>
  </si>
  <si>
    <t>Bayan</t>
  </si>
  <si>
    <t>Librarian I</t>
  </si>
  <si>
    <t>ANALIE D. SOLORIA</t>
  </si>
  <si>
    <t>Administrative Aide VI</t>
  </si>
  <si>
    <t>OLIVIA MARIE B. SALES</t>
  </si>
  <si>
    <t>Municipal Government</t>
  </si>
  <si>
    <t>24/8</t>
  </si>
  <si>
    <t>Draftsman I</t>
  </si>
  <si>
    <t>6/8</t>
  </si>
  <si>
    <t>AMELIA D. DE GUZMAN</t>
  </si>
  <si>
    <t>Assistant Registration</t>
  </si>
  <si>
    <t>BENJAMIN B. GINES, JR.</t>
  </si>
  <si>
    <t>Officer I</t>
  </si>
  <si>
    <t>Statistician Aide</t>
  </si>
  <si>
    <t>GEMMA  P. PERALTA</t>
  </si>
  <si>
    <t>Administrative Assistant II</t>
  </si>
  <si>
    <t>IMELDA T. SISON</t>
  </si>
  <si>
    <t>8/8</t>
  </si>
  <si>
    <t>ROSALIE A. JOVER</t>
  </si>
  <si>
    <t>MICHAEL C. SOLIVEN</t>
  </si>
  <si>
    <t>CASHIERING</t>
  </si>
  <si>
    <t>Administrative Officer III</t>
  </si>
  <si>
    <t>TREASURY SERVICES</t>
  </si>
  <si>
    <t>Local Revenue Collection</t>
  </si>
  <si>
    <t>Revenue Collection Clerk II</t>
  </si>
  <si>
    <t>GLORIA C. RANICO</t>
  </si>
  <si>
    <t>BOBBY C. VELASCO</t>
  </si>
  <si>
    <t>Revenue Collection Clerk I</t>
  </si>
  <si>
    <t>CRISMAN O. OLIVAS</t>
  </si>
  <si>
    <t>ROBERT P. MALAYO</t>
  </si>
  <si>
    <t>Local Assessment Operations</t>
  </si>
  <si>
    <t>VACANT</t>
  </si>
  <si>
    <t>Assessment Clerk II</t>
  </si>
  <si>
    <t>Assessment Clerk I</t>
  </si>
  <si>
    <t>Tax Mapping Aide</t>
  </si>
  <si>
    <t>NELSON P. SARMIENTO</t>
  </si>
  <si>
    <t>4/2</t>
  </si>
  <si>
    <t>ROGELIO P. LOPEZ</t>
  </si>
  <si>
    <t>Social Welfare Assistant</t>
  </si>
  <si>
    <t>Agricultural Technologist</t>
  </si>
  <si>
    <t>MINERVA L. ROSAS</t>
  </si>
  <si>
    <t>ANTONIO S. SOLIVEN, JR.</t>
  </si>
  <si>
    <t>RONNIE S. TOMAS</t>
  </si>
  <si>
    <t>Dentist II</t>
  </si>
  <si>
    <t>AURELIA D. VELASCO</t>
  </si>
  <si>
    <t>Nurse III</t>
  </si>
  <si>
    <t>NITA L. ROMERO</t>
  </si>
  <si>
    <t>CLEOFE A. GANTE</t>
  </si>
  <si>
    <t>4/8</t>
  </si>
  <si>
    <t>Midwife III</t>
  </si>
  <si>
    <t>MARILOU O. TORIO</t>
  </si>
  <si>
    <t>JULIE A. PERALTA</t>
  </si>
  <si>
    <t>Midwife II</t>
  </si>
  <si>
    <t>CLARITA P. OGANIZA</t>
  </si>
  <si>
    <t>VICTORIA G. BALANGA</t>
  </si>
  <si>
    <t>Nursemaid I</t>
  </si>
  <si>
    <t>SHARON M. BUGARIN</t>
  </si>
  <si>
    <t>Medical Technologist</t>
  </si>
  <si>
    <t>KAREN KAROLYNE V. GARCIA</t>
  </si>
  <si>
    <t>11/2</t>
  </si>
  <si>
    <t>Nurse II</t>
  </si>
  <si>
    <t>ZENAIDA G. GAMEZ</t>
  </si>
  <si>
    <t>LOURDES R. PADILLA</t>
  </si>
  <si>
    <t>11/3</t>
  </si>
  <si>
    <t>MERCEDITA R. LOPEZ</t>
  </si>
  <si>
    <t>Market Supervisor I</t>
  </si>
  <si>
    <t>10/1</t>
  </si>
  <si>
    <t>Market Inspector II</t>
  </si>
  <si>
    <t>VALENTINO E. GARCIA</t>
  </si>
  <si>
    <t>License Inspector I</t>
  </si>
  <si>
    <t>Meat Inspector I</t>
  </si>
  <si>
    <t>Administrative Aide I</t>
  </si>
  <si>
    <t>ORLANDO C. ANGELO</t>
  </si>
  <si>
    <t>ARNOLD C. BUSTILLOS</t>
  </si>
  <si>
    <t>1/3</t>
  </si>
  <si>
    <t>Laborer I</t>
  </si>
  <si>
    <t>1/2</t>
  </si>
  <si>
    <t>ESTELA L. PASCUA</t>
  </si>
  <si>
    <t>ROMMEL M. PISO</t>
  </si>
  <si>
    <t>1/1</t>
  </si>
  <si>
    <t>LANIE R. CARDENAS</t>
  </si>
  <si>
    <t>Cemetery Caretaker</t>
  </si>
  <si>
    <t>EDUARDO E. RIPA</t>
  </si>
  <si>
    <t>2/8</t>
  </si>
  <si>
    <t>Sub-Total</t>
  </si>
  <si>
    <t>Market Supervisor III</t>
  </si>
  <si>
    <t>ALEJANDRO S. TORIO</t>
  </si>
  <si>
    <t>JOHN Q. SOLIVEN</t>
  </si>
  <si>
    <t>EDGAR M. PEREZ</t>
  </si>
  <si>
    <t>8/1</t>
  </si>
  <si>
    <t>Sub-Total (Market)</t>
  </si>
  <si>
    <t>Amount Due</t>
  </si>
  <si>
    <t>Creditor</t>
  </si>
  <si>
    <t>Term</t>
  </si>
  <si>
    <t>Principal</t>
  </si>
  <si>
    <t>(Budget Year)</t>
  </si>
  <si>
    <t>Contracted</t>
  </si>
  <si>
    <t>Amount</t>
  </si>
  <si>
    <t>Interest</t>
  </si>
  <si>
    <t>Total</t>
  </si>
  <si>
    <t>NONE</t>
  </si>
  <si>
    <t xml:space="preserve"> </t>
  </si>
  <si>
    <t>Republic of the Philippines</t>
  </si>
  <si>
    <t>MUNICIPALITY OF ASINGAN</t>
  </si>
  <si>
    <t>Pangasinan</t>
  </si>
  <si>
    <t>OFFICE OF THE MUNICIPAL BUDGET OFFICER</t>
  </si>
  <si>
    <t>Section</t>
  </si>
  <si>
    <t>I</t>
  </si>
  <si>
    <t>ESTIMATED INCOME</t>
  </si>
  <si>
    <t>General Fund Proper</t>
  </si>
  <si>
    <t>1. Tax Revenue</t>
  </si>
  <si>
    <t>2. Non-Tax Revenue</t>
  </si>
  <si>
    <t>TOTAL ESTIMATED INCOME</t>
  </si>
  <si>
    <t>Operation of Economic Enterprise</t>
  </si>
  <si>
    <t>1.  Tax Revenue</t>
  </si>
  <si>
    <t>2.  Non-Tax Revenue</t>
  </si>
  <si>
    <t>II</t>
  </si>
  <si>
    <t>APPROPRIATION</t>
  </si>
  <si>
    <t>1.   General Fund Proper</t>
  </si>
  <si>
    <t xml:space="preserve">          1.1   PERSONAL SERVICES:</t>
  </si>
  <si>
    <t xml:space="preserve">       Office of the Municipal Mayor</t>
  </si>
  <si>
    <t xml:space="preserve">       Office of the Sangguniang Bayan</t>
  </si>
  <si>
    <t xml:space="preserve">       Office of the M.P.D.C.</t>
  </si>
  <si>
    <t xml:space="preserve">       Office of the Mun. Civil Registrar</t>
  </si>
  <si>
    <t xml:space="preserve">       Office of the Mun. Budget Officer</t>
  </si>
  <si>
    <t xml:space="preserve">       Office of the Municipal Accountant</t>
  </si>
  <si>
    <t xml:space="preserve">       Office of the Municipal Treasurer</t>
  </si>
  <si>
    <t xml:space="preserve">       Ofice of the Municipal Assessor</t>
  </si>
  <si>
    <t xml:space="preserve">       Office of the Municiapl Engineer</t>
  </si>
  <si>
    <t xml:space="preserve">       Office of the M.S.W.D.O.</t>
  </si>
  <si>
    <t xml:space="preserve">       Office of the Municipal Agriculturist</t>
  </si>
  <si>
    <t xml:space="preserve">       Municipal Health Unit I</t>
  </si>
  <si>
    <t xml:space="preserve">       Municipal Health Unit II</t>
  </si>
  <si>
    <t xml:space="preserve">          1.2  MAINTENANCE &amp; OTHER OPERATING EXPENDITURES:</t>
  </si>
  <si>
    <t xml:space="preserve">          1.3  CAPITAL OUTLAY:</t>
  </si>
  <si>
    <t xml:space="preserve">       Office of the Municipal Social Welfare Development Office</t>
  </si>
  <si>
    <t xml:space="preserve">          1.4  Non-Office Expenditures</t>
  </si>
  <si>
    <t xml:space="preserve">      Inter-Gov't Aids</t>
  </si>
  <si>
    <t>2.   Operation of Economic Enterprise</t>
  </si>
  <si>
    <t xml:space="preserve">     Personal Services</t>
  </si>
  <si>
    <t xml:space="preserve">     Maintenance &amp; Other Operating Expenditures</t>
  </si>
  <si>
    <t xml:space="preserve">     Capital Outlay</t>
  </si>
  <si>
    <t xml:space="preserve">     General Fund Proper</t>
  </si>
  <si>
    <t xml:space="preserve">     Operation of Economic Enterprise</t>
  </si>
  <si>
    <t>Unappropriated Balances:</t>
  </si>
  <si>
    <t>24/2</t>
  </si>
  <si>
    <t>1/8</t>
  </si>
  <si>
    <t>1011-11</t>
  </si>
  <si>
    <t>1011-12</t>
  </si>
  <si>
    <t>1011-15</t>
  </si>
  <si>
    <t>MARIBEL Y. DAMASCO</t>
  </si>
  <si>
    <t>Income:</t>
  </si>
  <si>
    <t>Appropriation</t>
  </si>
  <si>
    <t xml:space="preserve">        TOTAL INCOME</t>
  </si>
  <si>
    <t xml:space="preserve">       TOTAL APPROPRIATION</t>
  </si>
  <si>
    <t xml:space="preserve">        TOTAL</t>
  </si>
  <si>
    <t>TOTAL NON-OFFICE EXPENDITURES</t>
  </si>
  <si>
    <t xml:space="preserve">        TOTAL APPROPRIATION (General Fund Proper)</t>
  </si>
  <si>
    <t xml:space="preserve">      TOTAL APPROPRIATION (Economic Enterprise)</t>
  </si>
  <si>
    <t>Section III</t>
  </si>
  <si>
    <t>RECAPITULIZATION</t>
  </si>
  <si>
    <t xml:space="preserve">            TOTAL PERSONAL SERVICES</t>
  </si>
  <si>
    <t xml:space="preserve">            TOTAL MOOE</t>
  </si>
  <si>
    <t xml:space="preserve">            TOTAL CAPITAL OUTLAY</t>
  </si>
  <si>
    <t xml:space="preserve">       Unappropriated Balance</t>
  </si>
  <si>
    <t>MARJORIE V. TINTE</t>
  </si>
  <si>
    <t>Municipal Accountant</t>
  </si>
  <si>
    <t>6/1</t>
  </si>
  <si>
    <t>4/3</t>
  </si>
  <si>
    <t>ATHENA IRA G. CHUA</t>
  </si>
  <si>
    <t>3/1</t>
  </si>
  <si>
    <t>MYRNA LUISA M. ALIPIO</t>
  </si>
  <si>
    <t>24/3</t>
  </si>
  <si>
    <t>MA. JONABEL I. GIDAYAO</t>
  </si>
  <si>
    <t>EMELINDA P. RAMIREZ</t>
  </si>
  <si>
    <t>3/3</t>
  </si>
  <si>
    <t>Local Disaster Risk Reduction</t>
  </si>
  <si>
    <t>Management Officer III</t>
  </si>
  <si>
    <t>ENGR. EMETERIO E. LAROYA</t>
  </si>
  <si>
    <t>Grand Total</t>
  </si>
  <si>
    <t>Engineer I</t>
  </si>
  <si>
    <t>12/1</t>
  </si>
  <si>
    <t>Approved:</t>
  </si>
  <si>
    <t xml:space="preserve">       Office of the LDRRMO</t>
  </si>
  <si>
    <t xml:space="preserve">       Office of the Municipal Engineer</t>
  </si>
  <si>
    <t>1011-16</t>
  </si>
  <si>
    <t>1011-17</t>
  </si>
  <si>
    <t>MARY GRACE F. TAWAGEN</t>
  </si>
  <si>
    <t xml:space="preserve">      Local Disaster Risk Reduction &amp; Management Fund</t>
  </si>
  <si>
    <t xml:space="preserve">     Local Disaster Risk Reduction &amp; Management Fund</t>
  </si>
  <si>
    <t>1011-18</t>
  </si>
  <si>
    <t>1141-1</t>
  </si>
  <si>
    <t>General Fund</t>
  </si>
  <si>
    <t>Total Estimated Income</t>
  </si>
  <si>
    <t>Less: Appropriation</t>
  </si>
  <si>
    <t>5% LDRRMF</t>
  </si>
  <si>
    <t>Market</t>
  </si>
  <si>
    <t>-</t>
  </si>
  <si>
    <t>TOTAL MOOE</t>
  </si>
  <si>
    <t>PS</t>
  </si>
  <si>
    <t>MOOE</t>
  </si>
  <si>
    <t>CO</t>
  </si>
  <si>
    <t>MARINA C. PASCUAL</t>
  </si>
  <si>
    <t>JANETTE E. PITA</t>
  </si>
  <si>
    <t>RUBIE JEAN R. PICO</t>
  </si>
  <si>
    <t>MYLA V. DE GUZMAN</t>
  </si>
  <si>
    <t>DOMINIC R. TARANGCO</t>
  </si>
  <si>
    <t>CATHERINE C. MERCADO</t>
  </si>
  <si>
    <t>SECTION 1</t>
  </si>
  <si>
    <t>A.</t>
  </si>
  <si>
    <t>Tax Revenue</t>
  </si>
  <si>
    <t>Share from Internal Revenue Allotment</t>
  </si>
  <si>
    <t>Total Available Resources</t>
  </si>
  <si>
    <t>Non-Tax Revenue</t>
  </si>
  <si>
    <t>SECTION 2</t>
  </si>
  <si>
    <t>Office of the Municipal Mayor</t>
  </si>
  <si>
    <t>1.</t>
  </si>
  <si>
    <t>Personal Services</t>
  </si>
  <si>
    <t>Capital Outlay</t>
  </si>
  <si>
    <t>2.</t>
  </si>
  <si>
    <t>3.</t>
  </si>
  <si>
    <t>Office of the Sangguniang Bayan</t>
  </si>
  <si>
    <t>Office of the MPDC</t>
  </si>
  <si>
    <t>4.</t>
  </si>
  <si>
    <t>5.</t>
  </si>
  <si>
    <t>6.</t>
  </si>
  <si>
    <t>7.</t>
  </si>
  <si>
    <t>8.</t>
  </si>
  <si>
    <t>9.</t>
  </si>
  <si>
    <t>10.</t>
  </si>
  <si>
    <t>11.</t>
  </si>
  <si>
    <t>12.</t>
  </si>
  <si>
    <t>13.</t>
  </si>
  <si>
    <t>14.</t>
  </si>
  <si>
    <t>Office of the Civil Registrar</t>
  </si>
  <si>
    <t>Office of the Municipal Budget Officer</t>
  </si>
  <si>
    <t>Office of the Municipal Accountant</t>
  </si>
  <si>
    <t>Office of the Municipal Treasurer</t>
  </si>
  <si>
    <t>Office of the Municipal Assessor</t>
  </si>
  <si>
    <t>Office of the Municipal Engineer</t>
  </si>
  <si>
    <t>Office of the M.S.W.D.O.</t>
  </si>
  <si>
    <t>Office of the Municipal Agriculturist</t>
  </si>
  <si>
    <t>Office of the Municipal Health Unit I</t>
  </si>
  <si>
    <t>Office of the Municipal Health Unit II</t>
  </si>
  <si>
    <t>15.</t>
  </si>
  <si>
    <t>Office of the LDRRMO</t>
  </si>
  <si>
    <t>Non-Office Expenditures</t>
  </si>
  <si>
    <t>Inter-Government Aids</t>
  </si>
  <si>
    <t>Maintenance &amp; Other Operating Expenses</t>
  </si>
  <si>
    <t>Local Disaster Risk Reduction Management Fund</t>
  </si>
  <si>
    <t xml:space="preserve">                  TOTAL APPROPRIATION (General Fund Proper)</t>
  </si>
  <si>
    <t xml:space="preserve">                   Unappropriated Balance</t>
  </si>
  <si>
    <t>B.</t>
  </si>
  <si>
    <t>Operation of Economic Enterprises</t>
  </si>
  <si>
    <t xml:space="preserve">                  TOTAL APPROPRIATION (Economic Enterprise)</t>
  </si>
  <si>
    <t>SECTION 3. RECAPITULIZATION</t>
  </si>
  <si>
    <t xml:space="preserve">         General Fund Proper</t>
  </si>
  <si>
    <t xml:space="preserve">         Operation of Economic Enterprises</t>
  </si>
  <si>
    <t xml:space="preserve">         Total Amount Available for Appropriations</t>
  </si>
  <si>
    <t>Total Appropriations</t>
  </si>
  <si>
    <t xml:space="preserve">         Total </t>
  </si>
  <si>
    <t xml:space="preserve">         Unappropriated Balances:</t>
  </si>
  <si>
    <t>SECTION 4</t>
  </si>
  <si>
    <t>a.</t>
  </si>
  <si>
    <t>b.</t>
  </si>
  <si>
    <t>c.</t>
  </si>
  <si>
    <t>d.</t>
  </si>
  <si>
    <t>e.</t>
  </si>
  <si>
    <t>f.</t>
  </si>
  <si>
    <t>g.</t>
  </si>
  <si>
    <t>h.</t>
  </si>
  <si>
    <t>Local Budget Prep. Form 1</t>
  </si>
  <si>
    <t>Local Budget Prep. Form 2</t>
  </si>
  <si>
    <t>Local Budget Prep. Form 3</t>
  </si>
  <si>
    <t>Local Budget Prep. Form 4</t>
  </si>
  <si>
    <t>Local Budget Prep. Form 5</t>
  </si>
  <si>
    <t>Local Budget Prep. Form 6</t>
  </si>
  <si>
    <t>Local Budget Prep. Form 7</t>
  </si>
  <si>
    <t>Personnel Schedule</t>
  </si>
  <si>
    <t>Obligations &amp; Budgetary Requirements</t>
  </si>
  <si>
    <t>ASINGAN, PANGASINAN</t>
  </si>
  <si>
    <t>Total Estimated Income-General Fund</t>
  </si>
  <si>
    <t>Less: Total Appropriation</t>
  </si>
  <si>
    <t>x 45%</t>
  </si>
  <si>
    <t>Still Allowable PS Appropriation</t>
  </si>
  <si>
    <t>Note:</t>
  </si>
  <si>
    <t>Total P.S.</t>
  </si>
  <si>
    <t>Total P.S. Subject to 45% PS Limitation</t>
  </si>
  <si>
    <t>PERSONAL SERVICES</t>
  </si>
  <si>
    <t>Overtime Pay</t>
  </si>
  <si>
    <t>Cash Gift</t>
  </si>
  <si>
    <t>Pag-ibig Contributions</t>
  </si>
  <si>
    <t>Philhealth Contributions</t>
  </si>
  <si>
    <t>TOTAL PERSONAL SERVICES</t>
  </si>
  <si>
    <t>Terminal Leave Benefits</t>
  </si>
  <si>
    <t>MAINTENANCE &amp; OTHER OPERATING EXPENSES</t>
  </si>
  <si>
    <t>Travelling Expenses</t>
  </si>
  <si>
    <t>Insurance Expenses</t>
  </si>
  <si>
    <t>General Services</t>
  </si>
  <si>
    <t>Electricity Expenses</t>
  </si>
  <si>
    <t>Office Supplies Expenses</t>
  </si>
  <si>
    <t>CAPITAL OUTLAY</t>
  </si>
  <si>
    <t>TOTAL APPROPRIATION</t>
  </si>
  <si>
    <t>Dental Aide</t>
  </si>
  <si>
    <t>ESTHER S. AGUILAR</t>
  </si>
  <si>
    <t>-751</t>
  </si>
  <si>
    <t>-753</t>
  </si>
  <si>
    <t>-759</t>
  </si>
  <si>
    <t>-755</t>
  </si>
  <si>
    <t>-773</t>
  </si>
  <si>
    <t>-850</t>
  </si>
  <si>
    <t>-969</t>
  </si>
  <si>
    <t>8/2</t>
  </si>
  <si>
    <t>11/1</t>
  </si>
  <si>
    <t>13/8</t>
  </si>
  <si>
    <t>10/2</t>
  </si>
  <si>
    <t>1/6</t>
  </si>
  <si>
    <t>-749</t>
  </si>
  <si>
    <t>-760</t>
  </si>
  <si>
    <t>-705</t>
  </si>
  <si>
    <t>9997-1</t>
  </si>
  <si>
    <t>9997-2</t>
  </si>
  <si>
    <t>9997-3</t>
  </si>
  <si>
    <t>9997-4</t>
  </si>
  <si>
    <t>9997-5</t>
  </si>
  <si>
    <t>9997-6</t>
  </si>
  <si>
    <t>9997-7</t>
  </si>
  <si>
    <t>9997-8</t>
  </si>
  <si>
    <t>9997-9</t>
  </si>
  <si>
    <t>9997-10</t>
  </si>
  <si>
    <t>9999-3</t>
  </si>
  <si>
    <t>9999-2</t>
  </si>
  <si>
    <t>9999-3a</t>
  </si>
  <si>
    <t>9999-3b</t>
  </si>
  <si>
    <t>9999-3c</t>
  </si>
  <si>
    <t>9999-3d</t>
  </si>
  <si>
    <t>9999-4</t>
  </si>
  <si>
    <t>1011-4</t>
  </si>
  <si>
    <t>1011-13</t>
  </si>
  <si>
    <t>1011-14</t>
  </si>
  <si>
    <t>5% LDRRM Fund</t>
  </si>
  <si>
    <t>Sanitary Inspector I</t>
  </si>
  <si>
    <t>Social Welfare Officer I</t>
  </si>
  <si>
    <t>Less:</t>
  </si>
  <si>
    <t>Physical Therapist I</t>
  </si>
  <si>
    <t>HANSON P. PARAGAS</t>
  </si>
  <si>
    <t>EMRI B. CASTILLO</t>
  </si>
  <si>
    <t>CATHERINE M. DE GUZMAN</t>
  </si>
  <si>
    <t>TOTAL PS_TERMINAL LEAVE BENEFITS</t>
  </si>
  <si>
    <t>Salaries &amp; Wages-Casual</t>
  </si>
  <si>
    <t>Training Expenses</t>
  </si>
  <si>
    <t>Administrative Officer IV</t>
  </si>
  <si>
    <t>Sr. Administrative Assistant III</t>
  </si>
  <si>
    <t>ERNESTO D. PASCUAL</t>
  </si>
  <si>
    <t>-719</t>
  </si>
  <si>
    <t>15/2</t>
  </si>
  <si>
    <t>3/2</t>
  </si>
  <si>
    <t>MEL F. LOPEZ</t>
  </si>
  <si>
    <t>MARIVIC S. ROBENIOL</t>
  </si>
  <si>
    <t>MELCHOR G. CARDINEZ</t>
  </si>
  <si>
    <t>6/2</t>
  </si>
  <si>
    <t>JOVANNIE G. DIAZ</t>
  </si>
  <si>
    <t>5/2</t>
  </si>
  <si>
    <t>11/5</t>
  </si>
  <si>
    <t>BERNARDO T. RELVERIA, JR.</t>
  </si>
  <si>
    <t>Program</t>
  </si>
  <si>
    <t>Office/Department</t>
  </si>
  <si>
    <t>Project/Activity</t>
  </si>
  <si>
    <t>:</t>
  </si>
  <si>
    <t>General Supervision</t>
  </si>
  <si>
    <t xml:space="preserve">Office/Department </t>
  </si>
  <si>
    <t xml:space="preserve">Program               </t>
  </si>
  <si>
    <t xml:space="preserve">Project/Activity      </t>
  </si>
  <si>
    <t>Legislative Services</t>
  </si>
  <si>
    <t>Municipal Law Making Body</t>
  </si>
  <si>
    <t xml:space="preserve">Project/Activity     </t>
  </si>
  <si>
    <t>Office of the M.P.D.C.</t>
  </si>
  <si>
    <t>Planning &amp; Programming</t>
  </si>
  <si>
    <t xml:space="preserve">Program              </t>
  </si>
  <si>
    <t xml:space="preserve">Project/Activity   </t>
  </si>
  <si>
    <t>Office of the Municipal Civil Registrar</t>
  </si>
  <si>
    <t>Civil Registry</t>
  </si>
  <si>
    <t>Civil registration of the municipality</t>
  </si>
  <si>
    <t xml:space="preserve">Office/Department  </t>
  </si>
  <si>
    <t>Budgeting Services</t>
  </si>
  <si>
    <t xml:space="preserve">Project/Activity    </t>
  </si>
  <si>
    <t>Accounting Services</t>
  </si>
  <si>
    <t>Treasury Services</t>
  </si>
  <si>
    <t>Collection of all local taxes</t>
  </si>
  <si>
    <t>Assessment Services</t>
  </si>
  <si>
    <t>Engineering Services</t>
  </si>
  <si>
    <t>Social Services</t>
  </si>
  <si>
    <t>Agricultural Services</t>
  </si>
  <si>
    <t xml:space="preserve">Program             </t>
  </si>
  <si>
    <t>Health Services</t>
  </si>
  <si>
    <t>Office of the Municipal Health Officer I</t>
  </si>
  <si>
    <t>Office of the Municipal Health Officer II</t>
  </si>
  <si>
    <t>Economic Enterprise Management-MARKET</t>
  </si>
  <si>
    <t>Market Supervision</t>
  </si>
  <si>
    <t xml:space="preserve">Project/Activity       </t>
  </si>
  <si>
    <t>Office of the Local Disaster Risk Reduction Management Officer</t>
  </si>
  <si>
    <t>Local Disaster Risk Reduction Management Services</t>
  </si>
  <si>
    <t>Responsible for setting the direction, development, implementation and coordination of disaster risk reduction</t>
  </si>
  <si>
    <t>I.</t>
  </si>
  <si>
    <t>BEGINNING CASH BALANCE</t>
  </si>
  <si>
    <t>II.</t>
  </si>
  <si>
    <t>RECEIPTS</t>
  </si>
  <si>
    <t>a. Real Property Tax (RPT)</t>
  </si>
  <si>
    <t>TOTAL TAX REVENUE</t>
  </si>
  <si>
    <t>a. Regulatory Fees</t>
  </si>
  <si>
    <t>1. Registration Fees</t>
  </si>
  <si>
    <t>Registration on Civil Status</t>
  </si>
  <si>
    <t>Marriage Fees</t>
  </si>
  <si>
    <t>Registration of Large Cattle</t>
  </si>
  <si>
    <t>2. Inspection Fees</t>
  </si>
  <si>
    <t>3. Clearance and Certification Fee</t>
  </si>
  <si>
    <t>Zoning Clearance</t>
  </si>
  <si>
    <t>Police Clearance</t>
  </si>
  <si>
    <t>Locational Clearance</t>
  </si>
  <si>
    <t>4. Permit Fees</t>
  </si>
  <si>
    <t>Mayor's Permit Fees</t>
  </si>
  <si>
    <t>Building Permit Fees</t>
  </si>
  <si>
    <t>Burial Permit Fees</t>
  </si>
  <si>
    <t>Electrical Permit Fees</t>
  </si>
  <si>
    <t>5. Occupation Fees</t>
  </si>
  <si>
    <t>6. Other Fees</t>
  </si>
  <si>
    <t>Sponsors Fee</t>
  </si>
  <si>
    <t>Cemetery Fee</t>
  </si>
  <si>
    <t>Exhumation Fee</t>
  </si>
  <si>
    <t>b. Business and Service Income</t>
  </si>
  <si>
    <t>1. Rent/Lease Income</t>
  </si>
  <si>
    <t>Sports Center/ATRC</t>
  </si>
  <si>
    <t>2. Parking Fee</t>
  </si>
  <si>
    <t>3. Medical, Dental and Laboratory Fees</t>
  </si>
  <si>
    <t>4. Interest Income</t>
  </si>
  <si>
    <t>5. Service Income</t>
  </si>
  <si>
    <t>6. Fines &amp; Penalties</t>
  </si>
  <si>
    <t>TOTAL LOCAL SOURCES</t>
  </si>
  <si>
    <t>A. LOCAL SOURCES</t>
  </si>
  <si>
    <t>B. EXTERNAL SOURCES</t>
  </si>
  <si>
    <t>2. Share from Tobacco Excise Tax</t>
  </si>
  <si>
    <t>TOTAL EXTERNAL SOURCES</t>
  </si>
  <si>
    <t>III.</t>
  </si>
  <si>
    <t>EXPENDITURES</t>
  </si>
  <si>
    <t>Salaries &amp; Wages</t>
  </si>
  <si>
    <t>Salaries &amp; Wages-Regular</t>
  </si>
  <si>
    <t>Other Compensation</t>
  </si>
  <si>
    <t>Personal Economic Relief Allowance (PERA)</t>
  </si>
  <si>
    <t>Previous Year</t>
  </si>
  <si>
    <t>Penalty</t>
  </si>
  <si>
    <t>Amusement Tax</t>
  </si>
  <si>
    <t>Franchise Tax</t>
  </si>
  <si>
    <t>Motor Vehicle Tax</t>
  </si>
  <si>
    <t xml:space="preserve">Tax on Sand, Gravel and Other </t>
  </si>
  <si>
    <t>Quarry Products</t>
  </si>
  <si>
    <t>Community Tax</t>
  </si>
  <si>
    <t>Transportation Allowance (TA)</t>
  </si>
  <si>
    <t>Representation Allowance (RA)</t>
  </si>
  <si>
    <t>Clothing/Uniform Allowance</t>
  </si>
  <si>
    <t>Subsistence, Laundry and Quarter Allowance</t>
  </si>
  <si>
    <t>Other Bonuses and Allowances (Loyalty Bonus)</t>
  </si>
  <si>
    <t>Hazard Pay</t>
  </si>
  <si>
    <t xml:space="preserve">Cash Gift </t>
  </si>
  <si>
    <t>Year End Bonus</t>
  </si>
  <si>
    <t>PAG-IBIG Contributions</t>
  </si>
  <si>
    <t>PHILHEALTH Contributions</t>
  </si>
  <si>
    <t>Health Workers Benefits (Medico-legal allowance)</t>
  </si>
  <si>
    <t>Monetization of Leave Credits</t>
  </si>
  <si>
    <t xml:space="preserve">MAINTENANCE AND OTHER OPERATING EXPENSES </t>
  </si>
  <si>
    <t>Traveling Expenses</t>
  </si>
  <si>
    <t>Accountable Forms Expenses</t>
  </si>
  <si>
    <t>Drugs and Medicines Expenses</t>
  </si>
  <si>
    <t>Medical, Dental &amp; Laboratory Supplies Expenses</t>
  </si>
  <si>
    <t>Postage &amp; Deliveries</t>
  </si>
  <si>
    <t>Telephone Expenses</t>
  </si>
  <si>
    <t>Telephone Expenses (Moblie)</t>
  </si>
  <si>
    <t>Advertising Expenses</t>
  </si>
  <si>
    <t>Representation Expenses</t>
  </si>
  <si>
    <t>Discretionary Fund</t>
  </si>
  <si>
    <t>Extra-Ordinary &amp; Miscellaneous Expenses</t>
  </si>
  <si>
    <t>Fidelity Bond Premiums</t>
  </si>
  <si>
    <t>Other Maintenance &amp; Operating Expenses</t>
  </si>
  <si>
    <t>CAPITAL OUTLAYS</t>
  </si>
  <si>
    <t>SPECIAL PURPOSE APPROPRIATIONS (SPAs)</t>
  </si>
  <si>
    <t>20% Development Fund</t>
  </si>
  <si>
    <t>Aid to Barangays</t>
  </si>
  <si>
    <t>Other Authorized SPAs</t>
  </si>
  <si>
    <t>IV. ENDING  BALANCE</t>
  </si>
  <si>
    <t>(ACTUAL)</t>
  </si>
  <si>
    <t>First Semester</t>
  </si>
  <si>
    <t>Second Semester</t>
  </si>
  <si>
    <t>(ESTIMATE)</t>
  </si>
  <si>
    <t>BUDGET OF EXPENDITURES AND SOURCES OF FINANCING</t>
  </si>
  <si>
    <t>(PROPOSED)</t>
  </si>
  <si>
    <t>We hereby certify that the information presented above are true and correct. We further certify that the foregoing estimated receipts are reasonably projected as collectible for the Budget Year.</t>
  </si>
  <si>
    <t xml:space="preserve">Other Local Taxes </t>
  </si>
  <si>
    <t>Business Tax</t>
  </si>
  <si>
    <t>Fines and Penalties</t>
  </si>
  <si>
    <t>Inspection Fees</t>
  </si>
  <si>
    <t>1. Inspection Fees</t>
  </si>
  <si>
    <t>2. Permit Fees (Mayor)</t>
  </si>
  <si>
    <t>1. Medical Fees</t>
  </si>
  <si>
    <t>2. Market and Slaughterhouse Fees</t>
  </si>
  <si>
    <t>3. Ante-Post Mortem</t>
  </si>
  <si>
    <t>4. Garbage Fees</t>
  </si>
  <si>
    <t>5. Income from Economic Enterprise</t>
  </si>
  <si>
    <t>Stall Rental</t>
  </si>
  <si>
    <t>Cash Tickets</t>
  </si>
  <si>
    <t>Electric Bill</t>
  </si>
  <si>
    <t>Goodwill</t>
  </si>
  <si>
    <t>7. Miscellaneous Income</t>
  </si>
  <si>
    <t>-701</t>
  </si>
  <si>
    <t>-711</t>
  </si>
  <si>
    <t>-713</t>
  </si>
  <si>
    <t>-714</t>
  </si>
  <si>
    <t>-715</t>
  </si>
  <si>
    <t>-716</t>
  </si>
  <si>
    <t>-717</t>
  </si>
  <si>
    <t>-721</t>
  </si>
  <si>
    <t>-723</t>
  </si>
  <si>
    <t>-724</t>
  </si>
  <si>
    <t>-725</t>
  </si>
  <si>
    <t>-731</t>
  </si>
  <si>
    <t>-732</t>
  </si>
  <si>
    <t>-733</t>
  </si>
  <si>
    <t>-734</t>
  </si>
  <si>
    <t>-742</t>
  </si>
  <si>
    <t>-743</t>
  </si>
  <si>
    <t>-756</t>
  </si>
  <si>
    <t>-761</t>
  </si>
  <si>
    <t>-771</t>
  </si>
  <si>
    <t>-772</t>
  </si>
  <si>
    <t>-780</t>
  </si>
  <si>
    <t>-783</t>
  </si>
  <si>
    <t>-841</t>
  </si>
  <si>
    <t>-883</t>
  </si>
  <si>
    <t>-884</t>
  </si>
  <si>
    <t>-892</t>
  </si>
  <si>
    <t>-767</t>
  </si>
  <si>
    <t>-795</t>
  </si>
  <si>
    <t>-893</t>
  </si>
  <si>
    <t>ACCOUNT CODE</t>
  </si>
  <si>
    <t>TOTAL APPROPRIATIONS</t>
  </si>
  <si>
    <t>Prepared:</t>
  </si>
  <si>
    <t>Reviewed:</t>
  </si>
  <si>
    <t>SECTOR</t>
  </si>
  <si>
    <t>PROGRAM/PROJECT/ACTIVITY</t>
  </si>
  <si>
    <t xml:space="preserve">CURRENT YEAR </t>
  </si>
  <si>
    <t>Item Number</t>
  </si>
  <si>
    <t>Old</t>
  </si>
  <si>
    <t>New</t>
  </si>
  <si>
    <t>SG/STEP</t>
  </si>
  <si>
    <t>Budget Year Proposed</t>
  </si>
  <si>
    <t>7</t>
  </si>
  <si>
    <t>Program/Project/Activity</t>
  </si>
  <si>
    <t>Description</t>
  </si>
  <si>
    <t>Major Final Output</t>
  </si>
  <si>
    <t>Performance/Output</t>
  </si>
  <si>
    <t>Indicator</t>
  </si>
  <si>
    <t>STATEMENT OF INDEBTEDNESS</t>
  </si>
  <si>
    <t xml:space="preserve">Date </t>
  </si>
  <si>
    <t xml:space="preserve">Principal </t>
  </si>
  <si>
    <t>Purpose</t>
  </si>
  <si>
    <t>Previous Payments Made</t>
  </si>
  <si>
    <t>Balance of the</t>
  </si>
  <si>
    <t>Noted by:</t>
  </si>
  <si>
    <t>Amounts</t>
  </si>
  <si>
    <t xml:space="preserve">1. </t>
  </si>
  <si>
    <t>STATUTORY AND CONTRACTUAL OBLIGATIONS</t>
  </si>
  <si>
    <t>1.1</t>
  </si>
  <si>
    <t>1.2</t>
  </si>
  <si>
    <t>Employees Compensation Insurance Premiums</t>
  </si>
  <si>
    <t>1.3</t>
  </si>
  <si>
    <t>1.4</t>
  </si>
  <si>
    <t>1.5</t>
  </si>
  <si>
    <t>Retirement and Life Insurance Premiums</t>
  </si>
  <si>
    <t>BUDGETARY REQUIREMENTS</t>
  </si>
  <si>
    <t>2.1</t>
  </si>
  <si>
    <t>2.2</t>
  </si>
  <si>
    <t>2.3</t>
  </si>
  <si>
    <t>20% of IRA for Development Fund</t>
  </si>
  <si>
    <t xml:space="preserve">Financial Assistance to Barangays </t>
  </si>
  <si>
    <t>1011-20</t>
  </si>
  <si>
    <t>1011-21</t>
  </si>
  <si>
    <t>1011-22</t>
  </si>
  <si>
    <t>Savings Unappropriated</t>
  </si>
  <si>
    <t>TOTAL BEGINNING CASH BALANCE</t>
  </si>
  <si>
    <t>Executive direction, control, supervision and management of municipal affairs</t>
  </si>
  <si>
    <t>Plans and Infrastructure Programs of the municipality</t>
  </si>
  <si>
    <t>Prepares and reviews Annual and Supplemental Budget</t>
  </si>
  <si>
    <t>Determine the financial status and update financial statements</t>
  </si>
  <si>
    <t>Assessment of all real properties located in the municipality</t>
  </si>
  <si>
    <t>Prepares estimates of all infrastructure projects of the municipality and inspect them</t>
  </si>
  <si>
    <t>In charge of the general welfare of the population of the muniicpality</t>
  </si>
  <si>
    <t>Create policies on agriculture services and environment</t>
  </si>
  <si>
    <t>Conduct health information campaign; provide basic health services</t>
  </si>
  <si>
    <t>Conduct health information campaign, provide basic health services</t>
  </si>
  <si>
    <t>Collection of business taxes and maintenance of market and slaughterhouse</t>
  </si>
  <si>
    <t>and management programs</t>
  </si>
  <si>
    <t>Performance Enhancement Incentive (PEI)</t>
  </si>
  <si>
    <t>Office Equipment</t>
  </si>
  <si>
    <t>5-01-01-010</t>
  </si>
  <si>
    <t>5-01-02-010</t>
  </si>
  <si>
    <t>5-01-02-020</t>
  </si>
  <si>
    <t>5-01-02-030</t>
  </si>
  <si>
    <t>5-01-02-040</t>
  </si>
  <si>
    <t>5-01-02-080</t>
  </si>
  <si>
    <t>5-01-02-990</t>
  </si>
  <si>
    <t>5-01-02-150</t>
  </si>
  <si>
    <t>5-01-02-140</t>
  </si>
  <si>
    <t>5-01-03-010</t>
  </si>
  <si>
    <t>5-01-03-020</t>
  </si>
  <si>
    <t>5-01-03-030</t>
  </si>
  <si>
    <t>5-01-03-040</t>
  </si>
  <si>
    <t>5-01-04-030</t>
  </si>
  <si>
    <t>5-02-01-010</t>
  </si>
  <si>
    <t>5-02-02-010</t>
  </si>
  <si>
    <t>5-02-03-010</t>
  </si>
  <si>
    <t>5-02-05-010</t>
  </si>
  <si>
    <t>5-02-05-020</t>
  </si>
  <si>
    <t>5-02-13-990</t>
  </si>
  <si>
    <t>5-02-99-990</t>
  </si>
  <si>
    <t>5-01-02-050</t>
  </si>
  <si>
    <t>5-01-02-110</t>
  </si>
  <si>
    <t>5-01-02-130</t>
  </si>
  <si>
    <t>5-01-04-990</t>
  </si>
  <si>
    <t>5-02-03-020</t>
  </si>
  <si>
    <t>5-02-03-070</t>
  </si>
  <si>
    <t>5-02-03-080</t>
  </si>
  <si>
    <t>5-02-03-090</t>
  </si>
  <si>
    <t>5-02-99-010</t>
  </si>
  <si>
    <t>5-02-99-030</t>
  </si>
  <si>
    <t>5-02-13-060</t>
  </si>
  <si>
    <t>5-02-10-030</t>
  </si>
  <si>
    <t>5-02-16-020</t>
  </si>
  <si>
    <t>4-01-02-040</t>
  </si>
  <si>
    <t>4-01-05-020</t>
  </si>
  <si>
    <t>4-01-05-040</t>
  </si>
  <si>
    <t>4-01-03-060</t>
  </si>
  <si>
    <t>4-01-03-070</t>
  </si>
  <si>
    <t>4-01-03-040</t>
  </si>
  <si>
    <t>4-01-01-050</t>
  </si>
  <si>
    <t>4-02-01-020</t>
  </si>
  <si>
    <t>4-02-01-100</t>
  </si>
  <si>
    <t>4-02-01-040</t>
  </si>
  <si>
    <t>4-02-01-010</t>
  </si>
  <si>
    <t>4-02-01-140</t>
  </si>
  <si>
    <t>4-02-01-990</t>
  </si>
  <si>
    <t>4-02-02-160</t>
  </si>
  <si>
    <t>4-02-02-050</t>
  </si>
  <si>
    <t>4-02-02-120</t>
  </si>
  <si>
    <t>4-02-02-200</t>
  </si>
  <si>
    <t>4-02-02-220</t>
  </si>
  <si>
    <t>4-06-01-010</t>
  </si>
  <si>
    <t>4-01-06-010</t>
  </si>
  <si>
    <t>4-01-06-040</t>
  </si>
  <si>
    <t>R</t>
  </si>
  <si>
    <t>5-01-01-020</t>
  </si>
  <si>
    <t>5-02-04-020</t>
  </si>
  <si>
    <t>5-02-12-990</t>
  </si>
  <si>
    <t>5-02-16-030</t>
  </si>
  <si>
    <t>4-01-03-030</t>
  </si>
  <si>
    <t>4-02-01-160</t>
  </si>
  <si>
    <t>4-02-02-150</t>
  </si>
  <si>
    <t>4-02-02-190</t>
  </si>
  <si>
    <t>4-02-02-140</t>
  </si>
  <si>
    <t xml:space="preserve">TOTAL MAINTENANCE AND OTHER OPERATING EXPENSES </t>
  </si>
  <si>
    <t>TOTAL CAPITAL OUTLAYS</t>
  </si>
  <si>
    <t>-582</t>
  </si>
  <si>
    <t>-599</t>
  </si>
  <si>
    <t>-617</t>
  </si>
  <si>
    <t>-605</t>
  </si>
  <si>
    <t>-601</t>
  </si>
  <si>
    <t>-619</t>
  </si>
  <si>
    <t>-637-1</t>
  </si>
  <si>
    <t>-637-2</t>
  </si>
  <si>
    <t>-616</t>
  </si>
  <si>
    <t>-636-1</t>
  </si>
  <si>
    <t>-636-2</t>
  </si>
  <si>
    <t>-636-3</t>
  </si>
  <si>
    <t>-636-4</t>
  </si>
  <si>
    <t>-588-1</t>
  </si>
  <si>
    <t>-588-2</t>
  </si>
  <si>
    <t>-581</t>
  </si>
  <si>
    <t>-584</t>
  </si>
  <si>
    <t>-604</t>
  </si>
  <si>
    <t>-593</t>
  </si>
  <si>
    <t>-583</t>
  </si>
  <si>
    <t>-606-1</t>
  </si>
  <si>
    <t>-606-2</t>
  </si>
  <si>
    <t>-606-3</t>
  </si>
  <si>
    <t>-613-1</t>
  </si>
  <si>
    <t>-613-2</t>
  </si>
  <si>
    <t>-613-3</t>
  </si>
  <si>
    <t>-605-1</t>
  </si>
  <si>
    <t>-605-2</t>
  </si>
  <si>
    <t>-605-3</t>
  </si>
  <si>
    <t>-605-4</t>
  </si>
  <si>
    <t>-585</t>
  </si>
  <si>
    <t>-628</t>
  </si>
  <si>
    <t>-633-1</t>
  </si>
  <si>
    <t>-633-2</t>
  </si>
  <si>
    <t>-642</t>
  </si>
  <si>
    <t>-640</t>
  </si>
  <si>
    <t>-664</t>
  </si>
  <si>
    <t>-678</t>
  </si>
  <si>
    <t>-665</t>
  </si>
  <si>
    <t>-671</t>
  </si>
  <si>
    <t>NR</t>
  </si>
  <si>
    <t>Productivity Enhancement Incentive (PEI)</t>
  </si>
  <si>
    <t xml:space="preserve">          M.P.D.C.</t>
  </si>
  <si>
    <t>TOTAL CAPITAL OUTLAY</t>
  </si>
  <si>
    <t>MARJORIE V. TINTE, CPA</t>
  </si>
  <si>
    <t>Aid to PNP</t>
  </si>
  <si>
    <t>Aid to Bureau of Fire Protection</t>
  </si>
  <si>
    <t>Aid to Trial Court</t>
  </si>
  <si>
    <t>Aid to COA</t>
  </si>
  <si>
    <t>Aid to Prosecutor's Office</t>
  </si>
  <si>
    <t>Aid to Public Attorney's Office (PAO)</t>
  </si>
  <si>
    <t>Other Bonuses and Allowances (Mid Year Bonus)</t>
  </si>
  <si>
    <t>20% Development Fund to be reprogrammed</t>
  </si>
  <si>
    <t>Aid to DILG</t>
  </si>
  <si>
    <t>Aid to COMELEC</t>
  </si>
  <si>
    <t>Aid to BIR</t>
  </si>
  <si>
    <t>Medicare Para sa Masa</t>
  </si>
  <si>
    <t>Aid to Veterans</t>
  </si>
  <si>
    <t>Aid to BHW</t>
  </si>
  <si>
    <t>Aid to PLEB</t>
  </si>
  <si>
    <t>Aid to Scouting</t>
  </si>
  <si>
    <t>SPES-Special Program for Employment of Students</t>
  </si>
  <si>
    <t>Maintenance of Plaza, Parks, and Monuments</t>
  </si>
  <si>
    <t>Maintenance of Roads and Bridges</t>
  </si>
  <si>
    <t>Other Services</t>
  </si>
  <si>
    <t>Capability Building</t>
  </si>
  <si>
    <t>GAD</t>
  </si>
  <si>
    <t>Nutrition Program</t>
  </si>
  <si>
    <t>Population Development Program</t>
  </si>
  <si>
    <t>Environmental Sanitation Program</t>
  </si>
  <si>
    <t>PESO &amp; MDO</t>
  </si>
  <si>
    <t>Sports Development</t>
  </si>
  <si>
    <t>Legal Services</t>
  </si>
  <si>
    <t>Non-Formal Education</t>
  </si>
  <si>
    <t>Mun. Anti- Drug Addiction Campaign</t>
  </si>
  <si>
    <t>Senior Citizens &amp; the Differently-Abled</t>
  </si>
  <si>
    <t xml:space="preserve">          OSCA</t>
  </si>
  <si>
    <t xml:space="preserve">          PDAO</t>
  </si>
  <si>
    <t xml:space="preserve">          STAC</t>
  </si>
  <si>
    <t xml:space="preserve">          Plans &amp; Programs</t>
  </si>
  <si>
    <t>Maintenance of Municipal Building &amp; Other Facilities</t>
  </si>
  <si>
    <t>Tourism Development</t>
  </si>
  <si>
    <t xml:space="preserve">AIP </t>
  </si>
  <si>
    <t xml:space="preserve">REFERENCE </t>
  </si>
  <si>
    <t>Water Expenses</t>
  </si>
  <si>
    <t>Telephone Expenses-Landline</t>
  </si>
  <si>
    <t>2.4</t>
  </si>
  <si>
    <t>5% Local Disaster Risk Reduction and Management (LDRRMF)</t>
  </si>
  <si>
    <t>Doctor to the Barrios</t>
  </si>
  <si>
    <t xml:space="preserve">      Special Purpose Appropriation</t>
  </si>
  <si>
    <t>IT Equipment &amp; Software</t>
  </si>
  <si>
    <t>-221</t>
  </si>
  <si>
    <t>1-07-05-020</t>
  </si>
  <si>
    <t>-223</t>
  </si>
  <si>
    <t>Furniture and Fixtures</t>
  </si>
  <si>
    <t>-222</t>
  </si>
  <si>
    <t>1-07-07-010</t>
  </si>
  <si>
    <t>Office Building</t>
  </si>
  <si>
    <t>1-07-04-010</t>
  </si>
  <si>
    <t>Motor Vehicles</t>
  </si>
  <si>
    <t>Communication Equipment</t>
  </si>
  <si>
    <t>1-07-05-070</t>
  </si>
  <si>
    <t>1-07-06-010</t>
  </si>
  <si>
    <t>Books</t>
  </si>
  <si>
    <t>1-07-07-020</t>
  </si>
  <si>
    <t>Aid to Asingan Community Hospital</t>
  </si>
  <si>
    <t>M.C.R.</t>
  </si>
  <si>
    <t>Municipal Assessor</t>
  </si>
  <si>
    <t>Municipal Health Officer</t>
  </si>
  <si>
    <t>Local Budget Prep. Form 2a</t>
  </si>
  <si>
    <t xml:space="preserve">Budget of Expenditures and Sources of </t>
  </si>
  <si>
    <t>Financing</t>
  </si>
  <si>
    <t>Programmed Appropriation and Obligation</t>
  </si>
  <si>
    <t>by Object of Expenditure</t>
  </si>
  <si>
    <t>Mandate, Vision, Mission, Major Final Output,</t>
  </si>
  <si>
    <t>Performance Indicators and Targets</t>
  </si>
  <si>
    <t>Statement of Indebtedness</t>
  </si>
  <si>
    <t>Statement of Statutory and Contractual</t>
  </si>
  <si>
    <t>Statement of Fund Allocation by Sector</t>
  </si>
  <si>
    <t>for Special Purpose Appropriations</t>
  </si>
  <si>
    <t>Public Affairs Fund</t>
  </si>
  <si>
    <t>Local Council for the Protection of Children (LCPC)</t>
  </si>
  <si>
    <t xml:space="preserve">Republic of the Philippines </t>
  </si>
  <si>
    <t xml:space="preserve">          Katarungang Pambarangay</t>
  </si>
  <si>
    <t>1011-3a</t>
  </si>
  <si>
    <t>CHRISTOPHER JERONE S. LAVARIAS</t>
  </si>
  <si>
    <t>KATHRINA P. BOLLESER</t>
  </si>
  <si>
    <t>MARIA TERESA L. ODA</t>
  </si>
  <si>
    <t>24/4</t>
  </si>
  <si>
    <t>CLARA G. LEAÑO</t>
  </si>
  <si>
    <t>MERLITA M. SERQUIÑA</t>
  </si>
  <si>
    <t>MARY KRISSEL G. GELIDO</t>
  </si>
  <si>
    <t>VIVIAN B. ROMERO</t>
  </si>
  <si>
    <t>RAFFY V. BIAGAN</t>
  </si>
  <si>
    <t>JESUS G. CARDINEZ</t>
  </si>
  <si>
    <t>TERESA L. HELACIO</t>
  </si>
  <si>
    <t>Aid to Child Development Workers</t>
  </si>
  <si>
    <t>Department Head I/MCR</t>
  </si>
  <si>
    <t>Department Head I/MBO</t>
  </si>
  <si>
    <t>Department Head I/MSWDO</t>
  </si>
  <si>
    <t>Department Head I/Mun. Agriculturist</t>
  </si>
  <si>
    <t>Department Head I/Mun. Accountant</t>
  </si>
  <si>
    <t>Department Head I/Mun. Treasurer</t>
  </si>
  <si>
    <t>Department Head I/Mun. Assessor</t>
  </si>
  <si>
    <t>Department Head I/Mun. Engineer</t>
  </si>
  <si>
    <t>Municipal Government/</t>
  </si>
  <si>
    <t>Department Head I/Mun. Health Officer</t>
  </si>
  <si>
    <t>Other Bonuses and Allowances (Mid-Year Bonus)</t>
  </si>
  <si>
    <t>IT Equipment &amp; Software (Laptop &amp; Printer)</t>
  </si>
  <si>
    <t>Aid to BNS</t>
  </si>
  <si>
    <t>-224</t>
  </si>
  <si>
    <t>-229</t>
  </si>
  <si>
    <t>ok</t>
  </si>
  <si>
    <t>LDRRMO III</t>
  </si>
  <si>
    <t>ENGR. BENJAMIN B. GINES, JR.</t>
  </si>
  <si>
    <t>DR. JESUS G. CARDINEZ</t>
  </si>
  <si>
    <t>DR. RONNIE S. TOMAS</t>
  </si>
  <si>
    <t>Local Budget Prep. Form 3a</t>
  </si>
  <si>
    <t>Personnel Schedule per Office</t>
  </si>
  <si>
    <t>i.</t>
  </si>
  <si>
    <t>TERESA O. MAMALIO, RSW</t>
  </si>
  <si>
    <t>Environment Management Specialist I</t>
  </si>
  <si>
    <t>CRISPIN G. VILLANUEVA</t>
  </si>
  <si>
    <t>Repairs &amp; Maintenance-Machinery and Equipment</t>
  </si>
  <si>
    <t>Other Infrastructure Assets</t>
  </si>
  <si>
    <t>1-07-03-990</t>
  </si>
  <si>
    <t>Fuel, Oil, &amp; Lubricant Expenses</t>
  </si>
  <si>
    <t>Repairs &amp; Maintenance-Transportation Equipment</t>
  </si>
  <si>
    <t>Repairs &amp; Maintenance-Machinery &amp; Equipment</t>
  </si>
  <si>
    <t>Aid to Public Schools</t>
  </si>
  <si>
    <t>Expenditures</t>
  </si>
  <si>
    <t>(ACTUAL AND ESTIMATE)</t>
  </si>
  <si>
    <t>TOTAL 5% LOCAL DISASTER RISK REDUCTION FUND</t>
  </si>
  <si>
    <t>Subsistence, Laundry &amp; Quarter Allowance</t>
  </si>
  <si>
    <t>ANGELICA MAE E. TAN</t>
  </si>
  <si>
    <t>-211</t>
  </si>
  <si>
    <t>-241</t>
  </si>
  <si>
    <t>Maintenance of Motor Vehicles</t>
  </si>
  <si>
    <t>Non-Office</t>
  </si>
  <si>
    <t>SUB-TOTAL</t>
  </si>
  <si>
    <t>17/7</t>
  </si>
  <si>
    <t>10/3</t>
  </si>
  <si>
    <t>1/7</t>
  </si>
  <si>
    <t>(TOTAL)</t>
  </si>
  <si>
    <t>1-07-04-990</t>
  </si>
  <si>
    <t>-203</t>
  </si>
  <si>
    <t>Aid to BSPO</t>
  </si>
  <si>
    <t>9997-12</t>
  </si>
  <si>
    <t>9997-14</t>
  </si>
  <si>
    <t>Repairs &amp; Maintenance-Buildings &amp; Other Structures</t>
  </si>
  <si>
    <t>5-02-13-040</t>
  </si>
  <si>
    <t>5-02-13-050</t>
  </si>
  <si>
    <t>Repairs &amp; Maintenance-Building</t>
  </si>
  <si>
    <t>IT Equipment &amp; Software (Installation of System)</t>
  </si>
  <si>
    <t>Total Station (Surveying Equipment)</t>
  </si>
  <si>
    <t>1-07-05-990</t>
  </si>
  <si>
    <t>1011-19</t>
  </si>
  <si>
    <t>1011-23</t>
  </si>
  <si>
    <t>FIEL XYMOND R. CARDINEZ</t>
  </si>
  <si>
    <t>SUSANA R. COLOMA</t>
  </si>
  <si>
    <t>ALVIN ERWIN D. PARAGAS</t>
  </si>
  <si>
    <t>MAHINAHON C. GABRIEL</t>
  </si>
  <si>
    <t>KENNETH DG. AFOS</t>
  </si>
  <si>
    <t>FERDINAND M. CORPUZ</t>
  </si>
  <si>
    <t>Municipal Engineer</t>
  </si>
  <si>
    <t>Community Affairs Assistant II</t>
  </si>
  <si>
    <t>Agriculturist II</t>
  </si>
  <si>
    <t>Accountant I</t>
  </si>
  <si>
    <t>6</t>
  </si>
  <si>
    <t>13</t>
  </si>
  <si>
    <t>18</t>
  </si>
  <si>
    <t>22</t>
  </si>
  <si>
    <t>25</t>
  </si>
  <si>
    <t>26</t>
  </si>
  <si>
    <t>27</t>
  </si>
  <si>
    <t>28</t>
  </si>
  <si>
    <t>29</t>
  </si>
  <si>
    <t>30</t>
  </si>
  <si>
    <t>31</t>
  </si>
  <si>
    <t>32</t>
  </si>
  <si>
    <t>33</t>
  </si>
  <si>
    <t>34</t>
  </si>
  <si>
    <t>35</t>
  </si>
  <si>
    <t>36</t>
  </si>
  <si>
    <t>37</t>
  </si>
  <si>
    <t>38</t>
  </si>
  <si>
    <t>60</t>
  </si>
  <si>
    <t>61</t>
  </si>
  <si>
    <t>62</t>
  </si>
  <si>
    <t>LETICIA R. DOLLENTE</t>
  </si>
  <si>
    <t>ARJAY M. GARCIA</t>
  </si>
  <si>
    <t>PEARCHIN T. MAMASIG</t>
  </si>
  <si>
    <t>Municipal Treasurer</t>
  </si>
  <si>
    <t>66</t>
  </si>
  <si>
    <t>67</t>
  </si>
  <si>
    <t>70</t>
  </si>
  <si>
    <t>42</t>
  </si>
  <si>
    <t xml:space="preserve">Office: </t>
  </si>
  <si>
    <t>OFFICE OF THE MUNICIPAL MAYOR</t>
  </si>
  <si>
    <t xml:space="preserve">Mandate: </t>
  </si>
  <si>
    <t>Executive direction, control, supervision and management of all municipal affairs.</t>
  </si>
  <si>
    <t>Vision:</t>
  </si>
  <si>
    <t>Attain Economic Growth and progress through concerned efforts of its God-loving, dedicated, committed political and lay leaders working together for the General Welfare of their constituents</t>
  </si>
  <si>
    <t xml:space="preserve">Mission: </t>
  </si>
  <si>
    <t xml:space="preserve">Envision to achieve Political Maturity, Socio-Economic Growth and Progress through excellence in Public Service, Agricultural and Technological Modernization and thriving Commerce and Industry sustained by their Natural Resources and God-loving, industrious, law-abiding and peaceful  loving people </t>
  </si>
  <si>
    <t>Organizational Outcome:  Prudence and maximum utilization of Public Funds and delivery of Basic-Services to its constituents to its fullest</t>
  </si>
  <si>
    <t>AIP CODE</t>
  </si>
  <si>
    <t>Target for the Budget Year</t>
  </si>
  <si>
    <t>1000-1-0</t>
  </si>
  <si>
    <t xml:space="preserve">Formulate policy, guidelines and implementation of all PPA's </t>
  </si>
  <si>
    <t>Ensure all PPA's are fully implemented</t>
  </si>
  <si>
    <t>100% Policy implementation</t>
  </si>
  <si>
    <t>Sustain/maintain whole year round Municipality-wide</t>
  </si>
  <si>
    <t>Directs the implementation of Municipal Plans and Projects of AIP</t>
  </si>
  <si>
    <t>Monitoring/supervising of all Municipal Plans</t>
  </si>
  <si>
    <t>100% full implementation</t>
  </si>
  <si>
    <t>Sustain/maintain all PPA's during Budget Year; Municipality-wide</t>
  </si>
  <si>
    <t>Provide extension services in planning/budgeting to all 21 brgys.</t>
  </si>
  <si>
    <t>Extended services to all Brgys.</t>
  </si>
  <si>
    <t>100% services needed to brgys. to be addressed in accordance to Local Code</t>
  </si>
  <si>
    <t>Maintain regular rapport/monitoring to all Brgys.; Municipality-wide</t>
  </si>
  <si>
    <t>Delivers public assistance services to marginalized constituents, farmers, disadvantaged PWD's, and elderly</t>
  </si>
  <si>
    <t>All concerns of theses sectors are addressed immediately</t>
  </si>
  <si>
    <t>100% fully implemented</t>
  </si>
  <si>
    <t>All year round direct monitoring of their basic needs; Municipality-wide</t>
  </si>
  <si>
    <t>Provide consultative services to all Punong Brgys. on local governance</t>
  </si>
  <si>
    <t>Monthly regular meeting</t>
  </si>
  <si>
    <t>All PPA's shall synchronize to brgy. activities</t>
  </si>
  <si>
    <t>All year round monitoring/consultation; Municipality-wide</t>
  </si>
  <si>
    <t>Implement priority projects necessary to economic growth of the municipality</t>
  </si>
  <si>
    <t>Prioritized the immediate projects needed by constituents</t>
  </si>
  <si>
    <t>As needes arises; Municipality-wide</t>
  </si>
  <si>
    <t>General Regular Activities</t>
  </si>
  <si>
    <t>No backlog at the end of the day</t>
  </si>
  <si>
    <t>100% quality delivery of basic services</t>
  </si>
  <si>
    <t>Sustain/maintain of all PPA's for the whole year</t>
  </si>
  <si>
    <t>Prepared by:</t>
  </si>
  <si>
    <t>Reviewed:  Local Finance Committee</t>
  </si>
  <si>
    <t>43</t>
  </si>
  <si>
    <t>OFFICE OF THE SANGGUNIANG BAYAN</t>
  </si>
  <si>
    <t>As the Legislative body of the municipality, it shall enact ordinances, approve resolutions and appropriate funds for the general welfare of its constituents.</t>
  </si>
  <si>
    <t>A Legislative Body where all the enacted/approved ordinances and resolutions are fully implemented for the benefit and welfare of the townspeople of Asingan and the municipality in general</t>
  </si>
  <si>
    <t>To enact ordinances/approved resolutions and appropriate funds for the general welfare of the municipality and its inhabitants, generate and maximize the use of resources and revenues for the programs, projects and activities of the municipal government</t>
  </si>
  <si>
    <t>Organizational Outcome:  Clientele adhere/follow the enacted/approved ordinances and resolutions for the general welfare of every Asinganians</t>
  </si>
  <si>
    <t>1000-2-1</t>
  </si>
  <si>
    <t>Minutes of Session</t>
  </si>
  <si>
    <t>Every Monday</t>
  </si>
  <si>
    <t>48 weeks</t>
  </si>
  <si>
    <t>Ordinances</t>
  </si>
  <si>
    <t>Conducted within the presence of SBM, CSO's &amp; other stakeholders</t>
  </si>
  <si>
    <t>100% conducted</t>
  </si>
  <si>
    <t>20 committee hearing/public</t>
  </si>
  <si>
    <t>- Conduct Committee Hearing</t>
  </si>
  <si>
    <t>- Conduct Public Hearing</t>
  </si>
  <si>
    <t>- Final Approval at SP</t>
  </si>
  <si>
    <t>SP Lingayen for review</t>
  </si>
  <si>
    <t>100% approved</t>
  </si>
  <si>
    <t>10 ordinances</t>
  </si>
  <si>
    <t>Resolutions</t>
  </si>
  <si>
    <t>Approved</t>
  </si>
  <si>
    <t>200 resolutions</t>
  </si>
  <si>
    <t>Exercise such other powers and perform such other duties and functions as may be prescribed by law or ordinance.</t>
  </si>
  <si>
    <t>Public Assistance</t>
  </si>
  <si>
    <t>Level of satisfaction of clients for services rendered</t>
  </si>
  <si>
    <t>Year Round</t>
  </si>
  <si>
    <t>SB Secretary</t>
  </si>
  <si>
    <t>44</t>
  </si>
  <si>
    <t>Office:</t>
  </si>
  <si>
    <t>MUNICIPAL PLANNING AND DEVELOPMENT OFFICE</t>
  </si>
  <si>
    <t>Planning and coordinating development projects of the local government unit</t>
  </si>
  <si>
    <t>Center of information and study for current and projected plans for the welfare of the general public as to social, economic, environmental and other concerns</t>
  </si>
  <si>
    <t>Continual update of the developmental plans for the attainment/realization of a better human, financial and physical condition of the Municipality</t>
  </si>
  <si>
    <t>Organizational Outcome:  A well-monitored implementation of the different developmental programs, projects and activities of the municipality</t>
  </si>
  <si>
    <t>Program / Project/Activity Description</t>
  </si>
  <si>
    <t>Major Final Outcome</t>
  </si>
  <si>
    <t>Performance/Output Indicator</t>
  </si>
  <si>
    <t>MODE</t>
  </si>
  <si>
    <t>1000-3-0</t>
  </si>
  <si>
    <t>Day to day services to all sectors in the Government and the General Public</t>
  </si>
  <si>
    <t>Provided services in accordance with existing rules, laws and regulations</t>
  </si>
  <si>
    <t>100% needed supports and services accordingly all year round</t>
  </si>
  <si>
    <t>100% needed supports and services accordingly all year round and other services needed are rendered</t>
  </si>
  <si>
    <t>Conduct procurement activities</t>
  </si>
  <si>
    <t>Provided transparency and information of procurements</t>
  </si>
  <si>
    <t>100% procurement posted in the PHILGEPS and bulletin boards are implemented accordingly, 100% of basic services are met</t>
  </si>
  <si>
    <t>Sectoral PAP's are identified in accordance with existing rules</t>
  </si>
  <si>
    <t>100% of basic services are met</t>
  </si>
  <si>
    <t>Charge to 20% Development Fund</t>
  </si>
  <si>
    <t>45</t>
  </si>
  <si>
    <t>MUNICIPAL CIVIL REGISTRAR</t>
  </si>
  <si>
    <t>Mandate:</t>
  </si>
  <si>
    <t>Civil Registration of the Municipality</t>
  </si>
  <si>
    <t>We belong to a developed municipality with God fearing, competent and disciplined staff committed to serve the public with high integrity, honesty, and excellence in the public service.</t>
  </si>
  <si>
    <t>Mission:</t>
  </si>
  <si>
    <t>We are committed to register vital events such as births, death and marriage and other registable events required by law through implementation of registration procedures and provisions</t>
  </si>
  <si>
    <t>which will standardize the Civil Registration System in the Municipality resulting in current, complete and accurate vital statistics in the municipality.</t>
  </si>
  <si>
    <t xml:space="preserve">Organizational Outcome: Efficient delivery of civil registration documents and programs pursuant to the civil registry law, the civil code and other pertinent laws. </t>
  </si>
  <si>
    <t>1000-4-0</t>
  </si>
  <si>
    <t>Support Service</t>
  </si>
  <si>
    <t>Policy guidelines formulated</t>
  </si>
  <si>
    <t>Prepare and submit monthly accomplishment report</t>
  </si>
  <si>
    <t>100% Submitted</t>
  </si>
  <si>
    <t>Marriages, licenses, death certificates, birth certificates.</t>
  </si>
  <si>
    <t xml:space="preserve">First ten days of January &amp; every month/as need arises </t>
  </si>
  <si>
    <t>Free issuance of Certified True Copies of Birth, Death and Marriages</t>
  </si>
  <si>
    <t>100% request issued</t>
  </si>
  <si>
    <t>All concerned</t>
  </si>
  <si>
    <t>Every February 27</t>
  </si>
  <si>
    <t>Mass Wedding</t>
  </si>
  <si>
    <t>100% approved applications</t>
  </si>
  <si>
    <t>Asingan Constituents</t>
  </si>
  <si>
    <t xml:space="preserve">Any day  of February </t>
  </si>
  <si>
    <t>Conduct information dissemination on Civil Registration</t>
  </si>
  <si>
    <t>As need arises</t>
  </si>
  <si>
    <t>RHU Staff/ABC meeting/Barangay Assembly</t>
  </si>
  <si>
    <t>Attend MCR meeting/conferences</t>
  </si>
  <si>
    <t>100% Attendance</t>
  </si>
  <si>
    <t>Monthly</t>
  </si>
  <si>
    <t>Attend MCR Convention/Seminar Workshop/Training</t>
  </si>
  <si>
    <t>80% Attendance</t>
  </si>
  <si>
    <t>3x a year</t>
  </si>
  <si>
    <t>46</t>
  </si>
  <si>
    <t>MUNICIPAL BUDGET OFFICE</t>
  </si>
  <si>
    <t>Responsible for the Appropriation matters, review/evaluation of Financial Plans and Release of Allotments</t>
  </si>
  <si>
    <t>We don't just count the peso; we make every peso count by preparing a sound and balanced budget of the municipality</t>
  </si>
  <si>
    <t>The Municipal Budget Office will prioritize economic recovery and growth of the municipality by ensuring that no overdrafts will be incurred. No deficit spending and generation of savings and surpluses without prejudice to project and program implementations</t>
  </si>
  <si>
    <t>Organizational Outcome:  Delivery of basic services is attained immediately and promptly</t>
  </si>
  <si>
    <t>1000-5-0</t>
  </si>
  <si>
    <t>Preparation of Annual Budget /Supplemental Budget</t>
  </si>
  <si>
    <t>Annual Budget/Supplemental Budget</t>
  </si>
  <si>
    <t>100% compliance with all budgeting requirements</t>
  </si>
  <si>
    <t>100% Accuracy</t>
  </si>
  <si>
    <t>Sustain/maintain balance budget</t>
  </si>
  <si>
    <t>Review the 21 Brgys. Annual/Supplemental Budgets</t>
  </si>
  <si>
    <t>Review/submission to SB for approval, always on prescribed deadline</t>
  </si>
  <si>
    <t>100% review of 21 Brgy. Budget</t>
  </si>
  <si>
    <t>Sustain/maintain regular PPA's</t>
  </si>
  <si>
    <t>Quarterly Release of Allotments</t>
  </si>
  <si>
    <t>Ensure that allotment are strictly followed</t>
  </si>
  <si>
    <t>Allotment are released before the monthly quarter ends</t>
  </si>
  <si>
    <t>Sustain/maintain surplus budget</t>
  </si>
  <si>
    <t>Regular/Daily PPA's shall be given outmost priority</t>
  </si>
  <si>
    <t>Serve well the regular clientele with promptness and courtesy</t>
  </si>
  <si>
    <t>100% guaranteed public service to all clientele w/o delay</t>
  </si>
  <si>
    <t>Sustain/maintain good public service</t>
  </si>
  <si>
    <t>General Administrative and Support Service</t>
  </si>
  <si>
    <t xml:space="preserve">Regular PPA's </t>
  </si>
  <si>
    <t>Statutory obligations be met/complied with</t>
  </si>
  <si>
    <t>Sustain/maintain regular activities</t>
  </si>
  <si>
    <t>Issuance of Endorsement Letters to 21 Barangays</t>
  </si>
  <si>
    <t>Endorsement Letter</t>
  </si>
  <si>
    <t>To be included in the calendar of business for committee hearing</t>
  </si>
  <si>
    <t>21 Barangays</t>
  </si>
  <si>
    <t>42 Endorsement Letters</t>
  </si>
  <si>
    <t>Coordinate with the MPDC &amp; LDC for the preparation of the AIP</t>
  </si>
  <si>
    <t>Annual Investment Program</t>
  </si>
  <si>
    <t>Number of meetings with MPDC, LDC and LFC</t>
  </si>
  <si>
    <t>Coordinate in the Accounting &amp; Treasurer's Office for the reconciliation of figures</t>
  </si>
  <si>
    <t>Summary of Receipts &amp; Receipts and Expenditures (General, Special Education Fund, and Barangay)</t>
  </si>
  <si>
    <t>Amounts are reconciled in the Financial Statements</t>
  </si>
  <si>
    <t>47</t>
  </si>
  <si>
    <t>Recording of Obligation Request</t>
  </si>
  <si>
    <t>Status of Appropriation, Allotment, Obligation and Balances</t>
  </si>
  <si>
    <t xml:space="preserve">Availability of Balances </t>
  </si>
  <si>
    <t>Reconciled in the Accounting Disbursement Journals</t>
  </si>
  <si>
    <t>Proper Recording of Expenses</t>
  </si>
  <si>
    <t>Certification of Available Appropriation for Obligation Request and Purchase Request</t>
  </si>
  <si>
    <t>Signed Obligation Request/Purchase Request</t>
  </si>
  <si>
    <t>2 minutes per Obligation Request/Purchase Request</t>
  </si>
  <si>
    <t>Summary of Expenses According to Classification (PS, MOOE, CO)</t>
  </si>
  <si>
    <t>Availability of Information</t>
  </si>
  <si>
    <t>100 % accuracy</t>
  </si>
  <si>
    <t>Reconciled in the Accounting Summary Records of Expenses</t>
  </si>
  <si>
    <t>Recording of Expenses</t>
  </si>
  <si>
    <t>Summary of Expenditures for the Preceding/Current Year</t>
  </si>
  <si>
    <t>Trial Balance &amp; SAOOB verified in the Accounting</t>
  </si>
  <si>
    <t>48</t>
  </si>
  <si>
    <t>ACCOUNTING OFFICE</t>
  </si>
  <si>
    <t>Take charge of both the accounting and internal audit services of the Municipal Government in accordance with RA 7160</t>
  </si>
  <si>
    <t>To safeguard the misuse of funds and improper entry of accounts that does not conform with accounting procedures</t>
  </si>
  <si>
    <t>Organizational Outcome:  We commit ourselves with the willingness to serve with clients with justness and sincerity and shall not discriminate with others. Our service clients are assured with our timely and accurate reports done by a competent and professionaly behaved staff.</t>
  </si>
  <si>
    <t>1000-6-0</t>
  </si>
  <si>
    <t>Prepare statements of cash advances, liquidation, salaries, allowances, reimbursements and remittances</t>
  </si>
  <si>
    <t>General Ledger and Subsidiary Ledger</t>
  </si>
  <si>
    <t>Updated general ledger and subsidiary ledger</t>
  </si>
  <si>
    <t>Account for all issued requests for obligations and maintain and keep all records and reports related thereto</t>
  </si>
  <si>
    <t>Registry of Allotment and Obligation for Personal Services, RAO for Maintenance and Operation Expenses, and RAO for Capital Outlay</t>
  </si>
  <si>
    <t>Timely submission of quarterly reports regarding RAOPS, RAAMOE and RAOCO</t>
  </si>
  <si>
    <t>Quarterly posting of RAOPS, RAOMOE and RAOCO</t>
  </si>
  <si>
    <t>Preparation of all Financial Statements and Reports</t>
  </si>
  <si>
    <t>Trial Balance, Income Statement, Balance Sheet, Statement of Cash Flows</t>
  </si>
  <si>
    <t>Timely submission and reporting of said financial statements</t>
  </si>
  <si>
    <t>Quarterly reporting and submission of said Financial Statements</t>
  </si>
  <si>
    <t>Accounting services to all 21 Barangay Transactions</t>
  </si>
  <si>
    <t>Financial Statements of 21 Barangays</t>
  </si>
  <si>
    <t>Smooth flow of transactions of all 21 Barangays</t>
  </si>
  <si>
    <t>49</t>
  </si>
  <si>
    <t>MUNICIPAL TREASURER'S OFFICE</t>
  </si>
  <si>
    <t>Supervise collection of taxes, fees and other revenues and the disbursement of public funds.</t>
  </si>
  <si>
    <t>A Municipality with prosperous and well-oriented citizentry with a Treasury Office supporting the LGU through viable and cost effective revenue and fund management programs to ensure provisions of sufficient and sustainable needs.</t>
  </si>
  <si>
    <t>To provide excellent resource collection and fund management services in the utilization of public funds annd resources leading to organizational productivity and consequently uplift the people's standard of living.</t>
  </si>
  <si>
    <t>Organizational Outcome:  To institutionalize the best practices in revenue generation and resource collection to ensure fiscal adequacy and eventually accomplish goals.</t>
  </si>
  <si>
    <t>1000-7-0</t>
  </si>
  <si>
    <t>Remittance of daily collections</t>
  </si>
  <si>
    <t>Payment of vouchers, payrolls and statutory obligations of the municipality</t>
  </si>
  <si>
    <t>All approved vouchers, payrolls and statutory obligations were paid upon encashment of checks</t>
  </si>
  <si>
    <t>All obligations were paid on time</t>
  </si>
  <si>
    <t>Advice the Mayor and the Sangguniang Bayan regarding the financial disposition of the LGU</t>
  </si>
  <si>
    <t>Book of accounts and ledgers of all municipal transactions were properly recorded and updated</t>
  </si>
  <si>
    <t>Regular updating of book of accounts and ledgers of all municipal transactions</t>
  </si>
  <si>
    <t>Monitor and supevise all personnel involved in revenue collections</t>
  </si>
  <si>
    <t>Efficient remittance vis a vis official receipts issued to tax collectors</t>
  </si>
  <si>
    <t>Slight discrepancy on the income estimate and actual income for the year</t>
  </si>
  <si>
    <t>50</t>
  </si>
  <si>
    <t>MUNICIPAL ASSESSOR'S OFFICE</t>
  </si>
  <si>
    <t>Ensure that all laws and policies governing the appraisal and assessment of real properties for taxation purposes are properly executed.</t>
  </si>
  <si>
    <t>1000-8-0</t>
  </si>
  <si>
    <t>Appraisal and assessment of Real Properties</t>
  </si>
  <si>
    <t>System of tax mapping, showing graphically all properties subject to assessment and gather all data concerning the same.</t>
  </si>
  <si>
    <t>Tax declarations and other related documents are reviewed, examined and approved</t>
  </si>
  <si>
    <t>100% assessment and appraisal of RP</t>
  </si>
  <si>
    <t>Issuance of certified copies of assessment records of real property and all other records relative to its assessment</t>
  </si>
  <si>
    <t>Tax declaration and certified photo copies of related assessment documents</t>
  </si>
  <si>
    <t>100% accuracy on all documents issued</t>
  </si>
  <si>
    <t>Updates on tax maps</t>
  </si>
  <si>
    <t>Tax map</t>
  </si>
  <si>
    <t>scheduled inspection are conducted</t>
  </si>
  <si>
    <t>Monthly/quarterly/annually submission of report of all assessments, cancellations and modifications of assessments</t>
  </si>
  <si>
    <t>Reportorial services</t>
  </si>
  <si>
    <t>submission of report on time</t>
  </si>
  <si>
    <t>Per semester</t>
  </si>
  <si>
    <t>51</t>
  </si>
  <si>
    <t>ENGINEERING'S OFFICE</t>
  </si>
  <si>
    <t>Administer, coordinate, supervise and control the construction, maintenance, improvement, and repair of roads, bridges, and other engineering and public work projects</t>
  </si>
  <si>
    <t>Our department is responsible for ensuring safety, reliability, and quality and satisfies the minimum requirements set by the P.D.1096</t>
  </si>
  <si>
    <t>Committed to promote and implement our vision the best of outmost services</t>
  </si>
  <si>
    <t>Organizational Outcome:  Provide engineering services to the LGU including investigation and survey, engineering designs, feasibility studies, and project management</t>
  </si>
  <si>
    <t>1000-9-0</t>
  </si>
  <si>
    <t>Maintenance of roads and bridges; parks and plaza; and motorpool</t>
  </si>
  <si>
    <t>Work performance</t>
  </si>
  <si>
    <t>Well-maintained public works and facilities</t>
  </si>
  <si>
    <t>Building management, inspection of buildings and electrical installations.</t>
  </si>
  <si>
    <t>Building permit and electrical permit</t>
  </si>
  <si>
    <t>Number of issued building permit and electrical permit</t>
  </si>
  <si>
    <t>Prepare plans, specifications, and bill of materials and estimates of the city’s projects.</t>
  </si>
  <si>
    <t>Program of work</t>
  </si>
  <si>
    <t>Number of public works implemented</t>
  </si>
  <si>
    <t>Conduct regular inspections of all on-going projects to ensure that work is done in accordance with the approved plans and specifications</t>
  </si>
  <si>
    <t>Projects fully Implemented</t>
  </si>
  <si>
    <t>100% supervision of all on-going projects of the city</t>
  </si>
  <si>
    <t>52</t>
  </si>
  <si>
    <t>MUNICIPAL SOCIAL WELFARE AND DEVELOPMENT OFFICE</t>
  </si>
  <si>
    <t>Municipal Social Welfare and Development Office is committed to the care, protection and rehabilitation of the segment of the population (to individual, family and community) who has least in life and need social welfare assistance and social work intervention in order to restore their normal functioning and become participative members in the community.</t>
  </si>
  <si>
    <t>We envision Asingan to be a society where the poor, the vulnerable and disadvantaged individuals, families and communities have an access for an improved quality of life inhabited with empowered citizenry to become self-reliant.</t>
  </si>
  <si>
    <t>To provide social protection, promote the rights and welfare of the poor, the vulnerable and the disadvantaged individuals, families and communities to contribute to poverty alleviations and empowerment thru the Social Welfare Development policies, programs, projects and service in coordination with the National Government Organization and Non Government Organization and other Member of the Civil Society.</t>
  </si>
  <si>
    <t>Organizational Outcome:  To indentify the basic needs of the needy and disadvantaged and the impoverished and develop and implement appropriate measures to alleviate their problems and improve their living conditions.</t>
  </si>
  <si>
    <t>1000-10-0</t>
  </si>
  <si>
    <t>Conduct of Day Care Mass Recognition</t>
  </si>
  <si>
    <t>Municipal Social Welfare and Development Officer</t>
  </si>
  <si>
    <t>54</t>
  </si>
  <si>
    <t>DEPARTMENT OF AGRICULTURE</t>
  </si>
  <si>
    <t>Ensure the delivery of basic services and provision of adequate facilities relative to agricultural services</t>
  </si>
  <si>
    <t>Envisioned to be a center of agro-industrial development and educational advancement, a city with viable solid waste management, admirable traffic system, sustainable social services and equitable opportunity and a community of God-loving, well-disciplined, self-reliant, and development oriented people.</t>
  </si>
  <si>
    <t>Commited to provide adequate infrastracture and basic social services to promote healthy and safe environment, to practice good governance and dynamic leadership in ensuring political stability and economic self-sufficiency and to promote people participation in policy formulation and project implementation.</t>
  </si>
  <si>
    <t xml:space="preserve">Organizational Outcome:  Assist in making available the appropriate technology arising out of and disseminating information on basic research on crops, prevention and control of plant diseases and pests, </t>
  </si>
  <si>
    <t>and other agricultural matters which will maximize productivity</t>
  </si>
  <si>
    <t>1000-11-0</t>
  </si>
  <si>
    <t>Support Services</t>
  </si>
  <si>
    <t>Better Services</t>
  </si>
  <si>
    <t>A. RICE</t>
  </si>
  <si>
    <t>a. Farmers Field School on Integrated Pest Management (Palay Check) Wet Season</t>
  </si>
  <si>
    <t xml:space="preserve">1 Farmer Field School on Wet Season with 30 participants and 1 farmer cooperator for Technology demonstration.          </t>
  </si>
  <si>
    <t xml:space="preserve">Classes conducted in 16 meetings </t>
  </si>
  <si>
    <t>30 farmers</t>
  </si>
  <si>
    <t xml:space="preserve">   One half hectare (0.5) Techno-Demo Farm</t>
  </si>
  <si>
    <t>Implemented</t>
  </si>
  <si>
    <t>Research Field</t>
  </si>
  <si>
    <t>1 farmer cooperator</t>
  </si>
  <si>
    <t xml:space="preserve">   Farmers Field School on Integrated Pest Management (Palay Check) Dry Season</t>
  </si>
  <si>
    <t xml:space="preserve">1 Farmer Field School on Dry Season with 30 participants and 1 farmer cooperator for Technology demonstration.        </t>
  </si>
  <si>
    <t>b. Massive Rat Control</t>
  </si>
  <si>
    <t>Conducted briefing &amp; baiting within 21 barangay infested by rats. 1,000 sachets of zinc phospide were distributed.                                             Implemented.</t>
  </si>
  <si>
    <t>Massive baiting</t>
  </si>
  <si>
    <t>21 barangays</t>
  </si>
  <si>
    <t>B. CORN PRODUCTION</t>
  </si>
  <si>
    <t xml:space="preserve">   Farmers Field School on Integrated Crop Management for Corn Cum Good Agricultural Practices</t>
  </si>
  <si>
    <t xml:space="preserve">1 Farmer Field School on Wet Season with 30 participants and 1 farmer cooperator for Technology demonstration.        </t>
  </si>
  <si>
    <t>Classes conducted in 20 meetings</t>
  </si>
  <si>
    <t>C. VEGETABLE PRODUCTION</t>
  </si>
  <si>
    <t>a. Distribution of assorted vegetable seeds</t>
  </si>
  <si>
    <t>30,000 packs of vegetable seeds were distributed to 21 barangays &amp; public schools.                   Implemented.</t>
  </si>
  <si>
    <t>Distributed assorted vegetable seeds to farm, schools and community gardens</t>
  </si>
  <si>
    <t>30,000 packs of vegetable seeds</t>
  </si>
  <si>
    <t xml:space="preserve">   Plastic bags for packing</t>
  </si>
  <si>
    <t>b. Distribution of papaya hybrid seedlings</t>
  </si>
  <si>
    <t>Farm ready papaya seedlings were distributed to 21 barangays                  Implemented</t>
  </si>
  <si>
    <t>Distributed papaya seedlings to farm families</t>
  </si>
  <si>
    <t xml:space="preserve">2,547  papaya seedlings </t>
  </si>
  <si>
    <t>c. Farmer Field School on Integrated Pest Management for lowland vegetable production</t>
  </si>
  <si>
    <t xml:space="preserve">1 Farmer Field School on Integrated Pest Management for Lowland Vegetable Production                      </t>
  </si>
  <si>
    <t>Classes conducted in 16 meetings</t>
  </si>
  <si>
    <t>D. LIVESTOCK AND POULTRY PRODUCTION</t>
  </si>
  <si>
    <t>a. Procurement of Vaccine &amp; Dewormer</t>
  </si>
  <si>
    <t xml:space="preserve">    a1. Hemorrhagic Septicemia 24 bottles @ 150 ml.</t>
  </si>
  <si>
    <t>Vaccination of large &amp; small ruminants conducted within 21 barangays.                              Implemented.</t>
  </si>
  <si>
    <t>Massive vaccination 2x a year</t>
  </si>
  <si>
    <t>Large &amp; small ruminants in 21 barangays</t>
  </si>
  <si>
    <t xml:space="preserve">    a2. Dewormer (Albendazole) 95 liters</t>
  </si>
  <si>
    <t>Large &amp; small ruminants within 21 barangays were dewormed.                                        Implemented.</t>
  </si>
  <si>
    <t>Massive Deworming</t>
  </si>
  <si>
    <t>Large animals &amp; small ruminants in 21 barangays</t>
  </si>
  <si>
    <t xml:space="preserve">    a3. Anti-rabies 350 vials</t>
  </si>
  <si>
    <t>3,500 puppies/dogs, cats  within 21 barangays were vaccinated.          Implemented.</t>
  </si>
  <si>
    <t>Massive vaccination</t>
  </si>
  <si>
    <t>3,500 puppies/dogs, cats in 21 barangays</t>
  </si>
  <si>
    <t>b. Farmers Livestock School on Integrated Goat Management</t>
  </si>
  <si>
    <t>1 Farmer Field School on Farmer Livestock School on Integrated Goat Management</t>
  </si>
  <si>
    <t>Classes conducted in 21 meetings</t>
  </si>
  <si>
    <t>E. FISH PRODUCTION</t>
  </si>
  <si>
    <t>Dispersal of Tilapia Fingerlings</t>
  </si>
  <si>
    <t>200,000 fingerlings dispersed to communal bodies of water within the Municipality</t>
  </si>
  <si>
    <t>Dispersal</t>
  </si>
  <si>
    <t>10 Communal bodies of water within the Municipality</t>
  </si>
  <si>
    <t>F. Municipal Agriculturist, Agricultural Technologies attending conventions, congress, trainings and seminars</t>
  </si>
  <si>
    <t>Attending Meetings Conferences and Seminars</t>
  </si>
  <si>
    <t>Attend meetings, conferences, seminars/conventions</t>
  </si>
  <si>
    <t>56</t>
  </si>
  <si>
    <t>57</t>
  </si>
  <si>
    <t>MUNICIPAL HEALTH OFFICE</t>
  </si>
  <si>
    <t>To provide quality health services to everyone</t>
  </si>
  <si>
    <t>Healthy Asinganians through a unified and coordinate health system which is readily available and provided by skilled, compassionate, trained and empowered health providers</t>
  </si>
  <si>
    <t>Universal Health Coverage with Systematic and Holistic Community Health Management for all</t>
  </si>
  <si>
    <t>Organizational Outcome:  Satisfied clients who have availed of Basic Health Services for the Prevention and Control of Diseases and Promotion of Complete Physical and Mental Well Being</t>
  </si>
  <si>
    <t>1000-12</t>
  </si>
  <si>
    <t>A. Infectious Disease Control</t>
  </si>
  <si>
    <t>General Medical Service</t>
  </si>
  <si>
    <t xml:space="preserve">    TB</t>
  </si>
  <si>
    <t>Sputum Smear (+), x-ray (+) diagnosed and treated</t>
  </si>
  <si>
    <t xml:space="preserve">    Leprosy</t>
  </si>
  <si>
    <t>Case diagnosed and treated</t>
  </si>
  <si>
    <t xml:space="preserve">    Leptospirosis</t>
  </si>
  <si>
    <t xml:space="preserve">    Dengue</t>
  </si>
  <si>
    <t>Larvae Survey</t>
  </si>
  <si>
    <t>B. Family Health</t>
  </si>
  <si>
    <t>Maternal and Child Care</t>
  </si>
  <si>
    <t xml:space="preserve">    1. EPI (Expanded Immunization Program)</t>
  </si>
  <si>
    <t xml:space="preserve">        a. FIC (Fully Immunized Child)</t>
  </si>
  <si>
    <t>BCG, Hep B, Penta 1, 2, 3, PCV 1, 2, 3</t>
  </si>
  <si>
    <t xml:space="preserve">        b. FIM (Fully Immunized Mother)</t>
  </si>
  <si>
    <t>OPV1, OPV2, OPV3, IPV, AMV,MMR, Rota 1, 2</t>
  </si>
  <si>
    <t xml:space="preserve">    2. Rabies Control Program</t>
  </si>
  <si>
    <t>Medical assistance to victims</t>
  </si>
  <si>
    <t>ARV/ERIG given</t>
  </si>
  <si>
    <t xml:space="preserve">    3. CARI (Control Acute Respiratory Infection)</t>
  </si>
  <si>
    <t>Pneumonia cases diagnosed and treated</t>
  </si>
  <si>
    <t xml:space="preserve">    4. CDD (Control of Diarrhea Diseases)</t>
  </si>
  <si>
    <t>Diagnosed and treated</t>
  </si>
  <si>
    <t xml:space="preserve">    5. MCH (Maternal &amp; Child Health)</t>
  </si>
  <si>
    <t>Pre-natal and Post natal check-up, vitamins and vaccines given</t>
  </si>
  <si>
    <t xml:space="preserve">        a. Pre-natal Check-up given</t>
  </si>
  <si>
    <t xml:space="preserve">        b. Deliveries</t>
  </si>
  <si>
    <t xml:space="preserve">        c. Post-partum Home visit</t>
  </si>
  <si>
    <t xml:space="preserve">        d. Post-partum Clinic Visit</t>
  </si>
  <si>
    <t xml:space="preserve">    6. Women's Health/Family Planning</t>
  </si>
  <si>
    <t>Pills given, IUD inserted, injection, Operation Timbang done, micronutrient supplement, deworming done</t>
  </si>
  <si>
    <t xml:space="preserve">    7. Nutrition Program</t>
  </si>
  <si>
    <t>58</t>
  </si>
  <si>
    <t xml:space="preserve">    8. Dental Program</t>
  </si>
  <si>
    <t>tooth extraction</t>
  </si>
  <si>
    <t>C. Non-Communicable/Degenarative Diseases</t>
  </si>
  <si>
    <t>Health promotion, breats exam, pap-smear, anti-smoking drive or YOSI Kadiri</t>
  </si>
  <si>
    <t xml:space="preserve">    1. CVD/Cancer (Cardiovascular Disease)</t>
  </si>
  <si>
    <t xml:space="preserve">    2. Visual Health Program</t>
  </si>
  <si>
    <t>D. Environment Health</t>
  </si>
  <si>
    <t>Compliance with the Sanitation Code</t>
  </si>
  <si>
    <t>Water Sampling &amp; Inspection</t>
  </si>
  <si>
    <t xml:space="preserve">    1. Environment Health Program</t>
  </si>
  <si>
    <t xml:space="preserve">        a. Water Supply Chlorination</t>
  </si>
  <si>
    <t xml:space="preserve">        b. Water Samples Collection</t>
  </si>
  <si>
    <t xml:space="preserve">        c. Food Establishment Inspection</t>
  </si>
  <si>
    <t>Inspection of food establishment, issuance of health &amp; sanitary certificate, training of food handlers, operators. Deworming of cooks &amp; helpers</t>
  </si>
  <si>
    <t>Quarterly</t>
  </si>
  <si>
    <t>E. Renal Disease Control Program (REDCOP)</t>
  </si>
  <si>
    <t>Health promotion, prevention</t>
  </si>
  <si>
    <t>59</t>
  </si>
  <si>
    <t xml:space="preserve">OFFICE OF THE LOCAL DISASTER RISK REDUCTION MANAGEMENT </t>
  </si>
  <si>
    <t>RA 10121 Section 11 Organization of the Disaster Coordinating Council at the Local Government Level</t>
  </si>
  <si>
    <t>A Disaster Risk Reduction Management Council effectively and efficiently responding to the needs of the community in times of natural and man-made calamities</t>
  </si>
  <si>
    <t>To protect the community by addressing disaster preparedness, mitigation, response, rehabilitation and climate change to ensure a disaster resilient municipality</t>
  </si>
  <si>
    <t>Organizational Outcome:  Provide immediate information and response to the community in times of calamities and disaster</t>
  </si>
  <si>
    <t>1000-13-0</t>
  </si>
  <si>
    <t>A. Training of BDRRMCs/BDC on Disaster Preparedness via ToT</t>
  </si>
  <si>
    <t>Better grasp of the community about disaster</t>
  </si>
  <si>
    <t xml:space="preserve">21 Barangays </t>
  </si>
  <si>
    <t>B. IEC Campaign</t>
  </si>
  <si>
    <t>A. Organization od ADRU (Asingan Disaster Response Unit)</t>
  </si>
  <si>
    <t>Enhance response on Pre and Post Disaster</t>
  </si>
  <si>
    <t>More prompt reaction in times of calamities</t>
  </si>
  <si>
    <t>1 ADRU</t>
  </si>
  <si>
    <t>B. Organization of Barangay Disaster Volunteers</t>
  </si>
  <si>
    <t>C. Trainings &amp; Seminars of the ADRU and BDV</t>
  </si>
  <si>
    <t>100% Trainings &amp; Seminars</t>
  </si>
  <si>
    <t>D. Facilitate Memorandum of Agreement with transport groups</t>
  </si>
  <si>
    <t>100% Transport Groups</t>
  </si>
  <si>
    <t xml:space="preserve">E. Establishment of Municipality wide disaster alarm system </t>
  </si>
  <si>
    <t>100% Municipality Wide</t>
  </si>
  <si>
    <t>A. Additional/Essential equipments of the LDRRM</t>
  </si>
  <si>
    <t>Complete set of tools and equipments for LDRRM during calamity and disaster response</t>
  </si>
  <si>
    <t>More effective and efficient disaster response</t>
  </si>
  <si>
    <t>100% of Equipments</t>
  </si>
  <si>
    <t>Multi-level building rescue</t>
  </si>
  <si>
    <r>
      <t xml:space="preserve">          </t>
    </r>
    <r>
      <rPr>
        <sz val="11"/>
        <rFont val="Calibri"/>
        <family val="2"/>
      </rPr>
      <t>•</t>
    </r>
    <r>
      <rPr>
        <sz val="11"/>
        <rFont val="Arial Narrow"/>
        <family val="2"/>
      </rPr>
      <t xml:space="preserve">  boom truck</t>
    </r>
  </si>
  <si>
    <t>A.Technical Assistance to BDRRMC/BDC in formulation of Barangay DRRM Plan</t>
  </si>
  <si>
    <t>Strengthening Community Protection and resilience to disaster</t>
  </si>
  <si>
    <t>Enhanced manual and more established standard operating procedure on calamities and disaster</t>
  </si>
  <si>
    <t>B. Compilation of Barangay DRRM Plan</t>
  </si>
  <si>
    <t>100% BDRRM Plan</t>
  </si>
  <si>
    <t>C. Formulation or Review of MDRRM Plan</t>
  </si>
  <si>
    <t>Stengthening Community Protection and resilience to disaster</t>
  </si>
  <si>
    <t>75% MDRRM Plan</t>
  </si>
  <si>
    <t>A. Continuing Repair/Maintenance of Earthdike Protection</t>
  </si>
  <si>
    <t>Community Safety and Protection</t>
  </si>
  <si>
    <t>Flood Prevention</t>
  </si>
  <si>
    <t>50% Earthdike Protection</t>
  </si>
  <si>
    <t>25% of alll Canals and Esteros</t>
  </si>
  <si>
    <t>68</t>
  </si>
  <si>
    <t>ECONOMIC ENTERPRISE MANAGEMENT-MARKET</t>
  </si>
  <si>
    <t>To exercise general supervision and control over the market and slaughterhouse</t>
  </si>
  <si>
    <t>Envisioned to be a center of agro-industrial development, a municipality with viable solid waste management, sustainable social services and equitable opportunity and a community of God-loving, well-disciplined, self-reliant, and development oriented people.</t>
  </si>
  <si>
    <t>To promote and safeguard the health, welfare and safety of the general public through provision of relatively good infrastructure facilities, regular and quality maintenance, address clientele satisfaction by honest, transparent, dedicated public servant and engage in self-sustaining economic activities</t>
  </si>
  <si>
    <t>Organizational Outcome:  Provide safe and clean market and slaughterhouse  to the Asinganians</t>
  </si>
  <si>
    <t>1000-1-1</t>
  </si>
  <si>
    <t>Issuance of Mayor's Permit/Business Permit</t>
  </si>
  <si>
    <t>Mayor's Permit/Business Permit Issued</t>
  </si>
  <si>
    <t>Abstract of Collections</t>
  </si>
  <si>
    <t xml:space="preserve">100% Satisfaction </t>
  </si>
  <si>
    <t>Branding of large cattle</t>
  </si>
  <si>
    <t>Meat Inspection and collection of slaugther's fee</t>
  </si>
  <si>
    <t>100% Collection</t>
  </si>
  <si>
    <t>Cash Tickets Collection</t>
  </si>
  <si>
    <t>Collection of Monthly Stall Rentals</t>
  </si>
  <si>
    <t>Meter reading, billing and collection of power consumption of stallholders</t>
  </si>
  <si>
    <t>Cleaning and disinfection of market and slaughterhouse premises</t>
  </si>
  <si>
    <t>Premises physical appearance</t>
  </si>
  <si>
    <t>100% Satisfaction  of constituents</t>
  </si>
  <si>
    <t>Collection and disposal of garbage</t>
  </si>
  <si>
    <t>Sealing &amp; licensing of weights and measure</t>
  </si>
  <si>
    <t>100% Implementation</t>
  </si>
  <si>
    <t>Attend meetings, seminars, conferences, conventions</t>
  </si>
  <si>
    <t>Re-echo of seminars, trainings, etc.</t>
  </si>
  <si>
    <t>4-6 Seminars, Trainings, etc.</t>
  </si>
  <si>
    <t>69</t>
  </si>
  <si>
    <t>Add: LDRRMF Market</t>
  </si>
  <si>
    <t>CARLOS F. LOPEZ, JR.</t>
  </si>
  <si>
    <t>JOSELITO V. VIRAY</t>
  </si>
  <si>
    <t>KIMA I. SIROT</t>
  </si>
  <si>
    <t>LEONARD M. ALMEROL</t>
  </si>
  <si>
    <t>HON. CARLOS F. LOPEZ, JR.</t>
  </si>
  <si>
    <t>HON. HEIDEE GANIGAN-CHUA</t>
  </si>
  <si>
    <t>ENGR. CARLOS F. LOPEZ, JR.</t>
  </si>
  <si>
    <t>5/3</t>
  </si>
  <si>
    <t>4/5</t>
  </si>
  <si>
    <t>10/6</t>
  </si>
  <si>
    <t>2/2</t>
  </si>
  <si>
    <t>13/2</t>
  </si>
  <si>
    <t>JOHNNY MAR A. CARIG</t>
  </si>
  <si>
    <t>RODHEL M. SERAFICA</t>
  </si>
  <si>
    <t>JETHRO ALEXIS O. MONCE</t>
  </si>
  <si>
    <t>AMADO P. MONTEMAYOR</t>
  </si>
  <si>
    <t>BERNARD B. VARGAS</t>
  </si>
  <si>
    <t>GENEMARK S. GUILLERMO</t>
  </si>
  <si>
    <t>IT Equipment &amp; Software-Desktop &amp; Laptop</t>
  </si>
  <si>
    <t>Aid to POSG</t>
  </si>
  <si>
    <t>9997-15</t>
  </si>
  <si>
    <t>- Presented during sessions</t>
  </si>
  <si>
    <t>Organizational Outcome:  We commit ourselves with the willingness to serve with clients with justness and sincerity and shall not discriminate with others. Our service clients are assured with our timely and accurate reports done by a competent and professionally behaved staff</t>
  </si>
  <si>
    <t>Report of Collection and Deposit (RCD)</t>
  </si>
  <si>
    <t>Disbursement Vouchers, Checks and Payrolls</t>
  </si>
  <si>
    <t>e-SRE Report</t>
  </si>
  <si>
    <t>Efficient revenue collectors</t>
  </si>
  <si>
    <t>Daily collections were remitted and deposited in the bank everyday</t>
  </si>
  <si>
    <t>The Municipal Assesor's Office is a realty tax department that commits to attain maximum efficiency in the appraisal and assessment of real properties for taxation purposes whose delivery systems are designed to the highest standards and whose employees are adopting the principles of professionalism for the taxpayer and clientele satisfaction in providing quality service.</t>
  </si>
  <si>
    <t>To implement the innovative changes in systems, policies and procedures provided by law in order to generate sustainable revenues from realty taxes with minimal cost to the Local Government Unit and with due care and convenience to taxpayers and the clientele.</t>
  </si>
  <si>
    <t>To ensure that the phil. Public Accounting Standards are strictly followed</t>
  </si>
  <si>
    <t>Other Structures</t>
  </si>
  <si>
    <t>Construction of Multi-Purpose Shed &amp; Concrete Pavement at D.A. office</t>
  </si>
  <si>
    <t>Multi-Purpose Shed &amp; Concrete Pavement</t>
  </si>
  <si>
    <t>1-07-04-020</t>
  </si>
  <si>
    <t>School Building</t>
  </si>
  <si>
    <t>Aid to Senior Citizens</t>
  </si>
  <si>
    <t>9997-16</t>
  </si>
  <si>
    <t>1</t>
  </si>
  <si>
    <t>2</t>
  </si>
  <si>
    <t>Aid to Legal Consultant</t>
  </si>
  <si>
    <t>Aid to PWD</t>
  </si>
  <si>
    <t>Financial Assistance to Students (PSU &amp; UCU)</t>
  </si>
  <si>
    <t>9997-17</t>
  </si>
  <si>
    <t>Management Officer I</t>
  </si>
  <si>
    <t>1011-24</t>
  </si>
  <si>
    <t>1011-25</t>
  </si>
  <si>
    <t>1011-26</t>
  </si>
  <si>
    <t>1011-27</t>
  </si>
  <si>
    <t>1011-28</t>
  </si>
  <si>
    <t>1011-30</t>
  </si>
  <si>
    <t>14/6</t>
  </si>
  <si>
    <t>7/5</t>
  </si>
  <si>
    <t>5/1</t>
  </si>
  <si>
    <t>ROGER N. AQUINO</t>
  </si>
  <si>
    <t>24/5</t>
  </si>
  <si>
    <t>12/2</t>
  </si>
  <si>
    <t>JASTINE R. ALMONTE</t>
  </si>
  <si>
    <t>18/5</t>
  </si>
  <si>
    <t>3/5</t>
  </si>
  <si>
    <t>Other Bonuses and Allowances (PBB)</t>
  </si>
  <si>
    <t>Other Personnel Benefits (SRI)</t>
  </si>
  <si>
    <t>SPA</t>
  </si>
  <si>
    <t>Subsistence Allowance</t>
  </si>
  <si>
    <t>1011-29</t>
  </si>
  <si>
    <t>1011-31</t>
  </si>
  <si>
    <t>C. Training of BHERT's</t>
  </si>
  <si>
    <r>
      <rPr>
        <sz val="11"/>
        <rFont val="Calibri"/>
        <family val="2"/>
      </rPr>
      <t>•</t>
    </r>
    <r>
      <rPr>
        <sz val="11"/>
        <rFont val="Arial Narrow"/>
        <family val="2"/>
      </rPr>
      <t xml:space="preserve"> Increase knowledge in disaster risk, vulnerabilities and response</t>
    </r>
  </si>
  <si>
    <t>• Proper handling of COVID 19 patients</t>
  </si>
  <si>
    <r>
      <rPr>
        <sz val="11"/>
        <rFont val="Calibri"/>
        <family val="2"/>
      </rPr>
      <t xml:space="preserve">• </t>
    </r>
    <r>
      <rPr>
        <sz val="11"/>
        <rFont val="Arial Narrow"/>
        <family val="2"/>
      </rPr>
      <t>Increase awareness on the virulence of COVID 19</t>
    </r>
  </si>
  <si>
    <t>Safe and effective handling of COVID 19 patients</t>
  </si>
  <si>
    <t>F. Establishment of Barangay based isolation facility</t>
  </si>
  <si>
    <t>Abatement of Community Transmission</t>
  </si>
  <si>
    <t>Better Infection Control</t>
  </si>
  <si>
    <t>B. Personal Protective EQPT</t>
  </si>
  <si>
    <t>C. Additional Rescue Vehicle</t>
  </si>
  <si>
    <t>Protected Responders against COVID 19</t>
  </si>
  <si>
    <t>Effective response to vehicle crash extrication</t>
  </si>
  <si>
    <r>
      <t xml:space="preserve">          </t>
    </r>
    <r>
      <rPr>
        <sz val="11"/>
        <rFont val="Calibri"/>
        <family val="2"/>
      </rPr>
      <t>•</t>
    </r>
    <r>
      <rPr>
        <sz val="11"/>
        <rFont val="Arial Narrow"/>
        <family val="2"/>
      </rPr>
      <t xml:space="preserve">  4 x 4 Rescue Vehicle</t>
    </r>
  </si>
  <si>
    <t>Increase response capability</t>
  </si>
  <si>
    <t>D. Integrate Zoning Containments Strategy on handling of COVID 19 Pandemic</t>
  </si>
  <si>
    <t>Operationalizing the Zoning containment strategy</t>
  </si>
  <si>
    <t>Updated frontlliners &amp; responder</t>
  </si>
  <si>
    <t>100% MDRRM Plan</t>
  </si>
  <si>
    <t>B. Canalization &amp; Dredging/Disselting</t>
  </si>
  <si>
    <t>Formulation of AIP and its supplemental, with focus on COVID related recovery and rehabilitation activities</t>
  </si>
  <si>
    <t>Setting up statistical/IT unit</t>
  </si>
  <si>
    <t>Statistics/I.T. unit installed</t>
  </si>
  <si>
    <t>Statistical/IT service provider</t>
  </si>
  <si>
    <t>4 times a month conducted</t>
  </si>
  <si>
    <t>1-07-03-010</t>
  </si>
  <si>
    <t>Road Networks</t>
  </si>
  <si>
    <t>MELABEL S. LAYOS</t>
  </si>
  <si>
    <t>ERWIN C. RENALDO</t>
  </si>
  <si>
    <t>ROMEO S. ANGELES</t>
  </si>
  <si>
    <t>1-07-05-030</t>
  </si>
  <si>
    <t>Motor Vehicles-Motorcycle</t>
  </si>
  <si>
    <t>Other Machinery and Equipment-Water Pump</t>
  </si>
  <si>
    <t>Other Transportation Equipment-Bike</t>
  </si>
  <si>
    <t>1-07-06-990</t>
  </si>
  <si>
    <t>License Inspector II</t>
  </si>
  <si>
    <t>Planning Officer I</t>
  </si>
  <si>
    <t>Department Head I/MPDC</t>
  </si>
  <si>
    <t>MAYANNE L. PASTOR</t>
  </si>
  <si>
    <t>9997-11</t>
  </si>
  <si>
    <t>9997-13</t>
  </si>
  <si>
    <t>GF &amp; Market</t>
  </si>
  <si>
    <t>Financial Assistance to low income Solo Parents not included in the (4P's) and needs of their children provided</t>
  </si>
  <si>
    <t>Capability Building to Solo Parents conducted</t>
  </si>
  <si>
    <t>Quarterly meeting to Solo Parents conducted</t>
  </si>
  <si>
    <t>Support for Pantawid Pamilya Filipino Program</t>
  </si>
  <si>
    <t>Exemplary Child Indentified</t>
  </si>
  <si>
    <t>Discovered community gardens that are congruent with the concepts relative to health and nutrition; climate change and environment protection and sustainable income generation that may set standard for future activities and intervention</t>
  </si>
  <si>
    <t>Model Bio-Intensive Gardening were identified and lecture on proper gardening conducted</t>
  </si>
  <si>
    <t>Huwarang Pamilya identified</t>
  </si>
  <si>
    <t>Acquired new knowledge and skills for the implementation of the program and gave recognition to the group of parent leaders that contributed much for the program</t>
  </si>
  <si>
    <t>Capability Building for Parent Leaders and giving recognition to active group of Pantawid Pamilya were conducted</t>
  </si>
  <si>
    <t>Celebrate the meaning of being a family</t>
  </si>
  <si>
    <t>Family Day Celebrated</t>
  </si>
  <si>
    <t>Provided new updates (knowledge and skills regarding ERPAT and strengthen the organization)</t>
  </si>
  <si>
    <t>Conduct of Municipal Childrens Congress and Participate in the District and Provincial Childrens Congress</t>
  </si>
  <si>
    <t>Participate and Display of Talents of Children from the different Child Development Center during the Municipal Children's Month Celebration</t>
  </si>
  <si>
    <t>Municipal Children's Congress conducted and Children participated in District and Provincial Congress</t>
  </si>
  <si>
    <t>Children attended Early Childhood Care and Development were recognized</t>
  </si>
  <si>
    <t>Mass Recognition Conducted and Children are recognized</t>
  </si>
  <si>
    <t>Awareness of Children in the effects of vices</t>
  </si>
  <si>
    <t>Lectures provided and children became aware of the effects of vices</t>
  </si>
  <si>
    <t>Capability Building to members of Pag-Asa Youth Association</t>
  </si>
  <si>
    <t xml:space="preserve">Capability Building to Women </t>
  </si>
  <si>
    <t xml:space="preserve">Develop a good leadership skills among the members of the women organization </t>
  </si>
  <si>
    <t>Awareness on the updates of the Women's Welfare and the organization strategies</t>
  </si>
  <si>
    <t>Assistance to Individuals in Crisis Situation</t>
  </si>
  <si>
    <t>Provision of Financial Assistance to Individual in Crisis</t>
  </si>
  <si>
    <t>Individual in crisis were provided financial assistance</t>
  </si>
  <si>
    <t>Provision of Financial Assistance to victims of natural and man made disaster</t>
  </si>
  <si>
    <t>Victims of disaster provided assistance to augment the financial needs for the repair and reconstruction of their damaged house</t>
  </si>
  <si>
    <t>8</t>
  </si>
  <si>
    <t>9</t>
  </si>
  <si>
    <t>10</t>
  </si>
  <si>
    <t>11</t>
  </si>
  <si>
    <t>12</t>
  </si>
  <si>
    <t>14</t>
  </si>
  <si>
    <t>15</t>
  </si>
  <si>
    <t>16</t>
  </si>
  <si>
    <t>17</t>
  </si>
  <si>
    <t>19</t>
  </si>
  <si>
    <t>20</t>
  </si>
  <si>
    <t>39</t>
  </si>
  <si>
    <t>Anniversary Bonus</t>
  </si>
  <si>
    <t>Gratuity Pay (OMOOE)</t>
  </si>
  <si>
    <t>Office Equipment/Medical Equipment</t>
  </si>
  <si>
    <t>1-07-05-110</t>
  </si>
  <si>
    <t>Medical Equipment</t>
  </si>
  <si>
    <t>Aid to Nurse Deployment Program (NDP)</t>
  </si>
  <si>
    <t>9997-18</t>
  </si>
  <si>
    <t>Calepaan Integrated School (Rehabilitation of MPH)</t>
  </si>
  <si>
    <t>Macalong Multi-Purpose Building 2nd Phase</t>
  </si>
  <si>
    <t>Additional Fund for the purchase of Patrol Vehicle for San Vicente East</t>
  </si>
  <si>
    <t>Rehabilitation of Comfort Room at Isolation Area</t>
  </si>
  <si>
    <t>Connection of Gen Set at RHU</t>
  </si>
  <si>
    <t>Toboy-Hacienda Multi-Purpose Pavement</t>
  </si>
  <si>
    <t>Sobol Elementary School Perimeter Fence (Construction)</t>
  </si>
  <si>
    <t>Concreting of Carosucan Sur High School Ground</t>
  </si>
  <si>
    <t>Concreting of School Ground &amp; Continuation of School Gate of Ariston East Elementary School</t>
  </si>
  <si>
    <t>Construction of Restroom (CR) 6 units @Don T. Bauzon Elementary School</t>
  </si>
  <si>
    <t>Concreting of School Ground @Toboy National High School</t>
  </si>
  <si>
    <t>Senior Citizen Building/Repair Improvement Baro</t>
  </si>
  <si>
    <t>Purchase of 1 set Computer w/ Printer-LIGA Office</t>
  </si>
  <si>
    <t xml:space="preserve">Additional Fund for the Purchase of Table and Chair for LIGA Office </t>
  </si>
  <si>
    <t>Additional Fund for the Purchase of Sound System</t>
  </si>
  <si>
    <t>Continuing of Construction of Multi-Purpose Building Palaris</t>
  </si>
  <si>
    <t xml:space="preserve">Office Equipment </t>
  </si>
  <si>
    <t xml:space="preserve">Furniture and Fixtures </t>
  </si>
  <si>
    <t>Other Machinery and Equipment</t>
  </si>
  <si>
    <t>b. Business Tax</t>
  </si>
  <si>
    <t>c. Other Local Tax</t>
  </si>
  <si>
    <t>3. Burial Permit Fee</t>
  </si>
  <si>
    <t>4. Fees on Weights and Measures</t>
  </si>
  <si>
    <t>5. Cemetery Fee</t>
  </si>
  <si>
    <t>6. Exhumation Fee</t>
  </si>
  <si>
    <t>2022</t>
  </si>
  <si>
    <t>Rate/Annum 2022</t>
  </si>
  <si>
    <t>Devolved Programs and Services</t>
  </si>
  <si>
    <t>Aid to CSO's</t>
  </si>
  <si>
    <t>9997-19</t>
  </si>
  <si>
    <t>Hazard Pay (Covid-19)</t>
  </si>
  <si>
    <t>F. Epidemiology and Surveillance</t>
  </si>
  <si>
    <t>G. Disaster Risk Reduction Management for Health</t>
  </si>
  <si>
    <t>H. Attend meetings, seminars, conference, convention</t>
  </si>
  <si>
    <t>Municipal Mayor I</t>
  </si>
  <si>
    <t>27/2</t>
  </si>
  <si>
    <t>MEDELYN S. ESCORPIZO</t>
  </si>
  <si>
    <t>Municipal Vice Mayor I</t>
  </si>
  <si>
    <t>25/2</t>
  </si>
  <si>
    <t>Sangguniang Bayan Member I</t>
  </si>
  <si>
    <t>Sangguniang Bayan Member I -</t>
  </si>
  <si>
    <t>24/7</t>
  </si>
  <si>
    <t>Local Legislative Staff Assistant II</t>
  </si>
  <si>
    <t>7/3</t>
  </si>
  <si>
    <t>RACQUEL A. GONATICE</t>
  </si>
  <si>
    <t>17/8</t>
  </si>
  <si>
    <t>10/4</t>
  </si>
  <si>
    <t>8/3</t>
  </si>
  <si>
    <t>LARRY B. CARDINEZ</t>
  </si>
  <si>
    <t>18/3</t>
  </si>
  <si>
    <t>16/2</t>
  </si>
  <si>
    <t>Parks, Plazas and Monuments</t>
  </si>
  <si>
    <t>1-07-03-090</t>
  </si>
  <si>
    <t>Social Welfare Officer III</t>
  </si>
  <si>
    <t>18/1</t>
  </si>
  <si>
    <t>Social Welfare Officer II</t>
  </si>
  <si>
    <t>Admin. Aide III</t>
  </si>
  <si>
    <t>Teacher I</t>
  </si>
  <si>
    <t>Medical Officer III</t>
  </si>
  <si>
    <t>21/1</t>
  </si>
  <si>
    <t>Medical Technologist II</t>
  </si>
  <si>
    <t>Sanitation Inspector II</t>
  </si>
  <si>
    <t>Senior Labor &amp; Employment Officer</t>
  </si>
  <si>
    <t>19/1</t>
  </si>
  <si>
    <t xml:space="preserve">Senior Environmental Management </t>
  </si>
  <si>
    <t>Specialist</t>
  </si>
  <si>
    <t>Senior Administrative Assistant V</t>
  </si>
  <si>
    <t>Accountant II</t>
  </si>
  <si>
    <t>16/1</t>
  </si>
  <si>
    <t>Local Treasury Operations Officer I</t>
  </si>
  <si>
    <t>Local Legislative Staff Assistant III</t>
  </si>
  <si>
    <t>Driver I</t>
  </si>
  <si>
    <t xml:space="preserve">Administrative Aide III </t>
  </si>
  <si>
    <t>Rate/Annum 2023</t>
  </si>
  <si>
    <t>4/4</t>
  </si>
  <si>
    <t>3/4</t>
  </si>
  <si>
    <t>PERSONNEL SCHEDULE  CY 2023</t>
  </si>
  <si>
    <t>8/21</t>
  </si>
  <si>
    <t>POFERIO R. TENDERO</t>
  </si>
  <si>
    <t xml:space="preserve">PUBLIC EMPLOYMENT </t>
  </si>
  <si>
    <t>SERVICE OFFICE</t>
  </si>
  <si>
    <t>CHRISTINE JOY J. CARIG</t>
  </si>
  <si>
    <t>14/1</t>
  </si>
  <si>
    <t>4/6</t>
  </si>
  <si>
    <t>EILEEN S. SERAFICA</t>
  </si>
  <si>
    <t>10/7</t>
  </si>
  <si>
    <t>13/3</t>
  </si>
  <si>
    <t>2/3</t>
  </si>
  <si>
    <t>16/3</t>
  </si>
  <si>
    <t>ONOFRE A. JACOB</t>
  </si>
  <si>
    <t>GILBERT D. ECLERA JR.</t>
  </si>
  <si>
    <t>VIRGILIO I. AMISTAD</t>
  </si>
  <si>
    <t>JULIO P. DAYAG</t>
  </si>
  <si>
    <t>2023</t>
  </si>
  <si>
    <t>Collective Negotiation Agreement (C.N.A.)</t>
  </si>
  <si>
    <t>Collective Negotiation Agreement (Casuals)</t>
  </si>
  <si>
    <t>Baro-Dumaquit Farm to Market Road</t>
  </si>
  <si>
    <t>Kasalang Bayan</t>
  </si>
  <si>
    <t>Aid to CVO &amp; BHW  (Insurance Premium)</t>
  </si>
  <si>
    <t>Aid to PWD (Livelihood Programs)</t>
  </si>
  <si>
    <t>9997-16-1</t>
  </si>
  <si>
    <t>1011-32</t>
  </si>
  <si>
    <t>1011-33</t>
  </si>
  <si>
    <t>1011-34</t>
  </si>
  <si>
    <t>1011-35</t>
  </si>
  <si>
    <t>Continuation of the Construction of Multi-Purpose Hall-Pob. East</t>
  </si>
  <si>
    <t>Continuation of the Construction of Multi-Purpose Hall-Pob. West</t>
  </si>
  <si>
    <t>Continuation of the Rehabilitation of Danggay Center &amp; Purchase of Aircon Units</t>
  </si>
  <si>
    <t>Purchase of Solar Light to the installed @ Asingan-Santa Maria (Narciso Ramos Bridge)</t>
  </si>
  <si>
    <t>Purchase of Deco-Light for Public Plaza</t>
  </si>
  <si>
    <t>Additional Fund for Construction of Multi-Purpose Hall for PNP Personnel</t>
  </si>
  <si>
    <t>Installation of Market tables, perimeter fence of Bagsakan Market@Brgy. Macalong</t>
  </si>
  <si>
    <t>Purchase of CCTV Cameras to be installed around the Public Plaza</t>
  </si>
  <si>
    <t>Rehabilitation of Satellite Market</t>
  </si>
  <si>
    <t>Repair of Mayor's Office Kitchen</t>
  </si>
  <si>
    <t>Purchase of Chainsaw</t>
  </si>
  <si>
    <t>Continuation of the Construction of X-ray Room for the municipality</t>
  </si>
  <si>
    <t>Repair and Repainting of Municipal Hall</t>
  </si>
  <si>
    <t>Continuation of the Construction of Child Development Center (CDC)-Bantog</t>
  </si>
  <si>
    <t>Continuation of the Construction of Child Development Center (CDC)-Sobol</t>
  </si>
  <si>
    <t>Installation of Electrical System @ Multi-purpose Hall Domanpot Community School</t>
  </si>
  <si>
    <t>Purchase of Aircon Units for MSWDO</t>
  </si>
  <si>
    <t>Purchase of Aircon Units for the Mini Evacuation Center</t>
  </si>
  <si>
    <t>Construction of Steel Gate at Municipal Oval @ Barangay Macalong</t>
  </si>
  <si>
    <t>Maintenance of Library Building</t>
  </si>
  <si>
    <t>Maintenance of Government Center Building</t>
  </si>
  <si>
    <t>Other Maintenance &amp; Operating Expenses (C.N.A.)</t>
  </si>
  <si>
    <t>Other Personnel Benefits</t>
  </si>
  <si>
    <t>Other Personnel Benefits/SRI</t>
  </si>
  <si>
    <t>Mandate, Vision/Mission, Major Final Output, Performance Indicators and Targets CY 2023</t>
  </si>
  <si>
    <t>Proposed Budget for the Year 2023</t>
  </si>
  <si>
    <t>Proposed Budget for the year 2023</t>
  </si>
  <si>
    <t>100% of procurement are done in accordance with the APP and RA 9184 in the year 2023</t>
  </si>
  <si>
    <t>Implemented within the year 2023 as far as developmental PAP's are concerned under 20% of IRA, LDRRMP, GAD, and other sources of funds</t>
  </si>
  <si>
    <t>Completed within 2023</t>
  </si>
  <si>
    <t>Proposed Budget for the Budget  Year 2023</t>
  </si>
  <si>
    <t>January 2023-December 2023</t>
  </si>
  <si>
    <t>January-December, 2023</t>
  </si>
  <si>
    <t>OIC-Municipal Agriculturist Officer</t>
  </si>
  <si>
    <t>BUDGET YEAR 2023</t>
  </si>
  <si>
    <t>STATEMENT OF STATUTORY AND CONTRACTUAL OBLIGATIONS AND BUDGETARY REQUIREMENTS CY 2023</t>
  </si>
  <si>
    <t>ANNUAL BUDGET FOR CY 2023</t>
  </si>
  <si>
    <t>2023 ANNUAL BUDGET</t>
  </si>
  <si>
    <t>ANNUAL BUDGET CY 2023</t>
  </si>
  <si>
    <t>Actual Income-General Fund-2021</t>
  </si>
  <si>
    <t>Allowable Personal Services for CY 2023</t>
  </si>
  <si>
    <t>P.S. Appropriation for CY 2023</t>
  </si>
  <si>
    <t>1. National Tax Allotment</t>
  </si>
  <si>
    <t>Provision of recognition of Children of Pantawid Pamilya  who excel to the conditionalities and co-responsibilities set by the program</t>
  </si>
  <si>
    <t>Recognized family beneficiaries of Pantawid Pamilyang Pilipino Program who maintain strong family ties, demonstrated positive Filipino values and created positive impart in the community</t>
  </si>
  <si>
    <t>Conduct of Lectures in the Public High School to Children 13 to 14 years old children on the Effect of Vices</t>
  </si>
  <si>
    <t>Develop a good leadership , skills among the Out of School Youth and awareness in the updates of Pag-Asa Youth Association</t>
  </si>
  <si>
    <t>Strengthened the organization's good leadership skill among members were developed and updated of organization</t>
  </si>
  <si>
    <t>Provision of Peer Group Service/Youth Development Session to Out of School Youth/Children of 4Ps</t>
  </si>
  <si>
    <t>Youth Development/Peer Group Service provided</t>
  </si>
  <si>
    <t>Peer group service provided to Out of School Youth</t>
  </si>
  <si>
    <t xml:space="preserve">Strengthened the organization, good leadership skill among members developed </t>
  </si>
  <si>
    <t>Conduct of Quarterly Meeting to Women and VAW Desk Officer</t>
  </si>
  <si>
    <t>Quarterly meeting conducted</t>
  </si>
  <si>
    <t>Provision of recognition to Pantawid Pamilya Pilipino Program</t>
  </si>
  <si>
    <t>Pantawid Pamilya Pilipino Program beneficiaries recognized/graduated from the program</t>
  </si>
  <si>
    <t>Delivered Program to Solo Parents and their children for their financial needs and acquired new knowledge and skills for the implementation of the program</t>
  </si>
  <si>
    <t>Support to Solo Parents</t>
  </si>
  <si>
    <t>Conduct of quarterly meeting of ERPAT (Empowerment and Reaffirmation on Paternal Abilities)</t>
  </si>
  <si>
    <t>ERPAT members enhanced knowledge and skills</t>
  </si>
  <si>
    <t>Provision of financial assistance to affected families</t>
  </si>
  <si>
    <t>Provision of snacks and meals</t>
  </si>
  <si>
    <t>Provision of snacks to visitors visited the Best Practice of the municipality and provision of meals and snacks to staff, volunteers during the Social Pension pay-out and other activities; UCT payout</t>
  </si>
  <si>
    <t>Snacks/meals were provided to visitors, staff volunteers during visitation of best practice and social pension, UCT pay-out</t>
  </si>
  <si>
    <t>4411-1</t>
  </si>
  <si>
    <t>4411-2</t>
  </si>
  <si>
    <t>Lump Sum Appropriation for Salary Increase</t>
  </si>
  <si>
    <t>Maintenance &amp; Other Operating Expenditures</t>
  </si>
  <si>
    <t>`</t>
  </si>
  <si>
    <t>SPECIAL PURPOSE APPROPRIATIONS (SPA's)</t>
  </si>
  <si>
    <t>GENERAL PUBLIC  SERVICES</t>
  </si>
  <si>
    <t>SOCIAL SERVICES</t>
  </si>
  <si>
    <t>ECONOMIC SERVICES</t>
  </si>
  <si>
    <t>OTHER SERVICES</t>
  </si>
  <si>
    <t>Other Bonuses and Allowances (Anniversary Bonus)</t>
  </si>
  <si>
    <t>TOTAL PERSONAL SERVICES (PS)</t>
  </si>
  <si>
    <t>Fuel, Oil &amp; Lubricants Expenses</t>
  </si>
  <si>
    <t>Repairs and Maintenance-Transportation Equipment</t>
  </si>
  <si>
    <t>TOTAL MAINTENANCE AND OTHER OPERATING EXPENSES (MOOE)</t>
  </si>
  <si>
    <t>TOTAL CAPITAL OUTLAY (CO)</t>
  </si>
  <si>
    <t>ENGR. CARLOS. F. LOPEZ, JR.</t>
  </si>
  <si>
    <t>71</t>
  </si>
  <si>
    <t>Maintenance of Motor Vehicle</t>
  </si>
  <si>
    <t xml:space="preserve">      Katarungang Pambarangay</t>
  </si>
  <si>
    <t>TOTAL SPECIAL PURPOSE APPROPRIATIONS (SPAs)</t>
  </si>
  <si>
    <t>63</t>
  </si>
  <si>
    <t>STATEMENT OF FUND ALLOCATION BY SECTOR CY 2023</t>
  </si>
  <si>
    <t>Aid to CVO &amp; BHW (Insurance Premium)</t>
  </si>
  <si>
    <t>Province of Pangasinan</t>
  </si>
  <si>
    <t>OFFICE OF THE SECRETARY TO THE SANGGUNIANG BAYAN</t>
  </si>
  <si>
    <t>---------------------------------------------------------------------------------------------------------------------------------------------------------------------------------------------------------------------------------------------------</t>
  </si>
  <si>
    <t>PRESENT:</t>
  </si>
  <si>
    <t xml:space="preserve">                   1. Hon. Heidee L. Ganigan-Chua</t>
  </si>
  <si>
    <t>Presiding Officer</t>
  </si>
  <si>
    <t xml:space="preserve">                   2. Hon. Athena Ira G. Chua</t>
  </si>
  <si>
    <t xml:space="preserve">                   9. Hon. Joselito V. Viray</t>
  </si>
  <si>
    <t xml:space="preserve">                 10. Hon. Leticia R. Dollente</t>
  </si>
  <si>
    <t xml:space="preserve">                 11. Hon. Fiel Xymond R. Cardinez</t>
  </si>
  <si>
    <t>APPROPRIATION ORDINANCE NO. 5</t>
  </si>
  <si>
    <t>Sponsored by: SB Member Melchor J. Cardinez, Sr.</t>
  </si>
  <si>
    <t xml:space="preserve">          WHEREAS, after a careful study of all items of the programmed expenditures proposed in the said budget document, the same was found to be in accordance with the municipal administration's policies for the improvement of the service;</t>
  </si>
  <si>
    <t xml:space="preserve">          NOW THEREFORE, finding that the budgetary requirements of the law and existing regulations have been satisfied, and after careful deliberation on the budget document;</t>
  </si>
  <si>
    <t xml:space="preserve">          Be it enacted by the Sangguniang Bayan of Asingan, Pangasinan, in session assembled that:</t>
  </si>
  <si>
    <t>SECTION 1. Receipts Program - The estimated income of the General Fund and Local Economic Enterprise as certified by the Local Finance Committee is as follows:</t>
  </si>
  <si>
    <t>-over-</t>
  </si>
  <si>
    <t>Sangguniang Bayan Member</t>
  </si>
  <si>
    <t>Sangguniang Bayan Member/Liga President</t>
  </si>
  <si>
    <t>Sangguniang Bayan Member/PPSK President</t>
  </si>
  <si>
    <t xml:space="preserve">                   3. Hon. Johnny Mar A. Carig</t>
  </si>
  <si>
    <t xml:space="preserve">                   5. Hon. Mel F. Lopez</t>
  </si>
  <si>
    <t xml:space="preserve">                   6. Hon. Melchor J. Cardinez, Sr.</t>
  </si>
  <si>
    <t xml:space="preserve">                   7. Hon. Virgilio I. Amistad</t>
  </si>
  <si>
    <t xml:space="preserve">                   8. Hon. Julio P. Dayag</t>
  </si>
  <si>
    <t xml:space="preserve">ABSENT:   </t>
  </si>
  <si>
    <t xml:space="preserve">                 1. Hon. Marivic S. Robeniol</t>
  </si>
  <si>
    <t>Series of 2022</t>
  </si>
  <si>
    <t>AN ORDINANCE ENACTING THE GENERAL FUND-LOCAL ECONOMIC ENTERPRISE FOR THE OPERATION OF THE MUNICIPAL GOVERNMENT OF ASINGAN, PANGASINAN DURING THE PERIOD JANUARY 1, 2023 TO DECEMBER 31, 2023 AND PROVIDING APPROPRIATIONS THEREOF</t>
  </si>
  <si>
    <t xml:space="preserve">          WHEREAS, the Local Chief Executive submitted to the August Body the Annual Budget for CY 2023 including the income estimates in compliance with the provisions of Section 318 of Republic Act No. 7160 otherwise known as the Local Government Code of 1991;</t>
  </si>
  <si>
    <t>Page 2</t>
  </si>
  <si>
    <t>Appro. Ord. No. 5</t>
  </si>
  <si>
    <t>------------------------</t>
  </si>
  <si>
    <t>A1. Budget of Expenditures and Sources of Financing: (General)</t>
  </si>
  <si>
    <t>Page 3</t>
  </si>
  <si>
    <t>A2. Budget of Expenditures and Sources of Financing: (Market)</t>
  </si>
  <si>
    <t>Section II. Expenditure Program - The following sums or so much thereof as may be necessary, are appropriated out of the General Fund referred to in Section 1 hereof for the operation of the Municipality of Asingan, Pangasinan during the period January 1, 2023 to December 31, 2023 except where otherwise provided for:</t>
  </si>
  <si>
    <t>--------------------------------------------------------------------------------------------------------------------------------------------------------------------------------------------</t>
  </si>
  <si>
    <t>Page 4</t>
  </si>
  <si>
    <t>Office of the Municipal Mayor (1011) - The maintenance and operation of the executive management services, including general administration formulation of policies, planning and coordination and execution of municipal plans and programs, supervision, management and direction of municipal offices.</t>
  </si>
  <si>
    <t>Page 5</t>
  </si>
  <si>
    <t>Office of the Sangguniang Bayan (1021) - The maintenance and operation of the legislative services.</t>
  </si>
  <si>
    <t>Page 6</t>
  </si>
  <si>
    <t>C.</t>
  </si>
  <si>
    <t>Office of the Municipal Planning and Development Coordinator (1041) - The maintenance and operation of the planning and development services.</t>
  </si>
  <si>
    <t>Page 7</t>
  </si>
  <si>
    <t>D.</t>
  </si>
  <si>
    <t>Office of the Municipal Civil Registrar (1051) - The maintenance and operation of the civil registration services.</t>
  </si>
  <si>
    <t>Page 8</t>
  </si>
  <si>
    <t>E.</t>
  </si>
  <si>
    <t>Office of the Municipal Budget Officer (1071) - The maintenance and operation of the municipal budget services.</t>
  </si>
  <si>
    <t>Page 9</t>
  </si>
  <si>
    <t>F.</t>
  </si>
  <si>
    <t>Office of the Municipal Accountant (1081) - The maintenance and operation of the municipal accounting services.</t>
  </si>
  <si>
    <t>Page 10</t>
  </si>
  <si>
    <t>G.</t>
  </si>
  <si>
    <t>Office of the Municipal Treasurer (1091) - The maintenance and operation of the municipal treasury services.</t>
  </si>
  <si>
    <t>Page 11</t>
  </si>
  <si>
    <t>H.</t>
  </si>
  <si>
    <t>Office of the Municipal Assessor (1101) - The maintenance and operation of the municipal assessment services.</t>
  </si>
  <si>
    <t>Page 12</t>
  </si>
  <si>
    <t>Office of the Municipal Engineer (8751) - The maintenance and operation of the municipal engineering services.</t>
  </si>
  <si>
    <t>Page 13</t>
  </si>
  <si>
    <t>J.</t>
  </si>
  <si>
    <t>Office of the Municipal Social Welfare and Development (7611) - The maintenance and operation of the social welfare and development services.</t>
  </si>
  <si>
    <t>Page 14</t>
  </si>
  <si>
    <t>K.</t>
  </si>
  <si>
    <t>Office of the Municipal Agriculturist (8711) - The maintenance and operation of the municipal agricultural services.</t>
  </si>
  <si>
    <t>Page 15</t>
  </si>
  <si>
    <t>L.</t>
  </si>
  <si>
    <t>Office of the Municipal Health Officer (4411-1) - The maintenance and operation of the municipal health services.</t>
  </si>
  <si>
    <t>Page 16</t>
  </si>
  <si>
    <t>M.</t>
  </si>
  <si>
    <t>Office of the Municipal Health Officer (4411-2)</t>
  </si>
  <si>
    <t>21</t>
  </si>
  <si>
    <t>Page 17</t>
  </si>
  <si>
    <t>N.</t>
  </si>
  <si>
    <t>Office of the Local Disaster Risk Reduction Management Officer (9998-1) -  The maintenance and operation of the local disaster risk reduction management services.</t>
  </si>
  <si>
    <t>Page 21</t>
  </si>
  <si>
    <t>P.</t>
  </si>
  <si>
    <t>Economic Enterprise Management - Market (8811)</t>
  </si>
  <si>
    <t>-----------------------------------------------------------------------------------------------------------------------------------------------------------------------------------------------------------------</t>
  </si>
  <si>
    <t>Page 18</t>
  </si>
  <si>
    <t>O.        Special Purpose Appropriations</t>
  </si>
  <si>
    <t>23</t>
  </si>
  <si>
    <t>Page 19</t>
  </si>
  <si>
    <t>24</t>
  </si>
  <si>
    <t>---------------------------------------------------------------------------------------------------------------------------------------------------------------------------------------------------------</t>
  </si>
  <si>
    <t>Page 22</t>
  </si>
  <si>
    <t>---------------------------</t>
  </si>
  <si>
    <t>Office</t>
  </si>
  <si>
    <t xml:space="preserve">Personal </t>
  </si>
  <si>
    <t>Financial</t>
  </si>
  <si>
    <t>Services</t>
  </si>
  <si>
    <t>Expenses</t>
  </si>
  <si>
    <t>a</t>
  </si>
  <si>
    <t>.</t>
  </si>
  <si>
    <t>b</t>
  </si>
  <si>
    <t>c</t>
  </si>
  <si>
    <t>d</t>
  </si>
  <si>
    <t>e</t>
  </si>
  <si>
    <t>f</t>
  </si>
  <si>
    <t>g</t>
  </si>
  <si>
    <t>h</t>
  </si>
  <si>
    <t>i</t>
  </si>
  <si>
    <t>j</t>
  </si>
  <si>
    <t>k</t>
  </si>
  <si>
    <t>l</t>
  </si>
  <si>
    <t>m</t>
  </si>
  <si>
    <t>n</t>
  </si>
  <si>
    <t>o</t>
  </si>
  <si>
    <t>Special Purpose Appropriations</t>
  </si>
  <si>
    <t>p</t>
  </si>
  <si>
    <t>Local Economic Enterprise-Market</t>
  </si>
  <si>
    <t>q</t>
  </si>
  <si>
    <t>Special Purpose Appropriation (5% LDRRMF)</t>
  </si>
  <si>
    <t>Section III. Use of Savings and Augmentation: In accordance with Section 336 of Republic Act No. 7160, otherwise known as the Local Government Code of 1991, the Mayor and the Presiding Officer of the Sangguniang Bayan are authorized to augment any item in the approved annual budget for their respective offices from savings in other terms within the same expense class of their respective appropriations.</t>
  </si>
  <si>
    <r>
      <t xml:space="preserve">For this purpose </t>
    </r>
    <r>
      <rPr>
        <b/>
        <sz val="12"/>
        <rFont val="Arial "/>
      </rPr>
      <t xml:space="preserve">"savings" </t>
    </r>
    <r>
      <rPr>
        <sz val="12"/>
        <rFont val="Arial "/>
      </rPr>
      <t>refer to portions or balances of any programmed appropriation free from any obligation or encumbrance, still available after the satisfactory completion or unavoidable discontinuance or abandonment of the work, activity or purpose for which the appropriation is authorized.</t>
    </r>
  </si>
  <si>
    <r>
      <rPr>
        <b/>
        <sz val="12"/>
        <rFont val="Arial "/>
      </rPr>
      <t xml:space="preserve">"Augmentation" </t>
    </r>
    <r>
      <rPr>
        <sz val="12"/>
        <rFont val="Arial "/>
      </rPr>
      <t>implies the existence in the budget of an item, project, activity or purpose with an appropriation which, upon implementation or subsequent evaluation of needed sources, is determined to be deficient.</t>
    </r>
  </si>
  <si>
    <t>Section IV. Priority in the use of Personal Service Savings. Priority shall be given to the personnel benefits of local employees in the use or personal service savings.</t>
  </si>
  <si>
    <t>Section V. Separability Clause. If for any reason, any Section or provision of this Appropriation Ordinance or disallowed in Budget Review or declared invalid by proper authorities, other Sections or provisions hereof that are not affected thereby, shall continue to be in full force and effect.</t>
  </si>
  <si>
    <t>Section VI. Dissemination. This ordinance shall be duly disseminated to all concerned, for immediate and proper action.</t>
  </si>
  <si>
    <t>Q.    Summary of 2023 Proposed New Appropriations, by office</t>
  </si>
  <si>
    <t>---------------------------------------------------------------------------------------------------------------------------------------------------------</t>
  </si>
  <si>
    <t>Page 23</t>
  </si>
  <si>
    <t>Section VII. Effectivity Clause. This Ordinance shall take effect immediately upon approval by the Sangguniang Bayan, Asingan, Pangasinan.</t>
  </si>
  <si>
    <t>ATTESTED:</t>
  </si>
  <si>
    <t>HON. HEIDEE L. GANIGAN-CHUA</t>
  </si>
  <si>
    <t>MELCHOR J. CARDINEZ, SR.</t>
  </si>
  <si>
    <t>APPROVED:</t>
  </si>
  <si>
    <t>EXCERPTS FROM THE MINUTES OF THE REGULAR SESSION OF THE SANGGUNIANG BAYAN OF ASINGAN, PANGASINAN HELD ON NOVEMBER 10, 2022 AT THE SALVADOR H. LAUREL SESSION HALL, APOLINARIO M. MABINI LEGISLATIVE BUILDING, CAPITOL SITE, KUMINTANG IBABA, BATANGAS CITY, BATANGAS</t>
  </si>
  <si>
    <t>Designated SB Secretary</t>
  </si>
  <si>
    <t>Sangguniang Bayan Member (On Leave)</t>
  </si>
  <si>
    <t>Page 20</t>
  </si>
  <si>
    <t>CURRENT YEAR</t>
  </si>
  <si>
    <t>-------------------------------------------------------------------------------------------------------------------------------------------------------------------------------------------------------------------------------------------------------</t>
  </si>
  <si>
    <t>----------------------------------------------------------------------------------------------------------------------------------------------------------------------------</t>
  </si>
  <si>
    <t>3. National Tax Allotment</t>
  </si>
  <si>
    <t xml:space="preserve">                   4. Hon. Joselito V. Viray</t>
  </si>
  <si>
    <t>(On Leave)</t>
  </si>
  <si>
    <r>
      <t xml:space="preserve">         </t>
    </r>
    <r>
      <rPr>
        <b/>
        <sz val="14"/>
        <rFont val="Arial "/>
      </rPr>
      <t xml:space="preserve"> I</t>
    </r>
    <r>
      <rPr>
        <sz val="14"/>
        <rFont val="Arial "/>
      </rPr>
      <t xml:space="preserve"> </t>
    </r>
    <r>
      <rPr>
        <b/>
        <sz val="14"/>
        <rFont val="Arial "/>
      </rPr>
      <t xml:space="preserve">HEREBY CERTIFY </t>
    </r>
    <r>
      <rPr>
        <sz val="14"/>
        <rFont val="Arial "/>
      </rPr>
      <t>to the correctness of the foregoing Appropriation Ordinance No. 5, Series of 2022, which was duly enacted by the Sangguniang Bayan thru a unanimous vote during its Regular Session held on November 10, 2022 as sponsored by SB Member Melchor J. Cardinez, Sr., upon motion by all Sangguniang Bayan members present.</t>
    </r>
  </si>
  <si>
    <t>BLESSEL ANNIELLY F. NABOR</t>
  </si>
  <si>
    <t>MIGUEL ANDREI S. BADUA</t>
  </si>
  <si>
    <t>GLADIOLYN L. ROMERO</t>
  </si>
  <si>
    <t>MICHELLE O. DESAMITO</t>
  </si>
  <si>
    <t>MARK E. ABELLA</t>
  </si>
  <si>
    <t>ROMEL A. AGUILAR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</si>
</sst>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m/d/yyyy;@"/>
    <numFmt numFmtId="166" formatCode="mm/dd/yy;@"/>
    <numFmt numFmtId="167" formatCode="#,##0.00\ ;&quot; (&quot;#,##0.00\);&quot; -&quot;#\ ;@\ "/>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8"/>
      <name val="Arial Narrow"/>
      <family val="2"/>
    </font>
    <font>
      <b/>
      <sz val="10"/>
      <name val="Arial"/>
      <family val="2"/>
    </font>
    <font>
      <sz val="8"/>
      <name val="Arial"/>
      <family val="2"/>
    </font>
    <font>
      <b/>
      <sz val="11"/>
      <name val="Arial Narrow"/>
      <family val="2"/>
    </font>
    <font>
      <sz val="8"/>
      <name val="Arial Narrow"/>
      <family val="2"/>
    </font>
    <font>
      <sz val="10"/>
      <name val="Arial"/>
      <family val="2"/>
    </font>
    <font>
      <sz val="8"/>
      <name val="Arial"/>
      <family val="2"/>
    </font>
    <font>
      <sz val="11"/>
      <name val="Arial Narrow"/>
      <family val="2"/>
    </font>
    <font>
      <sz val="10"/>
      <name val="Bodoni MT Black"/>
      <family val="1"/>
    </font>
    <font>
      <sz val="12"/>
      <name val="Arial Narrow"/>
      <family val="2"/>
    </font>
    <font>
      <b/>
      <sz val="12"/>
      <name val="Arial Narrow"/>
      <family val="2"/>
    </font>
    <font>
      <b/>
      <sz val="12"/>
      <name val="Arial"/>
      <family val="2"/>
    </font>
    <font>
      <sz val="11"/>
      <color theme="1"/>
      <name val="Calibri"/>
      <family val="2"/>
      <scheme val="minor"/>
    </font>
    <font>
      <b/>
      <sz val="16"/>
      <name val="Arial Narrow"/>
      <family val="2"/>
    </font>
    <font>
      <sz val="16"/>
      <name val="Arial Narrow"/>
      <family val="2"/>
    </font>
    <font>
      <b/>
      <u/>
      <sz val="18"/>
      <name val="Arial"/>
      <family val="2"/>
    </font>
    <font>
      <b/>
      <u/>
      <sz val="12"/>
      <name val="Arial"/>
      <family val="2"/>
    </font>
    <font>
      <b/>
      <u/>
      <sz val="11"/>
      <name val="Arial"/>
      <family val="2"/>
    </font>
    <font>
      <b/>
      <sz val="12"/>
      <color theme="1"/>
      <name val="Arial Narrow"/>
      <family val="2"/>
    </font>
    <font>
      <sz val="12"/>
      <color theme="1"/>
      <name val="Arial Narrow"/>
      <family val="2"/>
    </font>
    <font>
      <sz val="12"/>
      <color theme="1"/>
      <name val="Arial"/>
      <family val="2"/>
    </font>
    <font>
      <b/>
      <sz val="10"/>
      <color theme="1"/>
      <name val="Arial Narrow"/>
      <family val="2"/>
    </font>
    <font>
      <sz val="10"/>
      <color theme="1"/>
      <name val="Arial"/>
      <family val="2"/>
    </font>
    <font>
      <sz val="10"/>
      <color theme="1"/>
      <name val="Arial Narrow"/>
      <family val="2"/>
    </font>
    <font>
      <b/>
      <sz val="12"/>
      <color theme="1"/>
      <name val="Arial"/>
      <family val="2"/>
    </font>
    <font>
      <b/>
      <sz val="10"/>
      <color theme="1"/>
      <name val="Arial"/>
      <family val="2"/>
    </font>
    <font>
      <b/>
      <sz val="18"/>
      <color theme="1"/>
      <name val="Arial Narrow"/>
      <family val="2"/>
    </font>
    <font>
      <sz val="18"/>
      <color theme="1"/>
      <name val="Arial"/>
      <family val="2"/>
    </font>
    <font>
      <b/>
      <sz val="16"/>
      <color theme="1"/>
      <name val="Arial Narrow"/>
      <family val="2"/>
    </font>
    <font>
      <sz val="8"/>
      <color theme="1"/>
      <name val="Arial"/>
      <family val="2"/>
    </font>
    <font>
      <sz val="11"/>
      <color theme="1"/>
      <name val="Arial Narrow"/>
      <family val="2"/>
    </font>
    <font>
      <b/>
      <sz val="11"/>
      <color theme="1"/>
      <name val="Arial Narrow"/>
      <family val="2"/>
    </font>
    <font>
      <sz val="9"/>
      <color theme="1"/>
      <name val="Arial"/>
      <family val="2"/>
    </font>
    <font>
      <b/>
      <u/>
      <sz val="11"/>
      <color theme="1"/>
      <name val="Arial Narrow"/>
      <family val="2"/>
    </font>
    <font>
      <u/>
      <sz val="12"/>
      <color theme="1"/>
      <name val="Arial Narrow"/>
      <family val="2"/>
    </font>
    <font>
      <b/>
      <sz val="9"/>
      <color theme="1"/>
      <name val="Arial"/>
      <family val="2"/>
    </font>
    <font>
      <sz val="9"/>
      <color theme="1"/>
      <name val="Arial Narrow"/>
      <family val="2"/>
    </font>
    <font>
      <sz val="7"/>
      <color theme="1"/>
      <name val="Arial"/>
      <family val="2"/>
    </font>
    <font>
      <b/>
      <sz val="18"/>
      <name val="Arial Narrow"/>
      <family val="2"/>
    </font>
    <font>
      <sz val="18"/>
      <name val="Arial"/>
      <family val="2"/>
    </font>
    <font>
      <b/>
      <sz val="14"/>
      <name val="Arial Narrow"/>
      <family val="2"/>
    </font>
    <font>
      <b/>
      <sz val="11"/>
      <name val="Arial Black"/>
      <family val="2"/>
    </font>
    <font>
      <sz val="8"/>
      <name val="Verdana"/>
      <family val="2"/>
    </font>
    <font>
      <sz val="11"/>
      <color indexed="8"/>
      <name val="Calibri"/>
      <family val="2"/>
    </font>
    <font>
      <i/>
      <sz val="11"/>
      <name val="Arial Narrow"/>
      <family val="2"/>
    </font>
    <font>
      <b/>
      <sz val="11"/>
      <color theme="1"/>
      <name val="Berlin Sans FB Demi"/>
      <family val="2"/>
    </font>
    <font>
      <sz val="11"/>
      <color theme="1"/>
      <name val="Berlin Sans FB Demi"/>
      <family val="2"/>
    </font>
    <font>
      <i/>
      <sz val="11"/>
      <color theme="1"/>
      <name val="Arial Narrow"/>
      <family val="2"/>
    </font>
    <font>
      <sz val="11"/>
      <name val="Calibri"/>
      <family val="2"/>
    </font>
    <font>
      <b/>
      <sz val="10"/>
      <name val="Arial Narrow"/>
      <family val="2"/>
    </font>
    <font>
      <b/>
      <sz val="18"/>
      <name val="Arial"/>
      <family val="2"/>
    </font>
    <font>
      <i/>
      <sz val="10"/>
      <name val="Arial Narrow"/>
      <family val="2"/>
    </font>
    <font>
      <i/>
      <sz val="10"/>
      <name val="Arial"/>
      <family val="2"/>
    </font>
    <font>
      <sz val="12"/>
      <name val="Arial"/>
      <family val="2"/>
    </font>
    <font>
      <b/>
      <sz val="8"/>
      <name val="Arial"/>
      <family val="2"/>
    </font>
    <font>
      <i/>
      <sz val="9"/>
      <name val="Arial Narrow"/>
      <family val="2"/>
    </font>
    <font>
      <i/>
      <sz val="12"/>
      <name val="Arial"/>
      <family val="2"/>
    </font>
    <font>
      <i/>
      <sz val="12"/>
      <name val="Arial Narrow"/>
      <family val="2"/>
    </font>
    <font>
      <sz val="10"/>
      <name val="Arial"/>
      <family val="2"/>
    </font>
    <font>
      <sz val="14"/>
      <color theme="1"/>
      <name val="Bodoni MT Black"/>
      <family val="1"/>
    </font>
    <font>
      <sz val="14"/>
      <color theme="1"/>
      <name val="Arial"/>
      <family val="2"/>
    </font>
    <font>
      <b/>
      <sz val="16"/>
      <color theme="1"/>
      <name val="Arial"/>
      <family val="2"/>
    </font>
    <font>
      <b/>
      <sz val="14"/>
      <color theme="1"/>
      <name val="Arial"/>
      <family val="2"/>
    </font>
    <font>
      <b/>
      <sz val="18"/>
      <color theme="1"/>
      <name val="Arial"/>
      <family val="2"/>
    </font>
    <font>
      <sz val="12"/>
      <name val="Arial "/>
    </font>
    <font>
      <b/>
      <sz val="12"/>
      <name val="Arial "/>
    </font>
    <font>
      <sz val="10"/>
      <name val="Arial "/>
    </font>
    <font>
      <sz val="12"/>
      <color theme="1"/>
      <name val="Arial "/>
    </font>
    <font>
      <b/>
      <sz val="14"/>
      <color theme="1"/>
      <name val="Arial "/>
    </font>
    <font>
      <b/>
      <sz val="12"/>
      <color theme="1"/>
      <name val="Arial "/>
    </font>
    <font>
      <sz val="14"/>
      <color theme="1"/>
      <name val="Arial "/>
    </font>
    <font>
      <sz val="14"/>
      <name val="Arial "/>
    </font>
    <font>
      <b/>
      <sz val="14"/>
      <name val="Arial "/>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66FF"/>
        <bgColor indexed="64"/>
      </patternFill>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thin">
        <color theme="0" tint="-0.24994659260841701"/>
      </top>
      <bottom style="thin">
        <color theme="0" tint="-0.24994659260841701"/>
      </bottom>
      <diagonal/>
    </border>
  </borders>
  <cellStyleXfs count="18">
    <xf numFmtId="0" fontId="0" fillId="0" borderId="0"/>
    <xf numFmtId="43" fontId="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0" fontId="11" fillId="0" borderId="0"/>
    <xf numFmtId="0" fontId="18"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49" fillId="0" borderId="0"/>
    <xf numFmtId="0" fontId="2" fillId="0" borderId="0"/>
    <xf numFmtId="43" fontId="2" fillId="0" borderId="0" applyFont="0" applyFill="0" applyBorder="0" applyAlignment="0" applyProtection="0"/>
    <xf numFmtId="0" fontId="64" fillId="0" borderId="0"/>
    <xf numFmtId="0" fontId="1" fillId="0" borderId="0"/>
    <xf numFmtId="43" fontId="1" fillId="0" borderId="0" applyFont="0" applyFill="0" applyBorder="0" applyAlignment="0" applyProtection="0"/>
    <xf numFmtId="0" fontId="4" fillId="0" borderId="0"/>
    <xf numFmtId="0" fontId="1" fillId="0" borderId="0"/>
  </cellStyleXfs>
  <cellXfs count="1731">
    <xf numFmtId="0" fontId="0" fillId="0" borderId="0" xfId="0"/>
    <xf numFmtId="0" fontId="5" fillId="0" borderId="0" xfId="0" applyFont="1"/>
    <xf numFmtId="0" fontId="7" fillId="0" borderId="0" xfId="0" applyFont="1" applyAlignment="1">
      <alignment horizontal="center"/>
    </xf>
    <xf numFmtId="0" fontId="0" fillId="0" borderId="0" xfId="0" applyBorder="1"/>
    <xf numFmtId="0" fontId="0" fillId="0" borderId="5" xfId="0" applyBorder="1"/>
    <xf numFmtId="0" fontId="0" fillId="0" borderId="7" xfId="0" applyBorder="1"/>
    <xf numFmtId="0" fontId="11" fillId="0" borderId="0" xfId="0" applyFont="1"/>
    <xf numFmtId="0" fontId="7" fillId="0" borderId="0" xfId="0" applyFont="1"/>
    <xf numFmtId="0" fontId="11" fillId="0" borderId="0" xfId="0" applyFont="1" applyAlignment="1"/>
    <xf numFmtId="0" fontId="7" fillId="0" borderId="0" xfId="0" applyFont="1" applyAlignment="1"/>
    <xf numFmtId="43" fontId="11" fillId="0" borderId="0" xfId="1" applyFont="1"/>
    <xf numFmtId="43" fontId="11" fillId="0" borderId="12" xfId="1" applyFont="1" applyBorder="1"/>
    <xf numFmtId="43" fontId="7" fillId="0" borderId="13" xfId="1" applyFont="1" applyBorder="1"/>
    <xf numFmtId="43" fontId="7" fillId="0" borderId="14" xfId="1" applyFont="1" applyBorder="1"/>
    <xf numFmtId="0" fontId="11" fillId="0" borderId="0" xfId="0" applyFont="1" applyAlignment="1">
      <alignment horizontal="left"/>
    </xf>
    <xf numFmtId="0" fontId="7" fillId="0" borderId="0" xfId="0" applyFont="1" applyAlignment="1">
      <alignment horizontal="left"/>
    </xf>
    <xf numFmtId="43" fontId="11" fillId="0" borderId="0" xfId="1" applyFont="1" applyBorder="1"/>
    <xf numFmtId="43" fontId="7" fillId="0" borderId="0" xfId="1" applyFont="1" applyBorder="1"/>
    <xf numFmtId="0" fontId="11" fillId="0" borderId="0" xfId="0" applyFont="1" applyBorder="1"/>
    <xf numFmtId="0" fontId="7" fillId="0" borderId="0" xfId="0" applyFont="1" applyBorder="1"/>
    <xf numFmtId="43" fontId="7" fillId="0" borderId="15" xfId="1" applyFont="1" applyBorder="1"/>
    <xf numFmtId="43" fontId="11" fillId="0" borderId="0" xfId="0" applyNumberFormat="1" applyFont="1"/>
    <xf numFmtId="0" fontId="12" fillId="0" borderId="0" xfId="0" applyFont="1"/>
    <xf numFmtId="43" fontId="7" fillId="0" borderId="13" xfId="0" applyNumberFormat="1" applyFont="1" applyBorder="1"/>
    <xf numFmtId="43" fontId="7" fillId="0" borderId="0" xfId="0" applyNumberFormat="1" applyFont="1"/>
    <xf numFmtId="43" fontId="7" fillId="0" borderId="16" xfId="0" applyNumberFormat="1" applyFont="1" applyBorder="1"/>
    <xf numFmtId="0" fontId="0" fillId="0" borderId="2" xfId="0" applyBorder="1"/>
    <xf numFmtId="49" fontId="0" fillId="0" borderId="0" xfId="0" applyNumberFormat="1"/>
    <xf numFmtId="43" fontId="0" fillId="0" borderId="0" xfId="1" applyFont="1"/>
    <xf numFmtId="43" fontId="0" fillId="0" borderId="0" xfId="0" applyNumberFormat="1"/>
    <xf numFmtId="43" fontId="11" fillId="0" borderId="17" xfId="1" applyFont="1" applyBorder="1"/>
    <xf numFmtId="43" fontId="7" fillId="0" borderId="16" xfId="1" applyFont="1" applyBorder="1"/>
    <xf numFmtId="43" fontId="7" fillId="0" borderId="18" xfId="1" applyFont="1" applyBorder="1"/>
    <xf numFmtId="0" fontId="11" fillId="0" borderId="0" xfId="0" quotePrefix="1" applyFont="1" applyAlignment="1">
      <alignment horizontal="fill"/>
    </xf>
    <xf numFmtId="0" fontId="11" fillId="0" borderId="0" xfId="0" quotePrefix="1" applyFont="1" applyAlignment="1">
      <alignment horizontal="right"/>
    </xf>
    <xf numFmtId="43" fontId="7" fillId="0" borderId="0" xfId="1" applyFont="1"/>
    <xf numFmtId="43" fontId="7" fillId="0" borderId="12" xfId="1" applyFont="1" applyBorder="1"/>
    <xf numFmtId="43" fontId="7" fillId="0" borderId="16" xfId="1" quotePrefix="1" applyFont="1" applyBorder="1" applyAlignment="1">
      <alignment horizontal="center"/>
    </xf>
    <xf numFmtId="43" fontId="0" fillId="0" borderId="12" xfId="0" applyNumberFormat="1" applyBorder="1"/>
    <xf numFmtId="43" fontId="7" fillId="0" borderId="18" xfId="0" applyNumberFormat="1" applyFont="1" applyBorder="1"/>
    <xf numFmtId="0" fontId="11" fillId="0" borderId="0" xfId="0" quotePrefix="1" applyFont="1"/>
    <xf numFmtId="4" fontId="0" fillId="0" borderId="0" xfId="0" applyNumberFormat="1"/>
    <xf numFmtId="4" fontId="0" fillId="0" borderId="12" xfId="0" applyNumberFormat="1" applyBorder="1"/>
    <xf numFmtId="4" fontId="11" fillId="0" borderId="16" xfId="0" applyNumberFormat="1" applyFont="1" applyBorder="1"/>
    <xf numFmtId="4" fontId="11" fillId="0" borderId="0" xfId="0" applyNumberFormat="1" applyFont="1" applyAlignment="1">
      <alignment horizontal="center"/>
    </xf>
    <xf numFmtId="4" fontId="0" fillId="0" borderId="18" xfId="0" applyNumberFormat="1" applyBorder="1"/>
    <xf numFmtId="4" fontId="7" fillId="0" borderId="18" xfId="0" applyNumberFormat="1" applyFont="1" applyBorder="1"/>
    <xf numFmtId="0" fontId="11" fillId="0" borderId="0" xfId="0" applyFont="1" applyAlignment="1">
      <alignment horizontal="center"/>
    </xf>
    <xf numFmtId="43" fontId="0" fillId="0" borderId="0" xfId="0" applyNumberFormat="1" applyBorder="1"/>
    <xf numFmtId="43" fontId="11" fillId="0" borderId="12" xfId="0" quotePrefix="1" applyNumberFormat="1" applyFont="1" applyBorder="1" applyAlignment="1">
      <alignment horizontal="center"/>
    </xf>
    <xf numFmtId="4" fontId="0" fillId="0" borderId="0" xfId="0" applyNumberFormat="1" applyBorder="1"/>
    <xf numFmtId="0" fontId="11" fillId="0" borderId="0" xfId="0" applyFont="1" applyAlignment="1">
      <alignment horizontal="right"/>
    </xf>
    <xf numFmtId="0" fontId="14" fillId="0" borderId="0" xfId="0" applyFont="1" applyAlignment="1">
      <alignment horizontal="center"/>
    </xf>
    <xf numFmtId="4" fontId="11" fillId="0" borderId="0" xfId="0" applyNumberFormat="1" applyFont="1"/>
    <xf numFmtId="4" fontId="11" fillId="0" borderId="12" xfId="0" applyNumberFormat="1" applyFont="1" applyBorder="1"/>
    <xf numFmtId="0" fontId="7" fillId="0" borderId="5" xfId="0" applyFont="1" applyBorder="1"/>
    <xf numFmtId="0" fontId="7" fillId="0" borderId="6" xfId="0" applyFont="1" applyBorder="1" applyAlignment="1">
      <alignment horizontal="center"/>
    </xf>
    <xf numFmtId="0" fontId="0" fillId="0" borderId="1" xfId="0" applyBorder="1"/>
    <xf numFmtId="0" fontId="0" fillId="0" borderId="12" xfId="0" applyBorder="1"/>
    <xf numFmtId="0" fontId="7" fillId="0" borderId="27" xfId="0" applyFont="1" applyBorder="1"/>
    <xf numFmtId="0" fontId="7" fillId="0" borderId="26" xfId="0" applyFont="1" applyBorder="1"/>
    <xf numFmtId="0" fontId="7" fillId="0" borderId="0" xfId="0" applyFont="1" applyBorder="1" applyAlignment="1">
      <alignment horizontal="center"/>
    </xf>
    <xf numFmtId="0" fontId="7" fillId="0" borderId="9" xfId="0" applyFont="1" applyBorder="1"/>
    <xf numFmtId="0" fontId="0" fillId="0" borderId="3" xfId="0" applyBorder="1"/>
    <xf numFmtId="0" fontId="7" fillId="0" borderId="1" xfId="0" applyFont="1" applyBorder="1"/>
    <xf numFmtId="0" fontId="7" fillId="0" borderId="2" xfId="0" applyFont="1" applyBorder="1" applyAlignment="1">
      <alignment horizontal="center"/>
    </xf>
    <xf numFmtId="0" fontId="7" fillId="0" borderId="2" xfId="0" applyFont="1" applyBorder="1"/>
    <xf numFmtId="0" fontId="7" fillId="0" borderId="1" xfId="0" applyFont="1" applyBorder="1" applyAlignment="1">
      <alignment horizontal="center"/>
    </xf>
    <xf numFmtId="0" fontId="8" fillId="0" borderId="7" xfId="0" applyFont="1" applyBorder="1" applyAlignment="1">
      <alignment horizontal="center"/>
    </xf>
    <xf numFmtId="0" fontId="8" fillId="0" borderId="3" xfId="0" applyFont="1" applyBorder="1" applyAlignment="1">
      <alignment horizontal="center"/>
    </xf>
    <xf numFmtId="0" fontId="8" fillId="0" borderId="12" xfId="0" applyFont="1" applyBorder="1" applyAlignment="1">
      <alignment horizontal="center"/>
    </xf>
    <xf numFmtId="0" fontId="8" fillId="0" borderId="25" xfId="0" applyFont="1" applyBorder="1" applyAlignment="1">
      <alignment horizontal="center"/>
    </xf>
    <xf numFmtId="0" fontId="8" fillId="0" borderId="0" xfId="0" applyFont="1" applyAlignment="1">
      <alignment horizontal="center"/>
    </xf>
    <xf numFmtId="0" fontId="0" fillId="0" borderId="17" xfId="0" applyBorder="1"/>
    <xf numFmtId="0" fontId="0" fillId="0" borderId="28" xfId="0" applyBorder="1"/>
    <xf numFmtId="0" fontId="7" fillId="0" borderId="29" xfId="0" applyFont="1" applyBorder="1" applyAlignment="1">
      <alignment horizontal="center"/>
    </xf>
    <xf numFmtId="0" fontId="0" fillId="0" borderId="30" xfId="0" applyBorder="1" applyAlignment="1">
      <alignment horizontal="center"/>
    </xf>
    <xf numFmtId="49" fontId="11" fillId="0" borderId="0" xfId="0" applyNumberFormat="1" applyFont="1"/>
    <xf numFmtId="49" fontId="0" fillId="0" borderId="20" xfId="0" applyNumberFormat="1" applyBorder="1"/>
    <xf numFmtId="49" fontId="7" fillId="0" borderId="22" xfId="0" applyNumberFormat="1" applyFont="1" applyBorder="1" applyAlignment="1">
      <alignment horizontal="center"/>
    </xf>
    <xf numFmtId="49" fontId="0" fillId="0" borderId="31" xfId="0" applyNumberFormat="1" applyBorder="1"/>
    <xf numFmtId="49" fontId="0" fillId="0" borderId="5" xfId="0" applyNumberFormat="1" applyBorder="1"/>
    <xf numFmtId="49" fontId="0" fillId="0" borderId="7" xfId="0" applyNumberFormat="1" applyBorder="1"/>
    <xf numFmtId="49" fontId="7" fillId="0" borderId="5" xfId="0" applyNumberFormat="1" applyFont="1" applyBorder="1"/>
    <xf numFmtId="49" fontId="0" fillId="0" borderId="17" xfId="0" applyNumberFormat="1" applyBorder="1"/>
    <xf numFmtId="49" fontId="7" fillId="0" borderId="0" xfId="0" applyNumberFormat="1" applyFont="1" applyBorder="1" applyAlignment="1">
      <alignment horizontal="center"/>
    </xf>
    <xf numFmtId="49" fontId="0" fillId="0" borderId="0" xfId="0" applyNumberFormat="1" applyBorder="1"/>
    <xf numFmtId="49" fontId="7" fillId="0" borderId="0" xfId="0" applyNumberFormat="1" applyFont="1" applyBorder="1"/>
    <xf numFmtId="49" fontId="0" fillId="0" borderId="12" xfId="0" applyNumberFormat="1" applyBorder="1"/>
    <xf numFmtId="49" fontId="11" fillId="0" borderId="0" xfId="0" applyNumberFormat="1" applyFont="1" applyBorder="1"/>
    <xf numFmtId="0" fontId="11" fillId="0" borderId="0" xfId="0" applyFont="1" applyFill="1" applyBorder="1"/>
    <xf numFmtId="0" fontId="0" fillId="0" borderId="0" xfId="0" applyFont="1" applyFill="1" applyBorder="1"/>
    <xf numFmtId="49" fontId="7" fillId="0" borderId="0" xfId="0" applyNumberFormat="1" applyFont="1"/>
    <xf numFmtId="49" fontId="7" fillId="0" borderId="0" xfId="0" applyNumberFormat="1" applyFont="1" applyAlignment="1">
      <alignment horizontal="center"/>
    </xf>
    <xf numFmtId="43" fontId="0" fillId="0" borderId="2" xfId="0" applyNumberFormat="1" applyBorder="1"/>
    <xf numFmtId="43" fontId="0" fillId="0" borderId="3" xfId="0" applyNumberFormat="1" applyBorder="1"/>
    <xf numFmtId="0" fontId="7" fillId="0" borderId="0" xfId="0" applyFont="1" applyFill="1" applyBorder="1"/>
    <xf numFmtId="43" fontId="7" fillId="0" borderId="2" xfId="0" applyNumberFormat="1" applyFont="1" applyBorder="1"/>
    <xf numFmtId="43" fontId="7" fillId="0" borderId="8" xfId="0" applyNumberFormat="1" applyFont="1" applyBorder="1"/>
    <xf numFmtId="43" fontId="7" fillId="0" borderId="11" xfId="0" applyNumberFormat="1" applyFont="1" applyBorder="1"/>
    <xf numFmtId="0" fontId="0" fillId="0" borderId="5" xfId="0" applyBorder="1" applyAlignment="1">
      <alignment horizontal="center"/>
    </xf>
    <xf numFmtId="0" fontId="0" fillId="0" borderId="2" xfId="0" applyBorder="1" applyAlignment="1">
      <alignment horizontal="center"/>
    </xf>
    <xf numFmtId="4" fontId="7" fillId="0" borderId="18" xfId="0" quotePrefix="1" applyNumberFormat="1" applyFont="1" applyBorder="1" applyAlignment="1">
      <alignment horizontal="right"/>
    </xf>
    <xf numFmtId="0" fontId="5" fillId="0" borderId="0" xfId="0" applyFont="1" applyAlignment="1">
      <alignment horizontal="center"/>
    </xf>
    <xf numFmtId="0" fontId="4" fillId="0" borderId="0" xfId="0" applyFont="1"/>
    <xf numFmtId="0" fontId="4" fillId="0" borderId="0" xfId="0" quotePrefix="1" applyFont="1"/>
    <xf numFmtId="0" fontId="23" fillId="0" borderId="0" xfId="0" applyFont="1" applyAlignment="1">
      <alignment horizontal="center"/>
    </xf>
    <xf numFmtId="49" fontId="11" fillId="0" borderId="0" xfId="0" applyNumberFormat="1" applyFont="1" applyAlignment="1">
      <alignment horizontal="center"/>
    </xf>
    <xf numFmtId="43" fontId="29" fillId="0" borderId="0" xfId="1" applyFont="1"/>
    <xf numFmtId="43" fontId="28" fillId="0" borderId="0" xfId="1" applyFont="1" applyBorder="1"/>
    <xf numFmtId="0" fontId="27" fillId="0" borderId="0" xfId="6" applyFont="1"/>
    <xf numFmtId="0" fontId="29" fillId="0" borderId="0" xfId="6" applyFont="1"/>
    <xf numFmtId="49" fontId="29" fillId="0" borderId="0" xfId="6" applyNumberFormat="1" applyFont="1"/>
    <xf numFmtId="43" fontId="29" fillId="0" borderId="0" xfId="7" applyFont="1"/>
    <xf numFmtId="43" fontId="27" fillId="0" borderId="0" xfId="7" applyFont="1" applyAlignment="1">
      <alignment horizontal="right"/>
    </xf>
    <xf numFmtId="43" fontId="38" fillId="0" borderId="0" xfId="1" applyFont="1"/>
    <xf numFmtId="43" fontId="28" fillId="0" borderId="0" xfId="1" applyFont="1"/>
    <xf numFmtId="0" fontId="38" fillId="0" borderId="0" xfId="6" applyFont="1"/>
    <xf numFmtId="0" fontId="28" fillId="0" borderId="0" xfId="6" applyFont="1"/>
    <xf numFmtId="0" fontId="29" fillId="0" borderId="0" xfId="6" applyFont="1" applyBorder="1" applyAlignment="1">
      <alignment horizontal="center"/>
    </xf>
    <xf numFmtId="43" fontId="31" fillId="0" borderId="0" xfId="1" applyFont="1" applyAlignment="1">
      <alignment horizontal="center"/>
    </xf>
    <xf numFmtId="0" fontId="27" fillId="0" borderId="33" xfId="6" applyFont="1" applyBorder="1" applyAlignment="1">
      <alignment horizontal="center"/>
    </xf>
    <xf numFmtId="43" fontId="29" fillId="0" borderId="34" xfId="7" applyFont="1" applyBorder="1" applyAlignment="1">
      <alignment horizontal="center"/>
    </xf>
    <xf numFmtId="0" fontId="27" fillId="0" borderId="44" xfId="6" applyFont="1" applyBorder="1" applyAlignment="1">
      <alignment horizontal="center"/>
    </xf>
    <xf numFmtId="43" fontId="27" fillId="0" borderId="35" xfId="7" applyFont="1" applyBorder="1" applyAlignment="1">
      <alignment horizontal="center"/>
    </xf>
    <xf numFmtId="0" fontId="27" fillId="0" borderId="22" xfId="6" applyFont="1" applyBorder="1" applyAlignment="1">
      <alignment horizontal="center"/>
    </xf>
    <xf numFmtId="0" fontId="27" fillId="0" borderId="6" xfId="6" applyFont="1" applyBorder="1"/>
    <xf numFmtId="0" fontId="27" fillId="0" borderId="2" xfId="6" applyFont="1" applyBorder="1" applyAlignment="1">
      <alignment horizontal="center"/>
    </xf>
    <xf numFmtId="49" fontId="27" fillId="0" borderId="26" xfId="6" applyNumberFormat="1" applyFont="1" applyBorder="1" applyAlignment="1">
      <alignment horizontal="center"/>
    </xf>
    <xf numFmtId="43" fontId="27" fillId="0" borderId="1" xfId="7" applyFont="1" applyBorder="1" applyAlignment="1">
      <alignment horizontal="center"/>
    </xf>
    <xf numFmtId="0" fontId="29" fillId="0" borderId="23" xfId="6" applyFont="1" applyBorder="1" applyAlignment="1">
      <alignment horizontal="center"/>
    </xf>
    <xf numFmtId="0" fontId="29" fillId="0" borderId="37" xfId="6" applyFont="1" applyBorder="1" applyAlignment="1">
      <alignment horizontal="center"/>
    </xf>
    <xf numFmtId="0" fontId="29" fillId="0" borderId="38" xfId="6" applyFont="1" applyBorder="1" applyAlignment="1">
      <alignment horizontal="center"/>
    </xf>
    <xf numFmtId="0" fontId="29" fillId="0" borderId="5" xfId="6" applyFont="1" applyBorder="1" applyAlignment="1">
      <alignment horizontal="center"/>
    </xf>
    <xf numFmtId="0" fontId="29" fillId="0" borderId="6" xfId="6" applyFont="1" applyBorder="1"/>
    <xf numFmtId="0" fontId="29" fillId="0" borderId="2" xfId="6" applyFont="1" applyBorder="1"/>
    <xf numFmtId="49" fontId="28" fillId="0" borderId="0" xfId="6" applyNumberFormat="1" applyFont="1"/>
    <xf numFmtId="43" fontId="29" fillId="0" borderId="2" xfId="7" applyFont="1" applyBorder="1"/>
    <xf numFmtId="43" fontId="28" fillId="0" borderId="2" xfId="7" applyFont="1" applyBorder="1"/>
    <xf numFmtId="0" fontId="25" fillId="0" borderId="5" xfId="6" applyFont="1" applyBorder="1" applyAlignment="1">
      <alignment horizontal="left"/>
    </xf>
    <xf numFmtId="0" fontId="25" fillId="0" borderId="6" xfId="6" applyFont="1" applyBorder="1"/>
    <xf numFmtId="0" fontId="25" fillId="0" borderId="2" xfId="6" applyFont="1" applyBorder="1"/>
    <xf numFmtId="49" fontId="25" fillId="0" borderId="2" xfId="6" applyNumberFormat="1" applyFont="1" applyBorder="1" applyAlignment="1">
      <alignment horizontal="center"/>
    </xf>
    <xf numFmtId="43" fontId="25" fillId="0" borderId="2" xfId="7" applyFont="1" applyBorder="1"/>
    <xf numFmtId="43" fontId="25" fillId="0" borderId="2" xfId="7" quotePrefix="1" applyFont="1" applyBorder="1" applyAlignment="1">
      <alignment horizontal="center"/>
    </xf>
    <xf numFmtId="43" fontId="38" fillId="0" borderId="0" xfId="6" applyNumberFormat="1" applyFont="1"/>
    <xf numFmtId="0" fontId="26" fillId="0" borderId="0" xfId="6" applyFont="1"/>
    <xf numFmtId="0" fontId="40" fillId="0" borderId="5" xfId="6" applyFont="1" applyBorder="1" applyAlignment="1">
      <alignment horizontal="left"/>
    </xf>
    <xf numFmtId="0" fontId="40" fillId="0" borderId="6" xfId="6" applyFont="1" applyBorder="1" applyAlignment="1">
      <alignment horizontal="center"/>
    </xf>
    <xf numFmtId="14" fontId="25" fillId="0" borderId="2" xfId="7" applyNumberFormat="1" applyFont="1" applyBorder="1"/>
    <xf numFmtId="0" fontId="36" fillId="0" borderId="2" xfId="6" applyFont="1" applyBorder="1"/>
    <xf numFmtId="0" fontId="40" fillId="0" borderId="6" xfId="6" applyFont="1" applyBorder="1"/>
    <xf numFmtId="49" fontId="25" fillId="0" borderId="0" xfId="6" applyNumberFormat="1" applyFont="1" applyBorder="1" applyAlignment="1">
      <alignment horizontal="center"/>
    </xf>
    <xf numFmtId="166" fontId="25" fillId="0" borderId="2" xfId="7" applyNumberFormat="1" applyFont="1" applyBorder="1"/>
    <xf numFmtId="0" fontId="25" fillId="0" borderId="5" xfId="6" applyFont="1" applyBorder="1"/>
    <xf numFmtId="0" fontId="25" fillId="0" borderId="0" xfId="6" applyFont="1" applyBorder="1"/>
    <xf numFmtId="49" fontId="26" fillId="0" borderId="0" xfId="6" applyNumberFormat="1" applyFont="1"/>
    <xf numFmtId="0" fontId="24" fillId="0" borderId="10" xfId="6" applyFont="1" applyBorder="1"/>
    <xf numFmtId="0" fontId="24" fillId="0" borderId="18" xfId="6" applyFont="1" applyBorder="1" applyAlignment="1">
      <alignment horizontal="center"/>
    </xf>
    <xf numFmtId="0" fontId="24" fillId="0" borderId="18" xfId="6" applyFont="1" applyBorder="1"/>
    <xf numFmtId="0" fontId="24" fillId="0" borderId="39" xfId="6" applyFont="1" applyBorder="1"/>
    <xf numFmtId="0" fontId="24" fillId="0" borderId="11" xfId="6" applyFont="1" applyBorder="1" applyAlignment="1">
      <alignment horizontal="center"/>
    </xf>
    <xf numFmtId="0" fontId="24" fillId="0" borderId="11" xfId="6" applyFont="1" applyBorder="1"/>
    <xf numFmtId="43" fontId="24" fillId="0" borderId="11" xfId="6" applyNumberFormat="1" applyFont="1" applyBorder="1"/>
    <xf numFmtId="43" fontId="24" fillId="0" borderId="11" xfId="7" applyFont="1" applyBorder="1"/>
    <xf numFmtId="43" fontId="41" fillId="0" borderId="0" xfId="1" applyFont="1"/>
    <xf numFmtId="43" fontId="31" fillId="0" borderId="0" xfId="1" applyFont="1"/>
    <xf numFmtId="0" fontId="41" fillId="0" borderId="0" xfId="6" applyFont="1"/>
    <xf numFmtId="0" fontId="30" fillId="0" borderId="0" xfId="6" applyFont="1"/>
    <xf numFmtId="43" fontId="24" fillId="0" borderId="0" xfId="6" applyNumberFormat="1" applyFont="1" applyBorder="1"/>
    <xf numFmtId="43" fontId="25" fillId="0" borderId="0" xfId="7" applyFont="1" applyBorder="1"/>
    <xf numFmtId="43" fontId="24" fillId="0" borderId="0" xfId="7" applyFont="1" applyBorder="1"/>
    <xf numFmtId="49" fontId="25" fillId="0" borderId="0" xfId="6" applyNumberFormat="1" applyFont="1" applyBorder="1"/>
    <xf numFmtId="0" fontId="24" fillId="0" borderId="0" xfId="6" applyFont="1"/>
    <xf numFmtId="0" fontId="25" fillId="0" borderId="0" xfId="6" applyFont="1"/>
    <xf numFmtId="43" fontId="25" fillId="0" borderId="0" xfId="7" applyFont="1"/>
    <xf numFmtId="49" fontId="25" fillId="0" borderId="0" xfId="6" applyNumberFormat="1" applyFont="1"/>
    <xf numFmtId="0" fontId="24" fillId="0" borderId="0" xfId="6" applyFont="1" applyAlignment="1"/>
    <xf numFmtId="43" fontId="28" fillId="0" borderId="0" xfId="7" applyFont="1"/>
    <xf numFmtId="0" fontId="33" fillId="0" borderId="0" xfId="6" applyFont="1"/>
    <xf numFmtId="43" fontId="42" fillId="0" borderId="0" xfId="1" applyFont="1"/>
    <xf numFmtId="0" fontId="29" fillId="0" borderId="2" xfId="6" applyFont="1" applyBorder="1" applyAlignment="1">
      <alignment horizontal="center"/>
    </xf>
    <xf numFmtId="49" fontId="29" fillId="0" borderId="2" xfId="6" applyNumberFormat="1" applyFont="1" applyBorder="1" applyAlignment="1">
      <alignment horizontal="center"/>
    </xf>
    <xf numFmtId="0" fontId="25" fillId="0" borderId="2" xfId="6" applyFont="1" applyBorder="1" applyAlignment="1">
      <alignment horizontal="center"/>
    </xf>
    <xf numFmtId="0" fontId="25" fillId="0" borderId="2" xfId="6" quotePrefix="1" applyFont="1" applyBorder="1" applyAlignment="1">
      <alignment horizontal="center"/>
    </xf>
    <xf numFmtId="49" fontId="26" fillId="0" borderId="2" xfId="6" applyNumberFormat="1" applyFont="1" applyBorder="1"/>
    <xf numFmtId="0" fontId="24" fillId="0" borderId="10" xfId="6" applyFont="1" applyBorder="1" applyAlignment="1">
      <alignment horizontal="center"/>
    </xf>
    <xf numFmtId="49" fontId="24" fillId="0" borderId="11" xfId="6" applyNumberFormat="1" applyFont="1" applyBorder="1" applyAlignment="1">
      <alignment horizontal="center"/>
    </xf>
    <xf numFmtId="0" fontId="24" fillId="0" borderId="0" xfId="6" applyFont="1" applyBorder="1" applyAlignment="1">
      <alignment horizontal="center"/>
    </xf>
    <xf numFmtId="0" fontId="24" fillId="0" borderId="0" xfId="6" applyFont="1" applyBorder="1"/>
    <xf numFmtId="49" fontId="24" fillId="0" borderId="0" xfId="6" applyNumberFormat="1" applyFont="1" applyBorder="1" applyAlignment="1">
      <alignment horizontal="center"/>
    </xf>
    <xf numFmtId="43" fontId="38" fillId="0" borderId="0" xfId="1" applyFont="1" applyBorder="1"/>
    <xf numFmtId="0" fontId="38" fillId="0" borderId="0" xfId="6" applyFont="1" applyBorder="1"/>
    <xf numFmtId="0" fontId="26" fillId="0" borderId="0" xfId="6" applyFont="1" applyBorder="1"/>
    <xf numFmtId="16" fontId="25" fillId="0" borderId="2" xfId="6" quotePrefix="1" applyNumberFormat="1" applyFont="1" applyBorder="1" applyAlignment="1">
      <alignment horizontal="center"/>
    </xf>
    <xf numFmtId="0" fontId="25" fillId="0" borderId="6" xfId="6" applyFont="1" applyBorder="1" applyAlignment="1">
      <alignment horizontal="left"/>
    </xf>
    <xf numFmtId="0" fontId="25" fillId="0" borderId="3" xfId="6" applyFont="1" applyBorder="1" applyAlignment="1">
      <alignment horizontal="center"/>
    </xf>
    <xf numFmtId="0" fontId="25" fillId="0" borderId="12" xfId="6" applyFont="1" applyBorder="1" applyAlignment="1">
      <alignment horizontal="center"/>
    </xf>
    <xf numFmtId="0" fontId="25" fillId="0" borderId="7" xfId="6" applyFont="1" applyBorder="1" applyAlignment="1">
      <alignment horizontal="center"/>
    </xf>
    <xf numFmtId="0" fontId="25" fillId="0" borderId="25" xfId="6" applyFont="1" applyBorder="1"/>
    <xf numFmtId="0" fontId="25" fillId="0" borderId="3" xfId="6" applyFont="1" applyBorder="1"/>
    <xf numFmtId="49" fontId="25" fillId="0" borderId="3" xfId="6" quotePrefix="1" applyNumberFormat="1" applyFont="1" applyBorder="1" applyAlignment="1">
      <alignment horizontal="center"/>
    </xf>
    <xf numFmtId="14" fontId="25" fillId="0" borderId="12" xfId="7" applyNumberFormat="1" applyFont="1" applyBorder="1"/>
    <xf numFmtId="43" fontId="25" fillId="0" borderId="3" xfId="7" quotePrefix="1" applyFont="1" applyBorder="1" applyAlignment="1">
      <alignment horizontal="center"/>
    </xf>
    <xf numFmtId="0" fontId="24" fillId="0" borderId="4" xfId="6" applyFont="1" applyBorder="1" applyAlignment="1">
      <alignment horizontal="center"/>
    </xf>
    <xf numFmtId="49" fontId="25" fillId="0" borderId="2" xfId="6" quotePrefix="1" applyNumberFormat="1" applyFont="1" applyBorder="1" applyAlignment="1">
      <alignment horizontal="center"/>
    </xf>
    <xf numFmtId="43" fontId="24" fillId="0" borderId="2" xfId="7" quotePrefix="1" applyFont="1" applyBorder="1" applyAlignment="1">
      <alignment horizontal="center"/>
    </xf>
    <xf numFmtId="14" fontId="25" fillId="0" borderId="0" xfId="7" applyNumberFormat="1" applyFont="1" applyBorder="1"/>
    <xf numFmtId="0" fontId="24" fillId="0" borderId="55" xfId="6" applyFont="1" applyBorder="1" applyAlignment="1">
      <alignment horizontal="center"/>
    </xf>
    <xf numFmtId="0" fontId="28" fillId="0" borderId="0" xfId="6" applyFont="1" applyAlignment="1">
      <alignment horizontal="center"/>
    </xf>
    <xf numFmtId="49" fontId="25" fillId="0" borderId="2" xfId="6" applyNumberFormat="1" applyFont="1" applyBorder="1"/>
    <xf numFmtId="43" fontId="25" fillId="0" borderId="6" xfId="7" applyFont="1" applyBorder="1"/>
    <xf numFmtId="14" fontId="25" fillId="0" borderId="6" xfId="7" applyNumberFormat="1" applyFont="1" applyBorder="1"/>
    <xf numFmtId="0" fontId="24" fillId="0" borderId="39" xfId="6" applyFont="1" applyBorder="1" applyAlignment="1">
      <alignment horizontal="center"/>
    </xf>
    <xf numFmtId="49" fontId="24" fillId="0" borderId="11" xfId="6" applyNumberFormat="1" applyFont="1" applyBorder="1"/>
    <xf numFmtId="43" fontId="24" fillId="0" borderId="2" xfId="7" applyFont="1" applyBorder="1"/>
    <xf numFmtId="0" fontId="29" fillId="0" borderId="0" xfId="6" applyFont="1" applyBorder="1"/>
    <xf numFmtId="0" fontId="29" fillId="0" borderId="6" xfId="6" applyFont="1" applyBorder="1" applyAlignment="1">
      <alignment horizontal="center"/>
    </xf>
    <xf numFmtId="0" fontId="25" fillId="0" borderId="0" xfId="6" quotePrefix="1" applyFont="1" applyBorder="1" applyAlignment="1">
      <alignment horizontal="center"/>
    </xf>
    <xf numFmtId="0" fontId="25" fillId="0" borderId="2" xfId="6" applyFont="1" applyFill="1" applyBorder="1"/>
    <xf numFmtId="0" fontId="25" fillId="0" borderId="2" xfId="6" applyFont="1" applyFill="1" applyBorder="1" applyAlignment="1">
      <alignment horizontal="center"/>
    </xf>
    <xf numFmtId="0" fontId="25" fillId="0" borderId="0" xfId="6" applyFont="1" applyFill="1" applyBorder="1" applyAlignment="1">
      <alignment horizontal="center"/>
    </xf>
    <xf numFmtId="0" fontId="25" fillId="0" borderId="6" xfId="6" applyFont="1" applyFill="1" applyBorder="1" applyAlignment="1">
      <alignment horizontal="center"/>
    </xf>
    <xf numFmtId="0" fontId="25" fillId="0" borderId="0" xfId="6" applyFont="1" applyFill="1" applyBorder="1"/>
    <xf numFmtId="0" fontId="25" fillId="0" borderId="6" xfId="6" applyFont="1" applyFill="1" applyBorder="1"/>
    <xf numFmtId="0" fontId="25" fillId="0" borderId="2" xfId="6" quotePrefix="1" applyFont="1" applyFill="1" applyBorder="1" applyAlignment="1">
      <alignment horizontal="center"/>
    </xf>
    <xf numFmtId="43" fontId="25" fillId="0" borderId="2" xfId="7" applyFont="1" applyFill="1" applyBorder="1"/>
    <xf numFmtId="165" fontId="25" fillId="0" borderId="2" xfId="7" applyNumberFormat="1" applyFont="1" applyBorder="1"/>
    <xf numFmtId="49" fontId="24" fillId="0" borderId="0" xfId="6" applyNumberFormat="1" applyFont="1" applyBorder="1"/>
    <xf numFmtId="0" fontId="25" fillId="0" borderId="2" xfId="6" applyFont="1" applyBorder="1" applyAlignment="1">
      <alignment horizontal="left"/>
    </xf>
    <xf numFmtId="0" fontId="25" fillId="0" borderId="12" xfId="6" applyFont="1" applyBorder="1"/>
    <xf numFmtId="14" fontId="29" fillId="0" borderId="0" xfId="6" applyNumberFormat="1" applyFont="1"/>
    <xf numFmtId="14" fontId="29" fillId="0" borderId="0" xfId="6" applyNumberFormat="1" applyFont="1" applyBorder="1"/>
    <xf numFmtId="14" fontId="25" fillId="0" borderId="2" xfId="7" applyNumberFormat="1" applyFont="1" applyBorder="1" applyAlignment="1">
      <alignment horizontal="center"/>
    </xf>
    <xf numFmtId="0" fontId="25" fillId="3" borderId="2" xfId="6" applyFont="1" applyFill="1" applyBorder="1"/>
    <xf numFmtId="43" fontId="25" fillId="0" borderId="2" xfId="7" applyFont="1" applyBorder="1" applyAlignment="1">
      <alignment horizontal="center"/>
    </xf>
    <xf numFmtId="0" fontId="24" fillId="0" borderId="15" xfId="6" applyFont="1" applyBorder="1" applyAlignment="1">
      <alignment horizontal="center"/>
    </xf>
    <xf numFmtId="0" fontId="24" fillId="0" borderId="19" xfId="6" applyFont="1" applyBorder="1" applyAlignment="1">
      <alignment horizontal="center"/>
    </xf>
    <xf numFmtId="0" fontId="24" fillId="0" borderId="40" xfId="6" applyFont="1" applyBorder="1"/>
    <xf numFmtId="43" fontId="24" fillId="0" borderId="4" xfId="7" applyFont="1" applyBorder="1"/>
    <xf numFmtId="49" fontId="24" fillId="0" borderId="4" xfId="6" quotePrefix="1" applyNumberFormat="1" applyFont="1" applyBorder="1" applyAlignment="1">
      <alignment horizontal="center"/>
    </xf>
    <xf numFmtId="0" fontId="25" fillId="0" borderId="4" xfId="6" applyFont="1" applyBorder="1" applyAlignment="1">
      <alignment horizontal="center"/>
    </xf>
    <xf numFmtId="0" fontId="25" fillId="0" borderId="15" xfId="6" applyFont="1" applyBorder="1" applyAlignment="1">
      <alignment horizontal="center"/>
    </xf>
    <xf numFmtId="0" fontId="25" fillId="0" borderId="19" xfId="6" applyFont="1" applyBorder="1" applyAlignment="1">
      <alignment horizontal="center"/>
    </xf>
    <xf numFmtId="0" fontId="25" fillId="0" borderId="40" xfId="6" applyFont="1" applyBorder="1"/>
    <xf numFmtId="49" fontId="25" fillId="0" borderId="4" xfId="6" applyNumberFormat="1" applyFont="1" applyBorder="1" applyAlignment="1">
      <alignment horizontal="center"/>
    </xf>
    <xf numFmtId="0" fontId="42" fillId="0" borderId="0" xfId="6" applyFont="1"/>
    <xf numFmtId="0" fontId="29" fillId="0" borderId="33" xfId="6" applyFont="1" applyBorder="1" applyAlignment="1">
      <alignment horizontal="center"/>
    </xf>
    <xf numFmtId="166" fontId="25" fillId="0" borderId="2" xfId="7" applyNumberFormat="1" applyFont="1" applyBorder="1" applyAlignment="1">
      <alignment horizontal="center"/>
    </xf>
    <xf numFmtId="0" fontId="25" fillId="0" borderId="11" xfId="6" applyFont="1" applyBorder="1"/>
    <xf numFmtId="0" fontId="25" fillId="0" borderId="18" xfId="6" applyFont="1" applyBorder="1"/>
    <xf numFmtId="0" fontId="25" fillId="0" borderId="18" xfId="6" applyFont="1" applyBorder="1" applyAlignment="1">
      <alignment horizontal="center"/>
    </xf>
    <xf numFmtId="0" fontId="25" fillId="0" borderId="10" xfId="6" applyFont="1" applyBorder="1"/>
    <xf numFmtId="0" fontId="25" fillId="0" borderId="39" xfId="6" applyFont="1" applyBorder="1"/>
    <xf numFmtId="0" fontId="25" fillId="0" borderId="11" xfId="6" applyFont="1" applyBorder="1" applyAlignment="1">
      <alignment horizontal="center"/>
    </xf>
    <xf numFmtId="43" fontId="43" fillId="0" borderId="0" xfId="6" applyNumberFormat="1" applyFont="1"/>
    <xf numFmtId="43" fontId="35" fillId="0" borderId="0" xfId="6" applyNumberFormat="1" applyFont="1"/>
    <xf numFmtId="43" fontId="28" fillId="0" borderId="0" xfId="6" applyNumberFormat="1" applyFont="1"/>
    <xf numFmtId="0" fontId="4" fillId="0" borderId="0" xfId="0" applyFont="1" applyAlignment="1">
      <alignment horizontal="center"/>
    </xf>
    <xf numFmtId="49" fontId="11" fillId="0" borderId="0" xfId="0" applyNumberFormat="1" applyFont="1" applyAlignment="1">
      <alignment horizontal="center"/>
    </xf>
    <xf numFmtId="0" fontId="19" fillId="0" borderId="0" xfId="0" applyFont="1" applyAlignment="1"/>
    <xf numFmtId="0" fontId="45" fillId="0" borderId="0" xfId="0" applyFont="1"/>
    <xf numFmtId="43" fontId="33" fillId="0" borderId="0" xfId="1" applyFont="1"/>
    <xf numFmtId="0" fontId="13" fillId="0" borderId="0" xfId="8" applyFont="1"/>
    <xf numFmtId="0" fontId="13" fillId="0" borderId="0" xfId="8" applyFont="1" applyBorder="1" applyAlignment="1">
      <alignment horizontal="left"/>
    </xf>
    <xf numFmtId="0" fontId="13" fillId="0" borderId="0" xfId="8" applyFont="1" applyBorder="1" applyAlignment="1"/>
    <xf numFmtId="0" fontId="9" fillId="0" borderId="0" xfId="8" applyFont="1" applyBorder="1" applyAlignment="1"/>
    <xf numFmtId="0" fontId="9" fillId="0" borderId="0" xfId="8" applyFont="1"/>
    <xf numFmtId="0" fontId="13" fillId="0" borderId="0" xfId="8" applyFont="1" applyAlignment="1">
      <alignment horizontal="left"/>
    </xf>
    <xf numFmtId="0" fontId="48" fillId="0" borderId="0" xfId="8" applyFont="1" applyAlignment="1">
      <alignment vertical="center"/>
    </xf>
    <xf numFmtId="0" fontId="48" fillId="0" borderId="0" xfId="8" applyFont="1" applyAlignment="1">
      <alignment vertical="center" wrapText="1"/>
    </xf>
    <xf numFmtId="0" fontId="13" fillId="0" borderId="0" xfId="8" applyFont="1" applyAlignment="1"/>
    <xf numFmtId="0" fontId="9" fillId="3" borderId="1" xfId="8" applyFont="1" applyFill="1" applyBorder="1" applyAlignment="1">
      <alignment horizontal="center"/>
    </xf>
    <xf numFmtId="0" fontId="9" fillId="3" borderId="2" xfId="8" applyFont="1" applyFill="1" applyBorder="1" applyAlignment="1">
      <alignment horizontal="center"/>
    </xf>
    <xf numFmtId="0" fontId="9" fillId="3" borderId="15" xfId="8" applyFont="1" applyFill="1" applyBorder="1" applyAlignment="1">
      <alignment horizontal="center"/>
    </xf>
    <xf numFmtId="0" fontId="9" fillId="3" borderId="19" xfId="8" applyFont="1" applyFill="1" applyBorder="1" applyAlignment="1">
      <alignment horizontal="center"/>
    </xf>
    <xf numFmtId="0" fontId="9" fillId="3" borderId="4" xfId="8" applyFont="1" applyFill="1" applyBorder="1" applyAlignment="1">
      <alignment horizontal="center"/>
    </xf>
    <xf numFmtId="0" fontId="9" fillId="3" borderId="40" xfId="8" applyFont="1" applyFill="1" applyBorder="1" applyAlignment="1">
      <alignment horizontal="center"/>
    </xf>
    <xf numFmtId="0" fontId="13" fillId="0" borderId="1" xfId="8" applyFont="1" applyBorder="1" applyAlignment="1">
      <alignment horizontal="center"/>
    </xf>
    <xf numFmtId="0" fontId="13" fillId="0" borderId="2" xfId="8" applyFont="1" applyBorder="1" applyAlignment="1">
      <alignment horizontal="center"/>
    </xf>
    <xf numFmtId="0" fontId="13" fillId="0" borderId="3" xfId="8" applyFont="1" applyBorder="1" applyAlignment="1">
      <alignment horizontal="center"/>
    </xf>
    <xf numFmtId="0" fontId="13" fillId="0" borderId="5" xfId="8" applyFont="1" applyBorder="1" applyAlignment="1">
      <alignment horizontal="center"/>
    </xf>
    <xf numFmtId="0" fontId="13" fillId="0" borderId="1" xfId="8" applyFont="1" applyBorder="1" applyAlignment="1">
      <alignment horizontal="center" vertical="top"/>
    </xf>
    <xf numFmtId="0" fontId="13" fillId="0" borderId="4" xfId="8" applyFont="1" applyFill="1" applyBorder="1" applyAlignment="1">
      <alignment horizontal="left" vertical="top" wrapText="1"/>
    </xf>
    <xf numFmtId="0" fontId="13" fillId="0" borderId="4" xfId="8" applyFont="1" applyBorder="1" applyAlignment="1">
      <alignment horizontal="left" vertical="top" wrapText="1"/>
    </xf>
    <xf numFmtId="0" fontId="13" fillId="0" borderId="4" xfId="8" applyFont="1" applyBorder="1" applyAlignment="1">
      <alignment vertical="top" wrapText="1"/>
    </xf>
    <xf numFmtId="0" fontId="13" fillId="0" borderId="2" xfId="8" applyFont="1" applyFill="1" applyBorder="1" applyAlignment="1">
      <alignment horizontal="left" vertical="top" wrapText="1"/>
    </xf>
    <xf numFmtId="0" fontId="13" fillId="0" borderId="2" xfId="8" applyFont="1" applyBorder="1" applyAlignment="1">
      <alignment horizontal="left" vertical="top" wrapText="1"/>
    </xf>
    <xf numFmtId="0" fontId="13" fillId="0" borderId="3" xfId="8" applyFont="1" applyBorder="1" applyAlignment="1">
      <alignment vertical="top" wrapText="1"/>
    </xf>
    <xf numFmtId="0" fontId="13" fillId="0" borderId="0" xfId="8" applyFont="1" applyBorder="1"/>
    <xf numFmtId="49" fontId="13" fillId="0" borderId="0" xfId="8" applyNumberFormat="1" applyFont="1" applyFill="1" applyBorder="1" applyAlignment="1">
      <alignment horizontal="left" vertical="top" wrapText="1"/>
    </xf>
    <xf numFmtId="43" fontId="13" fillId="0" borderId="0" xfId="9" applyFont="1" applyBorder="1" applyAlignment="1">
      <alignment horizontal="center" vertical="center"/>
    </xf>
    <xf numFmtId="0" fontId="13" fillId="0" borderId="0" xfId="8" applyFont="1" applyBorder="1" applyAlignment="1">
      <alignment vertical="top"/>
    </xf>
    <xf numFmtId="0" fontId="13" fillId="0" borderId="0" xfId="8" applyFont="1" applyBorder="1" applyAlignment="1">
      <alignment horizontal="left" vertical="top"/>
    </xf>
    <xf numFmtId="43" fontId="13" fillId="0" borderId="0" xfId="9" applyFont="1" applyBorder="1" applyAlignment="1">
      <alignment horizontal="left" vertical="top"/>
    </xf>
    <xf numFmtId="0" fontId="13" fillId="0" borderId="0" xfId="8" applyFont="1" applyFill="1" applyBorder="1"/>
    <xf numFmtId="0" fontId="9" fillId="0" borderId="0" xfId="10" applyFont="1" applyFill="1" applyBorder="1" applyAlignment="1"/>
    <xf numFmtId="43" fontId="13" fillId="0" borderId="0" xfId="9" applyFont="1" applyFill="1" applyBorder="1"/>
    <xf numFmtId="0" fontId="13" fillId="0" borderId="0" xfId="10" applyFont="1" applyFill="1" applyBorder="1" applyAlignment="1"/>
    <xf numFmtId="0" fontId="9" fillId="0" borderId="0" xfId="8" applyFont="1" applyFill="1" applyBorder="1" applyAlignment="1"/>
    <xf numFmtId="0" fontId="50" fillId="0" borderId="0" xfId="8" applyFont="1" applyFill="1" applyBorder="1"/>
    <xf numFmtId="43" fontId="50" fillId="0" borderId="0" xfId="9" applyFont="1" applyFill="1" applyBorder="1"/>
    <xf numFmtId="0" fontId="13" fillId="0" borderId="0" xfId="8" applyFont="1" applyFill="1" applyBorder="1" applyAlignment="1"/>
    <xf numFmtId="49" fontId="13" fillId="0" borderId="0" xfId="8" applyNumberFormat="1" applyFont="1" applyBorder="1" applyAlignment="1">
      <alignment horizontal="right" vertical="top" wrapText="1"/>
    </xf>
    <xf numFmtId="43" fontId="16" fillId="0" borderId="0" xfId="8" quotePrefix="1" applyNumberFormat="1" applyFont="1" applyBorder="1" applyAlignment="1">
      <alignment horizontal="left" vertical="center" textRotation="180" wrapText="1"/>
    </xf>
    <xf numFmtId="0" fontId="9" fillId="0" borderId="1" xfId="8" applyFont="1" applyBorder="1" applyAlignment="1">
      <alignment vertical="top" wrapText="1"/>
    </xf>
    <xf numFmtId="0" fontId="13" fillId="0" borderId="1" xfId="8" applyFont="1" applyBorder="1" applyAlignment="1">
      <alignment vertical="top" wrapText="1"/>
    </xf>
    <xf numFmtId="0" fontId="13" fillId="0" borderId="2" xfId="8" quotePrefix="1" applyFont="1" applyBorder="1" applyAlignment="1">
      <alignment vertical="top" wrapText="1"/>
    </xf>
    <xf numFmtId="0" fontId="13" fillId="0" borderId="2" xfId="8" applyFont="1" applyBorder="1" applyAlignment="1">
      <alignment vertical="top" wrapText="1"/>
    </xf>
    <xf numFmtId="0" fontId="13" fillId="0" borderId="3" xfId="8" quotePrefix="1" applyFont="1" applyBorder="1" applyAlignment="1">
      <alignment horizontal="left" vertical="top" wrapText="1"/>
    </xf>
    <xf numFmtId="0" fontId="13" fillId="0" borderId="3" xfId="8" applyFont="1" applyBorder="1" applyAlignment="1">
      <alignment horizontal="left" vertical="top"/>
    </xf>
    <xf numFmtId="0" fontId="9" fillId="0" borderId="5" xfId="8" applyFont="1" applyBorder="1" applyAlignment="1">
      <alignment horizontal="left"/>
    </xf>
    <xf numFmtId="49" fontId="13" fillId="0" borderId="1" xfId="8" applyNumberFormat="1" applyFont="1" applyFill="1" applyBorder="1" applyAlignment="1">
      <alignment wrapText="1"/>
    </xf>
    <xf numFmtId="49" fontId="13" fillId="0" borderId="2" xfId="8" applyNumberFormat="1" applyFont="1" applyFill="1" applyBorder="1" applyAlignment="1">
      <alignment horizontal="left" vertical="top" wrapText="1"/>
    </xf>
    <xf numFmtId="0" fontId="13" fillId="0" borderId="3" xfId="8" applyFont="1" applyBorder="1" applyAlignment="1">
      <alignment horizontal="left" vertical="top" wrapText="1"/>
    </xf>
    <xf numFmtId="43" fontId="13" fillId="0" borderId="0" xfId="9" applyFont="1" applyBorder="1" applyAlignment="1">
      <alignment vertical="center"/>
    </xf>
    <xf numFmtId="0" fontId="13" fillId="0" borderId="0" xfId="8" applyFont="1" applyAlignment="1">
      <alignment horizontal="center"/>
    </xf>
    <xf numFmtId="43" fontId="19" fillId="0" borderId="0" xfId="8" quotePrefix="1" applyNumberFormat="1" applyFont="1" applyBorder="1" applyAlignment="1">
      <alignment vertical="center" textRotation="180" wrapText="1"/>
    </xf>
    <xf numFmtId="0" fontId="9" fillId="0" borderId="0" xfId="8" applyFont="1" applyBorder="1"/>
    <xf numFmtId="0" fontId="9" fillId="3" borderId="1" xfId="8" applyFont="1" applyFill="1" applyBorder="1" applyAlignment="1">
      <alignment horizontal="center" vertical="center"/>
    </xf>
    <xf numFmtId="49" fontId="13" fillId="0" borderId="4" xfId="8" applyNumberFormat="1" applyFont="1" applyFill="1" applyBorder="1" applyAlignment="1">
      <alignment horizontal="left" vertical="top" wrapText="1"/>
    </xf>
    <xf numFmtId="49" fontId="13" fillId="0" borderId="4" xfId="9" applyNumberFormat="1" applyFont="1" applyFill="1" applyBorder="1" applyAlignment="1">
      <alignment horizontal="left" vertical="top" wrapText="1"/>
    </xf>
    <xf numFmtId="0" fontId="13" fillId="0" borderId="25" xfId="8" applyFont="1" applyFill="1" applyBorder="1" applyAlignment="1">
      <alignment horizontal="left" vertical="top" wrapText="1"/>
    </xf>
    <xf numFmtId="49" fontId="13" fillId="0" borderId="12" xfId="8" applyNumberFormat="1" applyFont="1" applyFill="1" applyBorder="1" applyAlignment="1">
      <alignment horizontal="left" vertical="top" wrapText="1"/>
    </xf>
    <xf numFmtId="49" fontId="13" fillId="0" borderId="12" xfId="9" applyNumberFormat="1" applyFont="1" applyFill="1" applyBorder="1" applyAlignment="1">
      <alignment horizontal="left" vertical="top" wrapText="1"/>
    </xf>
    <xf numFmtId="0" fontId="13" fillId="0" borderId="12" xfId="8" applyFont="1" applyBorder="1" applyAlignment="1">
      <alignment horizontal="left" vertical="top" wrapText="1"/>
    </xf>
    <xf numFmtId="43" fontId="9" fillId="0" borderId="10" xfId="9" applyFont="1" applyBorder="1" applyAlignment="1">
      <alignment horizontal="center" vertical="center"/>
    </xf>
    <xf numFmtId="43" fontId="9" fillId="0" borderId="18" xfId="9" applyFont="1" applyBorder="1" applyAlignment="1">
      <alignment horizontal="center" vertical="center"/>
    </xf>
    <xf numFmtId="43" fontId="9" fillId="0" borderId="39" xfId="9" applyFont="1" applyBorder="1" applyAlignment="1">
      <alignment horizontal="center" vertical="center"/>
    </xf>
    <xf numFmtId="0" fontId="51" fillId="0" borderId="0" xfId="8" applyFont="1" applyBorder="1" applyAlignment="1"/>
    <xf numFmtId="0" fontId="52" fillId="0" borderId="0" xfId="8" applyFont="1" applyBorder="1" applyAlignment="1"/>
    <xf numFmtId="0" fontId="36" fillId="0" borderId="0" xfId="8" applyFont="1" applyBorder="1"/>
    <xf numFmtId="0" fontId="37" fillId="0" borderId="0" xfId="8" applyFont="1" applyBorder="1"/>
    <xf numFmtId="0" fontId="37" fillId="3" borderId="27" xfId="8" applyFont="1" applyFill="1" applyBorder="1" applyAlignment="1">
      <alignment horizontal="center" vertical="center" wrapText="1"/>
    </xf>
    <xf numFmtId="0" fontId="37" fillId="3" borderId="1" xfId="8" applyFont="1" applyFill="1" applyBorder="1" applyAlignment="1">
      <alignment horizontal="center" vertical="center" wrapText="1"/>
    </xf>
    <xf numFmtId="0" fontId="37" fillId="3" borderId="0" xfId="8" applyFont="1" applyFill="1" applyBorder="1" applyAlignment="1">
      <alignment horizontal="center" vertical="center" wrapText="1"/>
    </xf>
    <xf numFmtId="0" fontId="37" fillId="3" borderId="2" xfId="8" applyFont="1" applyFill="1" applyBorder="1" applyAlignment="1">
      <alignment horizontal="center" vertical="center" wrapText="1"/>
    </xf>
    <xf numFmtId="0" fontId="37" fillId="3" borderId="7" xfId="8" applyFont="1" applyFill="1" applyBorder="1" applyAlignment="1">
      <alignment horizontal="center" vertical="center"/>
    </xf>
    <xf numFmtId="0" fontId="37" fillId="3" borderId="12" xfId="8" applyFont="1" applyFill="1" applyBorder="1" applyAlignment="1">
      <alignment horizontal="center" vertical="center"/>
    </xf>
    <xf numFmtId="0" fontId="37" fillId="3" borderId="25" xfId="8" applyFont="1" applyFill="1" applyBorder="1" applyAlignment="1">
      <alignment horizontal="center" vertical="center"/>
    </xf>
    <xf numFmtId="0" fontId="36" fillId="0" borderId="1" xfId="8" applyFont="1" applyBorder="1" applyAlignment="1">
      <alignment horizontal="center" vertical="top" wrapText="1"/>
    </xf>
    <xf numFmtId="0" fontId="36" fillId="0" borderId="27" xfId="8" applyFont="1" applyFill="1" applyBorder="1" applyAlignment="1">
      <alignment horizontal="left" vertical="top" wrapText="1"/>
    </xf>
    <xf numFmtId="0" fontId="3" fillId="0" borderId="1" xfId="8" applyFont="1" applyBorder="1" applyAlignment="1">
      <alignment horizontal="left" vertical="top" wrapText="1"/>
    </xf>
    <xf numFmtId="49" fontId="36" fillId="0" borderId="27" xfId="9" applyNumberFormat="1" applyFont="1" applyFill="1" applyBorder="1" applyAlignment="1">
      <alignment horizontal="left" vertical="top" wrapText="1"/>
    </xf>
    <xf numFmtId="0" fontId="36" fillId="0" borderId="1" xfId="8" applyFont="1" applyFill="1" applyBorder="1" applyAlignment="1">
      <alignment horizontal="left" vertical="top" wrapText="1"/>
    </xf>
    <xf numFmtId="0" fontId="36" fillId="0" borderId="3" xfId="8" applyFont="1" applyBorder="1" applyAlignment="1">
      <alignment horizontal="center" vertical="top" wrapText="1"/>
    </xf>
    <xf numFmtId="0" fontId="36" fillId="0" borderId="12" xfId="8" applyFont="1" applyFill="1" applyBorder="1" applyAlignment="1">
      <alignment horizontal="left" vertical="top" wrapText="1"/>
    </xf>
    <xf numFmtId="0" fontId="3" fillId="0" borderId="3" xfId="8" applyFont="1" applyBorder="1" applyAlignment="1">
      <alignment horizontal="left" vertical="top" wrapText="1"/>
    </xf>
    <xf numFmtId="49" fontId="36" fillId="0" borderId="12" xfId="9" applyNumberFormat="1" applyFont="1" applyFill="1" applyBorder="1" applyAlignment="1">
      <alignment horizontal="left" vertical="top" wrapText="1"/>
    </xf>
    <xf numFmtId="0" fontId="36" fillId="0" borderId="3" xfId="8" applyFont="1" applyFill="1" applyBorder="1" applyAlignment="1">
      <alignment horizontal="left" vertical="top" wrapText="1"/>
    </xf>
    <xf numFmtId="49" fontId="36" fillId="0" borderId="1" xfId="9" applyNumberFormat="1" applyFont="1" applyFill="1" applyBorder="1" applyAlignment="1">
      <alignment horizontal="left" vertical="top" wrapText="1"/>
    </xf>
    <xf numFmtId="49" fontId="36" fillId="0" borderId="27" xfId="8" applyNumberFormat="1" applyFont="1" applyFill="1" applyBorder="1" applyAlignment="1">
      <alignment horizontal="left" vertical="top" wrapText="1"/>
    </xf>
    <xf numFmtId="49" fontId="36" fillId="0" borderId="3" xfId="9" applyNumberFormat="1" applyFont="1" applyFill="1" applyBorder="1" applyAlignment="1">
      <alignment horizontal="left" vertical="top" wrapText="1"/>
    </xf>
    <xf numFmtId="0" fontId="3" fillId="0" borderId="12" xfId="8" applyFont="1" applyBorder="1" applyAlignment="1">
      <alignment horizontal="left" vertical="top" wrapText="1"/>
    </xf>
    <xf numFmtId="49" fontId="36" fillId="0" borderId="12" xfId="8" applyNumberFormat="1" applyFont="1" applyFill="1" applyBorder="1" applyAlignment="1">
      <alignment horizontal="left" vertical="top" wrapText="1"/>
    </xf>
    <xf numFmtId="0" fontId="36" fillId="0" borderId="2" xfId="8" applyFont="1" applyBorder="1" applyAlignment="1">
      <alignment horizontal="center" vertical="top" wrapText="1"/>
    </xf>
    <xf numFmtId="49" fontId="36" fillId="0" borderId="0" xfId="8" applyNumberFormat="1" applyFont="1" applyFill="1" applyBorder="1" applyAlignment="1">
      <alignment horizontal="left" vertical="top" wrapText="1"/>
    </xf>
    <xf numFmtId="49" fontId="36" fillId="0" borderId="2" xfId="9" applyNumberFormat="1" applyFont="1" applyFill="1" applyBorder="1" applyAlignment="1">
      <alignment horizontal="left" vertical="top" wrapText="1"/>
    </xf>
    <xf numFmtId="0" fontId="36" fillId="0" borderId="2" xfId="8" applyFont="1" applyFill="1" applyBorder="1" applyAlignment="1">
      <alignment horizontal="left" vertical="top" wrapText="1"/>
    </xf>
    <xf numFmtId="0" fontId="3" fillId="0" borderId="2" xfId="8" applyFont="1" applyBorder="1" applyAlignment="1">
      <alignment horizontal="left" vertical="top" wrapText="1"/>
    </xf>
    <xf numFmtId="0" fontId="36" fillId="0" borderId="1" xfId="8" applyFont="1" applyBorder="1" applyAlignment="1">
      <alignment horizontal="left" vertical="top" wrapText="1"/>
    </xf>
    <xf numFmtId="0" fontId="36" fillId="0" borderId="12" xfId="8" applyFont="1" applyBorder="1" applyAlignment="1">
      <alignment horizontal="left" vertical="top" wrapText="1"/>
    </xf>
    <xf numFmtId="0" fontId="36" fillId="0" borderId="3" xfId="8" applyFont="1" applyBorder="1" applyAlignment="1">
      <alignment horizontal="left" vertical="top" wrapText="1"/>
    </xf>
    <xf numFmtId="49" fontId="36" fillId="0" borderId="1" xfId="8" quotePrefix="1" applyNumberFormat="1" applyFont="1" applyFill="1" applyBorder="1" applyAlignment="1">
      <alignment horizontal="left" vertical="top" wrapText="1"/>
    </xf>
    <xf numFmtId="49" fontId="36" fillId="0" borderId="3" xfId="8" quotePrefix="1" applyNumberFormat="1" applyFont="1" applyFill="1" applyBorder="1" applyAlignment="1">
      <alignment horizontal="left" vertical="top" wrapText="1"/>
    </xf>
    <xf numFmtId="49" fontId="36" fillId="0" borderId="2" xfId="8" applyNumberFormat="1" applyFont="1" applyFill="1" applyBorder="1" applyAlignment="1">
      <alignment horizontal="left" vertical="top" wrapText="1"/>
    </xf>
    <xf numFmtId="49" fontId="36" fillId="0" borderId="3" xfId="8" applyNumberFormat="1" applyFont="1" applyFill="1" applyBorder="1" applyAlignment="1">
      <alignment horizontal="left" vertical="top" wrapText="1"/>
    </xf>
    <xf numFmtId="0" fontId="3" fillId="0" borderId="0" xfId="8" applyFont="1" applyBorder="1"/>
    <xf numFmtId="43" fontId="36" fillId="0" borderId="0" xfId="9" applyFont="1" applyBorder="1" applyAlignment="1">
      <alignment horizontal="left" vertical="top"/>
    </xf>
    <xf numFmtId="0" fontId="36" fillId="0" borderId="0" xfId="8" applyFont="1" applyBorder="1" applyAlignment="1">
      <alignment horizontal="left" vertical="top"/>
    </xf>
    <xf numFmtId="0" fontId="37" fillId="0" borderId="0" xfId="8" applyFont="1" applyFill="1" applyBorder="1" applyAlignment="1">
      <alignment horizontal="center"/>
    </xf>
    <xf numFmtId="0" fontId="36" fillId="0" borderId="0" xfId="8" applyFont="1" applyFill="1" applyBorder="1" applyAlignment="1">
      <alignment horizontal="center"/>
    </xf>
    <xf numFmtId="0" fontId="36" fillId="0" borderId="0" xfId="8" applyFont="1" applyFill="1" applyBorder="1"/>
    <xf numFmtId="0" fontId="37" fillId="0" borderId="0" xfId="10" applyFont="1" applyFill="1" applyBorder="1" applyAlignment="1"/>
    <xf numFmtId="43" fontId="36" fillId="0" borderId="0" xfId="9" applyFont="1" applyFill="1" applyBorder="1"/>
    <xf numFmtId="0" fontId="36" fillId="0" borderId="0" xfId="10" applyFont="1" applyFill="1" applyBorder="1" applyAlignment="1"/>
    <xf numFmtId="0" fontId="36" fillId="0" borderId="0" xfId="10" applyFont="1" applyFill="1" applyBorder="1"/>
    <xf numFmtId="0" fontId="37" fillId="0" borderId="0" xfId="8" applyFont="1" applyFill="1" applyBorder="1" applyAlignment="1"/>
    <xf numFmtId="0" fontId="53" fillId="0" borderId="0" xfId="8" applyFont="1" applyFill="1" applyBorder="1"/>
    <xf numFmtId="0" fontId="36" fillId="0" borderId="0" xfId="8" applyFont="1" applyFill="1" applyBorder="1" applyAlignment="1"/>
    <xf numFmtId="49" fontId="36" fillId="0" borderId="0" xfId="8" applyNumberFormat="1" applyFont="1" applyBorder="1" applyAlignment="1">
      <alignment horizontal="right" vertical="top" wrapText="1"/>
    </xf>
    <xf numFmtId="0" fontId="13" fillId="0" borderId="0" xfId="8" applyFont="1" applyBorder="1" applyAlignment="1">
      <alignment wrapText="1"/>
    </xf>
    <xf numFmtId="0" fontId="13" fillId="0" borderId="0" xfId="8" applyFont="1" applyBorder="1" applyAlignment="1">
      <alignment vertical="top" wrapText="1"/>
    </xf>
    <xf numFmtId="0" fontId="9" fillId="3" borderId="3" xfId="8" applyFont="1" applyFill="1" applyBorder="1" applyAlignment="1">
      <alignment horizontal="center"/>
    </xf>
    <xf numFmtId="0" fontId="13" fillId="0" borderId="1" xfId="8" applyFont="1" applyBorder="1" applyAlignment="1">
      <alignment vertical="top"/>
    </xf>
    <xf numFmtId="0" fontId="13" fillId="0" borderId="3" xfId="8" applyFont="1" applyFill="1" applyBorder="1" applyAlignment="1">
      <alignment horizontal="left" vertical="center"/>
    </xf>
    <xf numFmtId="49" fontId="13" fillId="0" borderId="3" xfId="8" applyNumberFormat="1" applyFont="1" applyFill="1" applyBorder="1" applyAlignment="1">
      <alignment vertical="center" wrapText="1"/>
    </xf>
    <xf numFmtId="0" fontId="13" fillId="0" borderId="1" xfId="8" applyFont="1" applyFill="1" applyBorder="1" applyAlignment="1">
      <alignment horizontal="left" vertical="top" wrapText="1"/>
    </xf>
    <xf numFmtId="0" fontId="13" fillId="0" borderId="3" xfId="8" applyFont="1" applyFill="1" applyBorder="1" applyAlignment="1">
      <alignment horizontal="left" vertical="top" wrapText="1"/>
    </xf>
    <xf numFmtId="0" fontId="13" fillId="0" borderId="3" xfId="8" applyFont="1" applyBorder="1" applyAlignment="1">
      <alignment vertical="top"/>
    </xf>
    <xf numFmtId="49" fontId="13" fillId="0" borderId="1" xfId="8" applyNumberFormat="1" applyFont="1" applyFill="1" applyBorder="1" applyAlignment="1">
      <alignment vertical="top" wrapText="1"/>
    </xf>
    <xf numFmtId="0" fontId="13" fillId="3" borderId="3" xfId="8" applyFont="1" applyFill="1" applyBorder="1" applyAlignment="1">
      <alignment horizontal="center" vertical="top" wrapText="1"/>
    </xf>
    <xf numFmtId="0" fontId="13" fillId="3" borderId="3" xfId="8" applyFont="1" applyFill="1" applyBorder="1" applyAlignment="1">
      <alignment vertical="top" wrapText="1"/>
    </xf>
    <xf numFmtId="49" fontId="13" fillId="0" borderId="2" xfId="8" applyNumberFormat="1" applyFont="1" applyFill="1" applyBorder="1" applyAlignment="1">
      <alignment vertical="top" wrapText="1"/>
    </xf>
    <xf numFmtId="0" fontId="13" fillId="3" borderId="0" xfId="8" applyFont="1" applyFill="1"/>
    <xf numFmtId="0" fontId="13" fillId="3" borderId="0" xfId="8" applyFont="1" applyFill="1" applyBorder="1" applyAlignment="1">
      <alignment vertical="top" wrapText="1"/>
    </xf>
    <xf numFmtId="0" fontId="13" fillId="3" borderId="2" xfId="8" applyFont="1" applyFill="1" applyBorder="1" applyAlignment="1">
      <alignment vertical="top" wrapText="1"/>
    </xf>
    <xf numFmtId="0" fontId="13" fillId="3" borderId="6" xfId="8" applyFont="1" applyFill="1" applyBorder="1" applyAlignment="1">
      <alignment vertical="top" wrapText="1"/>
    </xf>
    <xf numFmtId="49" fontId="13" fillId="3" borderId="1" xfId="8" applyNumberFormat="1" applyFont="1" applyFill="1" applyBorder="1" applyAlignment="1">
      <alignment vertical="top" wrapText="1"/>
    </xf>
    <xf numFmtId="49" fontId="13" fillId="0" borderId="2" xfId="8" applyNumberFormat="1" applyFont="1" applyFill="1" applyBorder="1" applyAlignment="1">
      <alignment vertical="center" wrapText="1"/>
    </xf>
    <xf numFmtId="0" fontId="44" fillId="0" borderId="0" xfId="8" applyFont="1" applyAlignment="1">
      <alignment horizontal="center" vertical="distributed" textRotation="180"/>
    </xf>
    <xf numFmtId="0" fontId="13" fillId="0" borderId="2" xfId="8" applyFont="1" applyFill="1" applyBorder="1" applyAlignment="1">
      <alignment horizontal="left" vertical="center"/>
    </xf>
    <xf numFmtId="0" fontId="13" fillId="0" borderId="1" xfId="8" applyFont="1" applyFill="1" applyBorder="1" applyAlignment="1">
      <alignment vertical="top" wrapText="1"/>
    </xf>
    <xf numFmtId="0" fontId="13" fillId="0" borderId="3" xfId="8" applyFont="1" applyBorder="1" applyAlignment="1">
      <alignment horizontal="center" vertical="top"/>
    </xf>
    <xf numFmtId="0" fontId="13" fillId="0" borderId="3" xfId="8" applyFont="1" applyFill="1" applyBorder="1" applyAlignment="1">
      <alignment vertical="top" wrapText="1"/>
    </xf>
    <xf numFmtId="49" fontId="13" fillId="0" borderId="3" xfId="8" applyNumberFormat="1" applyFont="1" applyFill="1" applyBorder="1" applyAlignment="1">
      <alignment vertical="top" wrapText="1"/>
    </xf>
    <xf numFmtId="0" fontId="13" fillId="0" borderId="2" xfId="8" applyFont="1" applyBorder="1" applyAlignment="1">
      <alignment horizontal="center" vertical="top"/>
    </xf>
    <xf numFmtId="0" fontId="13" fillId="0" borderId="2" xfId="8" applyFont="1" applyFill="1" applyBorder="1" applyAlignment="1">
      <alignment vertical="top" wrapText="1"/>
    </xf>
    <xf numFmtId="49" fontId="13" fillId="0" borderId="1" xfId="8" applyNumberFormat="1" applyFont="1" applyFill="1" applyBorder="1" applyAlignment="1">
      <alignment horizontal="left" vertical="top" wrapText="1"/>
    </xf>
    <xf numFmtId="49" fontId="13" fillId="0" borderId="3" xfId="8" applyNumberFormat="1" applyFont="1" applyFill="1" applyBorder="1" applyAlignment="1">
      <alignment horizontal="left" vertical="top" wrapText="1"/>
    </xf>
    <xf numFmtId="0" fontId="13" fillId="0" borderId="19" xfId="8" applyFont="1" applyBorder="1" applyAlignment="1">
      <alignment horizontal="center"/>
    </xf>
    <xf numFmtId="0" fontId="13" fillId="0" borderId="15" xfId="8" applyFont="1" applyFill="1" applyBorder="1" applyAlignment="1">
      <alignment vertical="top" wrapText="1"/>
    </xf>
    <xf numFmtId="49" fontId="13" fillId="0" borderId="15" xfId="8" applyNumberFormat="1" applyFont="1" applyFill="1" applyBorder="1" applyAlignment="1">
      <alignment horizontal="left" vertical="top" wrapText="1"/>
    </xf>
    <xf numFmtId="49" fontId="13" fillId="0" borderId="15" xfId="8" applyNumberFormat="1" applyFont="1" applyFill="1" applyBorder="1" applyAlignment="1">
      <alignment vertical="top" wrapText="1"/>
    </xf>
    <xf numFmtId="49" fontId="13" fillId="0" borderId="25" xfId="8" applyNumberFormat="1" applyFont="1" applyFill="1" applyBorder="1" applyAlignment="1">
      <alignment vertical="top" wrapText="1"/>
    </xf>
    <xf numFmtId="43" fontId="9" fillId="0" borderId="55" xfId="9" applyFont="1" applyBorder="1" applyAlignment="1">
      <alignment vertical="center"/>
    </xf>
    <xf numFmtId="0" fontId="13" fillId="0" borderId="0" xfId="8" applyFont="1" applyFill="1" applyBorder="1" applyAlignment="1">
      <alignment horizontal="center"/>
    </xf>
    <xf numFmtId="0" fontId="3" fillId="0" borderId="0" xfId="8"/>
    <xf numFmtId="0" fontId="9" fillId="3" borderId="27" xfId="8" applyFont="1" applyFill="1" applyBorder="1" applyAlignment="1">
      <alignment horizontal="center"/>
    </xf>
    <xf numFmtId="0" fontId="9" fillId="3" borderId="9" xfId="8" applyFont="1" applyFill="1" applyBorder="1" applyAlignment="1">
      <alignment horizontal="center"/>
    </xf>
    <xf numFmtId="0" fontId="9" fillId="3" borderId="26" xfId="8" applyFont="1" applyFill="1" applyBorder="1" applyAlignment="1">
      <alignment horizontal="center"/>
    </xf>
    <xf numFmtId="0" fontId="13" fillId="0" borderId="7" xfId="8" applyFont="1" applyBorder="1" applyAlignment="1">
      <alignment horizontal="center"/>
    </xf>
    <xf numFmtId="0" fontId="9" fillId="0" borderId="0" xfId="8" applyFont="1" applyFill="1" applyBorder="1" applyAlignment="1">
      <alignment horizontal="center"/>
    </xf>
    <xf numFmtId="49" fontId="13" fillId="0" borderId="1" xfId="8" applyNumberFormat="1" applyFont="1" applyBorder="1" applyAlignment="1">
      <alignment horizontal="center"/>
    </xf>
    <xf numFmtId="49" fontId="13" fillId="0" borderId="3" xfId="8" applyNumberFormat="1" applyFont="1" applyBorder="1" applyAlignment="1">
      <alignment horizontal="center"/>
    </xf>
    <xf numFmtId="49" fontId="13" fillId="0" borderId="2" xfId="8" applyNumberFormat="1" applyFont="1" applyBorder="1" applyAlignment="1">
      <alignment horizontal="center"/>
    </xf>
    <xf numFmtId="49" fontId="13" fillId="0" borderId="5" xfId="8" applyNumberFormat="1" applyFont="1" applyBorder="1" applyAlignment="1">
      <alignment horizontal="center"/>
    </xf>
    <xf numFmtId="49" fontId="13" fillId="0" borderId="7" xfId="8" applyNumberFormat="1" applyFont="1" applyBorder="1" applyAlignment="1">
      <alignment horizontal="center"/>
    </xf>
    <xf numFmtId="0" fontId="37" fillId="0" borderId="0" xfId="8" applyFont="1"/>
    <xf numFmtId="0" fontId="36" fillId="0" borderId="0" xfId="8" applyFont="1"/>
    <xf numFmtId="0" fontId="36" fillId="0" borderId="0" xfId="8" applyFont="1" applyBorder="1" applyAlignment="1"/>
    <xf numFmtId="0" fontId="36" fillId="0" borderId="0" xfId="8" applyFont="1" applyBorder="1" applyAlignment="1">
      <alignment horizontal="left" wrapText="1"/>
    </xf>
    <xf numFmtId="49" fontId="36" fillId="0" borderId="19" xfId="8" applyNumberFormat="1" applyFont="1" applyBorder="1" applyAlignment="1">
      <alignment horizontal="center" vertical="top"/>
    </xf>
    <xf numFmtId="0" fontId="36" fillId="0" borderId="4" xfId="8" applyFont="1" applyFill="1" applyBorder="1" applyAlignment="1">
      <alignment horizontal="left" vertical="top" wrapText="1"/>
    </xf>
    <xf numFmtId="49" fontId="36" fillId="0" borderId="4" xfId="9" applyNumberFormat="1" applyFont="1" applyFill="1" applyBorder="1" applyAlignment="1">
      <alignment horizontal="left" vertical="top" wrapText="1"/>
    </xf>
    <xf numFmtId="0" fontId="36" fillId="0" borderId="4" xfId="8" applyFont="1" applyFill="1" applyBorder="1" applyAlignment="1">
      <alignment horizontal="center" vertical="center"/>
    </xf>
    <xf numFmtId="49" fontId="36" fillId="0" borderId="7" xfId="8" applyNumberFormat="1" applyFont="1" applyBorder="1" applyAlignment="1">
      <alignment horizontal="center" vertical="top"/>
    </xf>
    <xf numFmtId="49" fontId="36" fillId="0" borderId="4" xfId="8" applyNumberFormat="1" applyFont="1" applyBorder="1" applyAlignment="1">
      <alignment horizontal="center" vertical="top"/>
    </xf>
    <xf numFmtId="0" fontId="36" fillId="0" borderId="12" xfId="8" applyFont="1" applyFill="1" applyBorder="1" applyAlignment="1">
      <alignment horizontal="center" vertical="center"/>
    </xf>
    <xf numFmtId="49" fontId="36" fillId="0" borderId="0" xfId="8" applyNumberFormat="1" applyFont="1" applyBorder="1" applyAlignment="1">
      <alignment horizontal="center" vertical="top"/>
    </xf>
    <xf numFmtId="43" fontId="37" fillId="0" borderId="19" xfId="9" applyNumberFormat="1" applyFont="1" applyBorder="1" applyAlignment="1">
      <alignment horizontal="right" vertical="center"/>
    </xf>
    <xf numFmtId="43" fontId="37" fillId="0" borderId="15" xfId="9" applyNumberFormat="1" applyFont="1" applyBorder="1" applyAlignment="1">
      <alignment horizontal="right" vertical="center"/>
    </xf>
    <xf numFmtId="43" fontId="37" fillId="0" borderId="40" xfId="9" applyNumberFormat="1" applyFont="1" applyBorder="1" applyAlignment="1">
      <alignment horizontal="right" vertical="center"/>
    </xf>
    <xf numFmtId="0" fontId="36" fillId="0" borderId="0" xfId="8" applyFont="1" applyFill="1" applyBorder="1" applyAlignment="1">
      <alignment horizontal="left" vertical="top" wrapText="1"/>
    </xf>
    <xf numFmtId="49" fontId="36" fillId="0" borderId="0" xfId="9" applyNumberFormat="1" applyFont="1" applyFill="1" applyBorder="1" applyAlignment="1">
      <alignment horizontal="left" vertical="top" wrapText="1"/>
    </xf>
    <xf numFmtId="0" fontId="36" fillId="0" borderId="0" xfId="8" applyFont="1" applyFill="1" applyBorder="1" applyAlignment="1">
      <alignment horizontal="center" vertical="center"/>
    </xf>
    <xf numFmtId="43" fontId="37" fillId="0" borderId="0" xfId="9" applyNumberFormat="1" applyFont="1" applyBorder="1" applyAlignment="1">
      <alignment horizontal="right" vertical="center"/>
    </xf>
    <xf numFmtId="0" fontId="36" fillId="0" borderId="0" xfId="8" applyFont="1" applyBorder="1" applyAlignment="1">
      <alignment vertical="center"/>
    </xf>
    <xf numFmtId="49" fontId="37" fillId="0" borderId="0" xfId="8" applyNumberFormat="1" applyFont="1" applyFill="1" applyBorder="1" applyAlignment="1">
      <alignment horizontal="left" vertical="top" wrapText="1"/>
    </xf>
    <xf numFmtId="0" fontId="36" fillId="0" borderId="0" xfId="8" applyFont="1" applyBorder="1" applyAlignment="1">
      <alignment horizontal="center"/>
    </xf>
    <xf numFmtId="0" fontId="36" fillId="0" borderId="0" xfId="10" applyFont="1" applyFill="1" applyBorder="1" applyAlignment="1">
      <alignment horizontal="center"/>
    </xf>
    <xf numFmtId="43" fontId="53" fillId="0" borderId="0" xfId="9" applyFont="1" applyFill="1" applyBorder="1"/>
    <xf numFmtId="0" fontId="36" fillId="0" borderId="0" xfId="8" applyFont="1" applyAlignment="1">
      <alignment horizontal="left"/>
    </xf>
    <xf numFmtId="0" fontId="36" fillId="0" borderId="0" xfId="8" applyFont="1" applyAlignment="1"/>
    <xf numFmtId="49" fontId="36" fillId="0" borderId="0" xfId="8" applyNumberFormat="1" applyFont="1" applyBorder="1" applyAlignment="1">
      <alignment horizontal="center"/>
    </xf>
    <xf numFmtId="49" fontId="36" fillId="0" borderId="2" xfId="8" applyNumberFormat="1" applyFont="1" applyBorder="1" applyAlignment="1">
      <alignment horizontal="center"/>
    </xf>
    <xf numFmtId="0" fontId="36" fillId="0" borderId="2" xfId="8" applyFont="1" applyFill="1" applyBorder="1" applyAlignment="1">
      <alignment horizontal="left" wrapText="1"/>
    </xf>
    <xf numFmtId="0" fontId="3" fillId="0" borderId="0" xfId="8" applyFont="1" applyBorder="1" applyAlignment="1">
      <alignment horizontal="left" vertical="top"/>
    </xf>
    <xf numFmtId="0" fontId="36" fillId="0" borderId="2" xfId="8" applyFont="1" applyFill="1" applyBorder="1" applyAlignment="1">
      <alignment horizontal="left" vertical="top"/>
    </xf>
    <xf numFmtId="0" fontId="37" fillId="0" borderId="2" xfId="8" applyFont="1" applyFill="1" applyBorder="1" applyAlignment="1">
      <alignment horizontal="left" wrapText="1"/>
    </xf>
    <xf numFmtId="0" fontId="36" fillId="0" borderId="2" xfId="8" applyFont="1" applyFill="1" applyBorder="1" applyAlignment="1">
      <alignment vertical="top" wrapText="1"/>
    </xf>
    <xf numFmtId="49" fontId="36" fillId="0" borderId="3" xfId="8" applyNumberFormat="1" applyFont="1" applyBorder="1" applyAlignment="1">
      <alignment horizontal="center"/>
    </xf>
    <xf numFmtId="0" fontId="36" fillId="0" borderId="3" xfId="8" applyFont="1" applyFill="1" applyBorder="1" applyAlignment="1">
      <alignment horizontal="left" vertical="top"/>
    </xf>
    <xf numFmtId="0" fontId="37" fillId="0" borderId="2" xfId="8" applyFont="1" applyFill="1" applyBorder="1" applyAlignment="1">
      <alignment horizontal="left" vertical="top" wrapText="1"/>
    </xf>
    <xf numFmtId="49" fontId="36" fillId="0" borderId="4" xfId="8" applyNumberFormat="1" applyFont="1" applyBorder="1" applyAlignment="1">
      <alignment horizontal="center"/>
    </xf>
    <xf numFmtId="49" fontId="36" fillId="0" borderId="15" xfId="9" applyNumberFormat="1" applyFont="1" applyFill="1" applyBorder="1" applyAlignment="1">
      <alignment horizontal="left" vertical="top" wrapText="1"/>
    </xf>
    <xf numFmtId="49" fontId="36" fillId="0" borderId="4" xfId="8" applyNumberFormat="1" applyFont="1" applyFill="1" applyBorder="1" applyAlignment="1">
      <alignment horizontal="left" vertical="top" wrapText="1"/>
    </xf>
    <xf numFmtId="49" fontId="37" fillId="0" borderId="2" xfId="8" applyNumberFormat="1" applyFont="1" applyFill="1" applyBorder="1" applyAlignment="1">
      <alignment horizontal="left" vertical="top" wrapText="1"/>
    </xf>
    <xf numFmtId="49" fontId="36" fillId="0" borderId="2" xfId="8" applyNumberFormat="1" applyFont="1" applyBorder="1" applyAlignment="1">
      <alignment horizontal="center" vertical="top"/>
    </xf>
    <xf numFmtId="0" fontId="36" fillId="0" borderId="15" xfId="8" applyFont="1" applyBorder="1" applyAlignment="1">
      <alignment vertical="center"/>
    </xf>
    <xf numFmtId="49" fontId="36" fillId="0" borderId="15" xfId="8" applyNumberFormat="1" applyFont="1" applyFill="1" applyBorder="1" applyAlignment="1">
      <alignment horizontal="left" vertical="top" wrapText="1"/>
    </xf>
    <xf numFmtId="49" fontId="36" fillId="0" borderId="40" xfId="8" applyNumberFormat="1" applyFont="1" applyFill="1" applyBorder="1" applyAlignment="1">
      <alignment horizontal="left" vertical="top" wrapText="1"/>
    </xf>
    <xf numFmtId="43" fontId="37" fillId="0" borderId="10" xfId="8" applyNumberFormat="1" applyFont="1" applyFill="1" applyBorder="1" applyAlignment="1">
      <alignment horizontal="left" vertical="top" wrapText="1"/>
    </xf>
    <xf numFmtId="43" fontId="37" fillId="0" borderId="18" xfId="8" applyNumberFormat="1" applyFont="1" applyFill="1" applyBorder="1" applyAlignment="1">
      <alignment horizontal="left" vertical="top" wrapText="1"/>
    </xf>
    <xf numFmtId="43" fontId="37" fillId="0" borderId="39" xfId="8" applyNumberFormat="1" applyFont="1" applyFill="1" applyBorder="1" applyAlignment="1">
      <alignment horizontal="left" vertical="top" wrapText="1"/>
    </xf>
    <xf numFmtId="43" fontId="36" fillId="0" borderId="0" xfId="9" applyFont="1" applyBorder="1" applyAlignment="1">
      <alignment vertical="top"/>
    </xf>
    <xf numFmtId="0" fontId="9" fillId="3" borderId="6" xfId="8" applyFont="1" applyFill="1" applyBorder="1" applyAlignment="1">
      <alignment horizontal="center"/>
    </xf>
    <xf numFmtId="0" fontId="13" fillId="0" borderId="1" xfId="8" applyFont="1" applyBorder="1"/>
    <xf numFmtId="0" fontId="13" fillId="0" borderId="0" xfId="8" applyFont="1" applyBorder="1" applyAlignment="1">
      <alignment horizontal="left" vertical="top" wrapText="1"/>
    </xf>
    <xf numFmtId="0" fontId="13" fillId="0" borderId="4" xfId="8" applyFont="1" applyFill="1" applyBorder="1" applyAlignment="1">
      <alignment vertical="top" wrapText="1"/>
    </xf>
    <xf numFmtId="49" fontId="13" fillId="0" borderId="2" xfId="8" applyNumberFormat="1" applyFont="1" applyBorder="1" applyAlignment="1">
      <alignment horizontal="center" vertical="top"/>
    </xf>
    <xf numFmtId="49" fontId="13" fillId="0" borderId="1" xfId="8" applyNumberFormat="1" applyFont="1" applyBorder="1" applyAlignment="1">
      <alignment horizontal="center" vertical="top"/>
    </xf>
    <xf numFmtId="49" fontId="13" fillId="0" borderId="4" xfId="8" applyNumberFormat="1" applyFont="1" applyBorder="1" applyAlignment="1">
      <alignment horizontal="center" vertical="top"/>
    </xf>
    <xf numFmtId="0" fontId="13" fillId="0" borderId="15" xfId="8" applyFont="1" applyBorder="1" applyAlignment="1">
      <alignment horizontal="left" vertical="top" wrapText="1"/>
    </xf>
    <xf numFmtId="0" fontId="13" fillId="0" borderId="15" xfId="8" applyFont="1" applyFill="1" applyBorder="1" applyAlignment="1">
      <alignment horizontal="left" vertical="top" wrapText="1"/>
    </xf>
    <xf numFmtId="0" fontId="13" fillId="0" borderId="25" xfId="8" applyFont="1" applyBorder="1" applyAlignment="1">
      <alignment vertical="top" wrapText="1"/>
    </xf>
    <xf numFmtId="43" fontId="9" fillId="0" borderId="11" xfId="9" applyFont="1" applyBorder="1" applyAlignment="1">
      <alignment vertical="center"/>
    </xf>
    <xf numFmtId="0" fontId="13" fillId="0" borderId="2" xfId="8" applyFont="1" applyBorder="1" applyAlignment="1">
      <alignment horizontal="left" vertical="center" wrapText="1"/>
    </xf>
    <xf numFmtId="0" fontId="13" fillId="0" borderId="3" xfId="8" applyFont="1" applyBorder="1" applyAlignment="1">
      <alignment horizontal="left" vertical="center" wrapText="1"/>
    </xf>
    <xf numFmtId="0" fontId="13" fillId="0" borderId="15" xfId="8" applyFont="1" applyBorder="1" applyAlignment="1">
      <alignment horizontal="left" vertical="center" wrapText="1"/>
    </xf>
    <xf numFmtId="0" fontId="13" fillId="0" borderId="40" xfId="8" applyFont="1" applyBorder="1" applyAlignment="1">
      <alignment horizontal="left" vertical="top" wrapText="1"/>
    </xf>
    <xf numFmtId="43" fontId="9" fillId="0" borderId="18" xfId="9" applyFont="1" applyBorder="1" applyAlignment="1">
      <alignment vertical="center"/>
    </xf>
    <xf numFmtId="43" fontId="9" fillId="0" borderId="39" xfId="9" applyFont="1" applyBorder="1" applyAlignment="1">
      <alignment vertical="center"/>
    </xf>
    <xf numFmtId="0" fontId="13" fillId="0" borderId="1" xfId="8" applyFont="1" applyBorder="1" applyAlignment="1">
      <alignment horizontal="left" wrapText="1"/>
    </xf>
    <xf numFmtId="0" fontId="13" fillId="0" borderId="1" xfId="8" applyFont="1" applyBorder="1" applyAlignment="1">
      <alignment horizontal="left" vertical="top" wrapText="1"/>
    </xf>
    <xf numFmtId="0" fontId="13" fillId="0" borderId="2" xfId="8" applyFont="1" applyBorder="1" applyAlignment="1">
      <alignment vertical="center" wrapText="1"/>
    </xf>
    <xf numFmtId="0" fontId="13" fillId="0" borderId="2" xfId="8" applyFont="1" applyBorder="1" applyAlignment="1">
      <alignment horizontal="left" wrapText="1"/>
    </xf>
    <xf numFmtId="0" fontId="13" fillId="0" borderId="2" xfId="8" applyFont="1" applyBorder="1" applyAlignment="1">
      <alignment wrapText="1"/>
    </xf>
    <xf numFmtId="43" fontId="13" fillId="0" borderId="0" xfId="8" applyNumberFormat="1" applyFont="1"/>
    <xf numFmtId="0" fontId="13" fillId="0" borderId="15" xfId="8" applyFont="1" applyBorder="1" applyAlignment="1">
      <alignment vertical="center" wrapText="1"/>
    </xf>
    <xf numFmtId="0" fontId="20" fillId="0" borderId="0" xfId="8" applyFont="1"/>
    <xf numFmtId="4" fontId="11" fillId="0" borderId="0" xfId="0" applyNumberFormat="1" applyFont="1" applyBorder="1"/>
    <xf numFmtId="43" fontId="13" fillId="0" borderId="0" xfId="1" applyFont="1"/>
    <xf numFmtId="43" fontId="13" fillId="0" borderId="12" xfId="1" applyFont="1" applyBorder="1"/>
    <xf numFmtId="43" fontId="13" fillId="0" borderId="12" xfId="8" applyNumberFormat="1" applyFont="1" applyBorder="1"/>
    <xf numFmtId="43" fontId="9" fillId="0" borderId="18" xfId="8" applyNumberFormat="1" applyFont="1" applyBorder="1"/>
    <xf numFmtId="0" fontId="13" fillId="3" borderId="2" xfId="8" applyFont="1" applyFill="1" applyBorder="1" applyAlignment="1">
      <alignment horizontal="center" vertical="top" wrapText="1"/>
    </xf>
    <xf numFmtId="49" fontId="13" fillId="3" borderId="2" xfId="8" applyNumberFormat="1" applyFont="1" applyFill="1" applyBorder="1" applyAlignment="1">
      <alignment vertical="top" wrapText="1"/>
    </xf>
    <xf numFmtId="0" fontId="4" fillId="0" borderId="0" xfId="0" applyFont="1" applyBorder="1"/>
    <xf numFmtId="0" fontId="5" fillId="0" borderId="0" xfId="0" applyFont="1" applyBorder="1"/>
    <xf numFmtId="40" fontId="4" fillId="0" borderId="0" xfId="0" applyNumberFormat="1" applyFont="1" applyBorder="1"/>
    <xf numFmtId="0" fontId="7" fillId="0" borderId="0" xfId="0" applyFont="1" applyBorder="1" applyAlignment="1">
      <alignment horizontal="right"/>
    </xf>
    <xf numFmtId="40" fontId="7" fillId="0" borderId="0" xfId="0" applyNumberFormat="1" applyFont="1" applyAlignment="1">
      <alignment horizontal="center"/>
    </xf>
    <xf numFmtId="0" fontId="5" fillId="0" borderId="20" xfId="0" applyFont="1" applyBorder="1"/>
    <xf numFmtId="0" fontId="5" fillId="0" borderId="17" xfId="0" applyFont="1" applyBorder="1"/>
    <xf numFmtId="0" fontId="5" fillId="0" borderId="33" xfId="0" applyFont="1" applyBorder="1" applyAlignment="1">
      <alignment horizontal="center"/>
    </xf>
    <xf numFmtId="0" fontId="55" fillId="0" borderId="33" xfId="0" applyFont="1" applyBorder="1" applyAlignment="1">
      <alignment horizontal="center"/>
    </xf>
    <xf numFmtId="0" fontId="55" fillId="0" borderId="21" xfId="0" applyFont="1" applyBorder="1" applyAlignment="1"/>
    <xf numFmtId="0" fontId="55" fillId="0" borderId="2" xfId="0" applyFont="1" applyBorder="1" applyAlignment="1">
      <alignment horizontal="center"/>
    </xf>
    <xf numFmtId="0" fontId="6" fillId="0" borderId="2" xfId="0" applyFont="1" applyBorder="1" applyAlignment="1">
      <alignment horizontal="center"/>
    </xf>
    <xf numFmtId="0" fontId="55" fillId="0" borderId="35" xfId="0" applyFont="1" applyBorder="1" applyAlignment="1">
      <alignment horizontal="center"/>
    </xf>
    <xf numFmtId="0" fontId="5" fillId="0" borderId="22" xfId="0" applyFont="1" applyBorder="1"/>
    <xf numFmtId="0" fontId="5" fillId="0" borderId="2" xfId="0" applyFont="1" applyBorder="1" applyAlignment="1">
      <alignment horizontal="center"/>
    </xf>
    <xf numFmtId="0" fontId="55" fillId="0" borderId="2" xfId="0" quotePrefix="1" applyFont="1" applyBorder="1" applyAlignment="1">
      <alignment horizontal="center"/>
    </xf>
    <xf numFmtId="40" fontId="55" fillId="0" borderId="2" xfId="0" applyNumberFormat="1" applyFont="1" applyBorder="1" applyAlignment="1">
      <alignment horizontal="center"/>
    </xf>
    <xf numFmtId="0" fontId="55" fillId="0" borderId="35" xfId="0" quotePrefix="1" applyFont="1" applyBorder="1" applyAlignment="1">
      <alignment horizontal="center"/>
    </xf>
    <xf numFmtId="0" fontId="5" fillId="0" borderId="37" xfId="0" applyFont="1" applyBorder="1" applyAlignment="1">
      <alignment horizontal="center"/>
    </xf>
    <xf numFmtId="40" fontId="5" fillId="0" borderId="37" xfId="0" applyNumberFormat="1" applyFont="1" applyBorder="1" applyAlignment="1">
      <alignment horizontal="center"/>
    </xf>
    <xf numFmtId="0" fontId="5" fillId="0" borderId="38" xfId="0" applyFont="1" applyBorder="1" applyAlignment="1">
      <alignment horizontal="center"/>
    </xf>
    <xf numFmtId="0" fontId="55" fillId="0" borderId="46" xfId="0" applyFont="1" applyBorder="1"/>
    <xf numFmtId="0" fontId="55" fillId="0" borderId="47" xfId="0" applyFont="1" applyBorder="1"/>
    <xf numFmtId="0" fontId="55" fillId="0" borderId="53" xfId="0" applyFont="1" applyBorder="1" applyAlignment="1">
      <alignment horizontal="center"/>
    </xf>
    <xf numFmtId="0" fontId="15" fillId="0" borderId="53" xfId="0" applyFont="1" applyBorder="1" applyAlignment="1">
      <alignment horizontal="center"/>
    </xf>
    <xf numFmtId="43" fontId="15" fillId="0" borderId="53" xfId="0" applyNumberFormat="1" applyFont="1" applyBorder="1" applyAlignment="1">
      <alignment horizontal="center"/>
    </xf>
    <xf numFmtId="43" fontId="15" fillId="0" borderId="53" xfId="0" applyNumberFormat="1" applyFont="1" applyBorder="1" applyAlignment="1"/>
    <xf numFmtId="40" fontId="15" fillId="0" borderId="53" xfId="0" applyNumberFormat="1" applyFont="1" applyBorder="1" applyAlignment="1"/>
    <xf numFmtId="0" fontId="5" fillId="0" borderId="19" xfId="0" applyFont="1" applyBorder="1"/>
    <xf numFmtId="0" fontId="5" fillId="0" borderId="15" xfId="0" applyFont="1" applyBorder="1" applyAlignment="1">
      <alignment horizontal="left"/>
    </xf>
    <xf numFmtId="0" fontId="5" fillId="0" borderId="15" xfId="0" applyFont="1" applyBorder="1"/>
    <xf numFmtId="0" fontId="5" fillId="0" borderId="4" xfId="0" applyFont="1" applyBorder="1" applyAlignment="1">
      <alignment horizontal="center"/>
    </xf>
    <xf numFmtId="0" fontId="15" fillId="0" borderId="4" xfId="0" applyFont="1" applyBorder="1" applyAlignment="1">
      <alignment horizontal="center"/>
    </xf>
    <xf numFmtId="43" fontId="15" fillId="0" borderId="4" xfId="0" applyNumberFormat="1" applyFont="1" applyBorder="1" applyAlignment="1">
      <alignment horizontal="center"/>
    </xf>
    <xf numFmtId="43" fontId="15" fillId="0" borderId="4" xfId="0" applyNumberFormat="1" applyFont="1" applyBorder="1" applyAlignment="1"/>
    <xf numFmtId="43" fontId="15" fillId="0" borderId="4" xfId="1" quotePrefix="1" applyNumberFormat="1" applyFont="1" applyBorder="1" applyAlignment="1"/>
    <xf numFmtId="0" fontId="5" fillId="0" borderId="9" xfId="0" applyFont="1" applyBorder="1"/>
    <xf numFmtId="0" fontId="5" fillId="0" borderId="27" xfId="0" applyFont="1" applyBorder="1"/>
    <xf numFmtId="0" fontId="5" fillId="0" borderId="1" xfId="0" applyFont="1" applyBorder="1" applyAlignment="1">
      <alignment horizontal="center"/>
    </xf>
    <xf numFmtId="0" fontId="15" fillId="0" borderId="1" xfId="0" applyFont="1" applyBorder="1" applyAlignment="1">
      <alignment horizontal="center"/>
    </xf>
    <xf numFmtId="43" fontId="15" fillId="0" borderId="1" xfId="0" applyNumberFormat="1" applyFont="1" applyBorder="1" applyAlignment="1">
      <alignment horizontal="center"/>
    </xf>
    <xf numFmtId="43" fontId="15" fillId="0" borderId="2" xfId="0" applyNumberFormat="1" applyFont="1" applyBorder="1" applyAlignment="1"/>
    <xf numFmtId="43" fontId="15" fillId="0" borderId="2" xfId="1" applyNumberFormat="1" applyFont="1" applyBorder="1" applyAlignment="1"/>
    <xf numFmtId="40" fontId="15" fillId="0" borderId="2" xfId="1" quotePrefix="1" applyNumberFormat="1" applyFont="1" applyBorder="1" applyAlignment="1"/>
    <xf numFmtId="43" fontId="15" fillId="0" borderId="2" xfId="1" quotePrefix="1" applyNumberFormat="1" applyFont="1" applyBorder="1" applyAlignment="1"/>
    <xf numFmtId="0" fontId="55" fillId="0" borderId="51" xfId="0" applyFont="1" applyBorder="1"/>
    <xf numFmtId="0" fontId="55" fillId="0" borderId="54" xfId="0" applyFont="1" applyBorder="1"/>
    <xf numFmtId="0" fontId="55" fillId="0" borderId="49" xfId="0" applyFont="1" applyBorder="1" applyAlignment="1">
      <alignment horizontal="center"/>
    </xf>
    <xf numFmtId="0" fontId="16" fillId="0" borderId="49" xfId="0" applyFont="1" applyBorder="1" applyAlignment="1">
      <alignment horizontal="center"/>
    </xf>
    <xf numFmtId="43" fontId="16" fillId="0" borderId="49" xfId="0" applyNumberFormat="1" applyFont="1" applyBorder="1" applyAlignment="1">
      <alignment horizontal="center"/>
    </xf>
    <xf numFmtId="43" fontId="16" fillId="0" borderId="49" xfId="1" applyNumberFormat="1" applyFont="1" applyBorder="1" applyAlignment="1"/>
    <xf numFmtId="0" fontId="55" fillId="0" borderId="7" xfId="0" applyFont="1" applyBorder="1"/>
    <xf numFmtId="0" fontId="55" fillId="0" borderId="12" xfId="0" applyFont="1" applyBorder="1"/>
    <xf numFmtId="0" fontId="55" fillId="0" borderId="3" xfId="0" applyFont="1" applyBorder="1" applyAlignment="1">
      <alignment horizontal="center"/>
    </xf>
    <xf numFmtId="0" fontId="15" fillId="0" borderId="3" xfId="0" applyFont="1" applyBorder="1" applyAlignment="1">
      <alignment horizontal="center"/>
    </xf>
    <xf numFmtId="43" fontId="15" fillId="0" borderId="3" xfId="0" applyNumberFormat="1" applyFont="1" applyBorder="1" applyAlignment="1">
      <alignment horizontal="center"/>
    </xf>
    <xf numFmtId="43" fontId="15" fillId="0" borderId="3" xfId="0" applyNumberFormat="1" applyFont="1" applyBorder="1" applyAlignment="1"/>
    <xf numFmtId="43" fontId="15" fillId="0" borderId="3" xfId="1" applyNumberFormat="1" applyFont="1" applyBorder="1" applyAlignment="1"/>
    <xf numFmtId="40" fontId="15" fillId="0" borderId="3" xfId="1" applyNumberFormat="1" applyFont="1" applyBorder="1" applyAlignment="1"/>
    <xf numFmtId="0" fontId="55" fillId="0" borderId="19" xfId="0" applyFont="1" applyBorder="1"/>
    <xf numFmtId="0" fontId="55" fillId="0" borderId="15" xfId="0" applyFont="1" applyBorder="1"/>
    <xf numFmtId="0" fontId="55" fillId="0" borderId="4" xfId="0" applyFont="1" applyBorder="1" applyAlignment="1">
      <alignment horizontal="center"/>
    </xf>
    <xf numFmtId="43" fontId="15" fillId="0" borderId="4" xfId="1" applyNumberFormat="1" applyFont="1" applyBorder="1" applyAlignment="1"/>
    <xf numFmtId="40" fontId="15" fillId="0" borderId="4" xfId="1" applyNumberFormat="1" applyFont="1" applyBorder="1" applyAlignment="1"/>
    <xf numFmtId="0" fontId="5" fillId="0" borderId="4" xfId="0" quotePrefix="1" applyFont="1" applyBorder="1" applyAlignment="1">
      <alignment horizontal="center"/>
    </xf>
    <xf numFmtId="0" fontId="5" fillId="0" borderId="1" xfId="0" quotePrefix="1" applyFont="1" applyBorder="1" applyAlignment="1">
      <alignment horizontal="center"/>
    </xf>
    <xf numFmtId="43" fontId="15" fillId="0" borderId="1" xfId="0" applyNumberFormat="1" applyFont="1" applyBorder="1" applyAlignment="1"/>
    <xf numFmtId="43" fontId="15" fillId="0" borderId="1" xfId="1" applyNumberFormat="1" applyFont="1" applyBorder="1" applyAlignment="1"/>
    <xf numFmtId="40" fontId="15" fillId="0" borderId="1" xfId="1" applyNumberFormat="1" applyFont="1" applyBorder="1" applyAlignment="1"/>
    <xf numFmtId="43" fontId="16" fillId="0" borderId="49" xfId="0" applyNumberFormat="1" applyFont="1" applyBorder="1" applyAlignment="1"/>
    <xf numFmtId="40" fontId="16" fillId="0" borderId="49" xfId="0" applyNumberFormat="1" applyFont="1" applyBorder="1" applyAlignment="1"/>
    <xf numFmtId="0" fontId="5" fillId="0" borderId="7" xfId="0" applyFont="1" applyBorder="1"/>
    <xf numFmtId="0" fontId="5" fillId="0" borderId="12" xfId="0" applyFont="1" applyBorder="1"/>
    <xf numFmtId="0" fontId="5" fillId="0" borderId="3" xfId="0" applyFont="1" applyBorder="1" applyAlignment="1">
      <alignment horizontal="center"/>
    </xf>
    <xf numFmtId="4" fontId="4" fillId="0" borderId="0" xfId="0" quotePrefix="1" applyNumberFormat="1" applyFont="1"/>
    <xf numFmtId="4" fontId="4" fillId="0" borderId="0" xfId="0" applyNumberFormat="1" applyFont="1"/>
    <xf numFmtId="0" fontId="5" fillId="3" borderId="4" xfId="0" quotePrefix="1" applyFont="1" applyFill="1" applyBorder="1" applyAlignment="1">
      <alignment horizontal="center"/>
    </xf>
    <xf numFmtId="0" fontId="5" fillId="0" borderId="51" xfId="0" applyFont="1" applyBorder="1"/>
    <xf numFmtId="40" fontId="15" fillId="0" borderId="3" xfId="0" applyNumberFormat="1" applyFont="1" applyBorder="1" applyAlignment="1"/>
    <xf numFmtId="0" fontId="55" fillId="0" borderId="45" xfId="0" applyFont="1" applyBorder="1"/>
    <xf numFmtId="43" fontId="16" fillId="0" borderId="50" xfId="0" applyNumberFormat="1" applyFont="1" applyBorder="1" applyAlignment="1"/>
    <xf numFmtId="0" fontId="55" fillId="0" borderId="0" xfId="0" applyFont="1" applyBorder="1"/>
    <xf numFmtId="4" fontId="16" fillId="0" borderId="0" xfId="0" applyNumberFormat="1" applyFont="1" applyBorder="1" applyAlignment="1">
      <alignment horizontal="center"/>
    </xf>
    <xf numFmtId="43" fontId="16" fillId="0" borderId="0" xfId="0" applyNumberFormat="1" applyFont="1" applyBorder="1" applyAlignment="1"/>
    <xf numFmtId="40" fontId="16" fillId="0" borderId="0" xfId="0" applyNumberFormat="1" applyFont="1" applyBorder="1" applyAlignment="1"/>
    <xf numFmtId="0" fontId="56" fillId="0" borderId="0" xfId="0" applyFont="1"/>
    <xf numFmtId="40" fontId="55" fillId="0" borderId="2" xfId="0" quotePrefix="1" applyNumberFormat="1" applyFont="1" applyBorder="1" applyAlignment="1">
      <alignment horizontal="center"/>
    </xf>
    <xf numFmtId="4" fontId="15" fillId="0" borderId="4" xfId="0" applyNumberFormat="1" applyFont="1" applyBorder="1" applyAlignment="1">
      <alignment horizontal="center"/>
    </xf>
    <xf numFmtId="0" fontId="5" fillId="0" borderId="40" xfId="0" applyFont="1" applyBorder="1"/>
    <xf numFmtId="0" fontId="5" fillId="3" borderId="15" xfId="0" applyFont="1" applyFill="1" applyBorder="1"/>
    <xf numFmtId="0" fontId="15" fillId="3" borderId="4" xfId="0" applyFont="1" applyFill="1" applyBorder="1" applyAlignment="1">
      <alignment horizontal="center"/>
    </xf>
    <xf numFmtId="4" fontId="15" fillId="0" borderId="1" xfId="0" applyNumberFormat="1" applyFont="1" applyBorder="1" applyAlignment="1">
      <alignment horizontal="center"/>
    </xf>
    <xf numFmtId="0" fontId="55" fillId="0" borderId="49" xfId="0" quotePrefix="1" applyFont="1" applyBorder="1" applyAlignment="1">
      <alignment horizontal="center"/>
    </xf>
    <xf numFmtId="4" fontId="16" fillId="0" borderId="49" xfId="0" applyNumberFormat="1" applyFont="1" applyBorder="1" applyAlignment="1">
      <alignment horizontal="center"/>
    </xf>
    <xf numFmtId="0" fontId="55" fillId="0" borderId="3" xfId="0" quotePrefix="1" applyFont="1" applyBorder="1" applyAlignment="1">
      <alignment horizontal="center"/>
    </xf>
    <xf numFmtId="0" fontId="16" fillId="0" borderId="3" xfId="0" applyFont="1" applyBorder="1" applyAlignment="1">
      <alignment horizontal="center"/>
    </xf>
    <xf numFmtId="4" fontId="16" fillId="0" borderId="3" xfId="0" applyNumberFormat="1" applyFont="1" applyBorder="1" applyAlignment="1">
      <alignment horizontal="center"/>
    </xf>
    <xf numFmtId="43" fontId="16" fillId="0" borderId="3" xfId="0" applyNumberFormat="1" applyFont="1" applyBorder="1" applyAlignment="1"/>
    <xf numFmtId="0" fontId="5" fillId="0" borderId="3" xfId="0" quotePrefix="1" applyFont="1" applyBorder="1" applyAlignment="1">
      <alignment horizontal="center"/>
    </xf>
    <xf numFmtId="4" fontId="15" fillId="0" borderId="3" xfId="0" applyNumberFormat="1" applyFont="1" applyBorder="1" applyAlignment="1">
      <alignment horizontal="center"/>
    </xf>
    <xf numFmtId="0" fontId="55" fillId="0" borderId="27" xfId="0" applyFont="1" applyBorder="1"/>
    <xf numFmtId="40" fontId="15" fillId="0" borderId="2" xfId="1" applyNumberFormat="1" applyFont="1" applyBorder="1" applyAlignment="1"/>
    <xf numFmtId="0" fontId="5" fillId="0" borderId="54" xfId="0" applyFont="1" applyBorder="1"/>
    <xf numFmtId="0" fontId="5" fillId="0" borderId="49" xfId="0" quotePrefix="1" applyFont="1" applyBorder="1" applyAlignment="1">
      <alignment horizontal="center"/>
    </xf>
    <xf numFmtId="0" fontId="15" fillId="0" borderId="49" xfId="0" applyFont="1" applyBorder="1" applyAlignment="1">
      <alignment horizontal="center"/>
    </xf>
    <xf numFmtId="4" fontId="15" fillId="0" borderId="49" xfId="0" applyNumberFormat="1" applyFont="1" applyBorder="1" applyAlignment="1">
      <alignment horizontal="center"/>
    </xf>
    <xf numFmtId="43" fontId="16" fillId="0" borderId="3" xfId="1" applyNumberFormat="1" applyFont="1" applyBorder="1" applyAlignment="1"/>
    <xf numFmtId="40" fontId="16" fillId="0" borderId="3" xfId="1" applyNumberFormat="1" applyFont="1" applyBorder="1" applyAlignment="1"/>
    <xf numFmtId="43" fontId="15" fillId="0" borderId="4" xfId="1" applyNumberFormat="1" applyFont="1" applyBorder="1"/>
    <xf numFmtId="43" fontId="16" fillId="0" borderId="52" xfId="0" applyNumberFormat="1" applyFont="1" applyBorder="1" applyAlignment="1"/>
    <xf numFmtId="0" fontId="5" fillId="0" borderId="0" xfId="0" applyFont="1" applyBorder="1" applyAlignment="1">
      <alignment horizontal="center"/>
    </xf>
    <xf numFmtId="43" fontId="4" fillId="0" borderId="0" xfId="1" applyFont="1" applyBorder="1"/>
    <xf numFmtId="40" fontId="4" fillId="0" borderId="0" xfId="1" applyNumberFormat="1" applyFont="1" applyBorder="1"/>
    <xf numFmtId="0" fontId="58" fillId="0" borderId="0" xfId="0" applyFont="1" applyBorder="1" applyAlignment="1">
      <alignment horizontal="center"/>
    </xf>
    <xf numFmtId="40" fontId="58" fillId="0" borderId="0" xfId="0" applyNumberFormat="1" applyFont="1" applyBorder="1" applyAlignment="1">
      <alignment horizontal="center"/>
    </xf>
    <xf numFmtId="0" fontId="7" fillId="0" borderId="0" xfId="0" applyFont="1" applyBorder="1" applyAlignment="1">
      <alignment horizontal="left"/>
    </xf>
    <xf numFmtId="43" fontId="7" fillId="0" borderId="0" xfId="1" applyFont="1" applyBorder="1" applyAlignment="1"/>
    <xf numFmtId="43" fontId="4" fillId="0" borderId="0" xfId="1" applyFont="1" applyBorder="1" applyAlignment="1"/>
    <xf numFmtId="40" fontId="4" fillId="0" borderId="0" xfId="0" applyNumberFormat="1" applyFont="1"/>
    <xf numFmtId="0" fontId="5" fillId="0" borderId="53" xfId="0" applyFont="1" applyBorder="1" applyAlignment="1">
      <alignment horizontal="center"/>
    </xf>
    <xf numFmtId="4" fontId="15" fillId="0" borderId="53" xfId="0" applyNumberFormat="1" applyFont="1" applyBorder="1" applyAlignment="1">
      <alignment horizontal="center"/>
    </xf>
    <xf numFmtId="43" fontId="59" fillId="0" borderId="4" xfId="0" applyNumberFormat="1" applyFont="1" applyBorder="1" applyAlignment="1">
      <alignment horizontal="right"/>
    </xf>
    <xf numFmtId="43" fontId="59" fillId="0" borderId="4" xfId="1" applyNumberFormat="1" applyFont="1" applyBorder="1" applyAlignment="1">
      <alignment horizontal="right"/>
    </xf>
    <xf numFmtId="40" fontId="59" fillId="0" borderId="4" xfId="1" applyNumberFormat="1" applyFont="1" applyBorder="1" applyAlignment="1">
      <alignment horizontal="right"/>
    </xf>
    <xf numFmtId="43" fontId="15" fillId="0" borderId="4" xfId="0" applyNumberFormat="1" applyFont="1" applyBorder="1" applyAlignment="1">
      <alignment horizontal="right"/>
    </xf>
    <xf numFmtId="43" fontId="15" fillId="0" borderId="4" xfId="1" applyNumberFormat="1" applyFont="1" applyBorder="1" applyAlignment="1">
      <alignment horizontal="right"/>
    </xf>
    <xf numFmtId="40" fontId="15" fillId="0" borderId="4" xfId="1" applyNumberFormat="1" applyFont="1" applyBorder="1" applyAlignment="1">
      <alignment horizontal="right"/>
    </xf>
    <xf numFmtId="43" fontId="15" fillId="0" borderId="2" xfId="0" applyNumberFormat="1" applyFont="1" applyBorder="1" applyAlignment="1">
      <alignment horizontal="right"/>
    </xf>
    <xf numFmtId="43" fontId="15" fillId="0" borderId="2" xfId="1" applyNumberFormat="1" applyFont="1" applyBorder="1" applyAlignment="1">
      <alignment horizontal="right"/>
    </xf>
    <xf numFmtId="43" fontId="16" fillId="0" borderId="49" xfId="0" applyNumberFormat="1" applyFont="1" applyBorder="1" applyAlignment="1">
      <alignment horizontal="right"/>
    </xf>
    <xf numFmtId="40" fontId="16" fillId="0" borderId="49" xfId="0" applyNumberFormat="1" applyFont="1" applyBorder="1" applyAlignment="1">
      <alignment horizontal="right"/>
    </xf>
    <xf numFmtId="43" fontId="15" fillId="0" borderId="3" xfId="0" applyNumberFormat="1" applyFont="1" applyBorder="1" applyAlignment="1">
      <alignment horizontal="right"/>
    </xf>
    <xf numFmtId="43" fontId="15" fillId="0" borderId="3" xfId="1" applyNumberFormat="1" applyFont="1" applyBorder="1" applyAlignment="1">
      <alignment horizontal="right"/>
    </xf>
    <xf numFmtId="40" fontId="15" fillId="0" borderId="3" xfId="1" applyNumberFormat="1" applyFont="1" applyBorder="1" applyAlignment="1">
      <alignment horizontal="right"/>
    </xf>
    <xf numFmtId="43" fontId="15" fillId="0" borderId="1" xfId="0" applyNumberFormat="1" applyFont="1" applyBorder="1" applyAlignment="1">
      <alignment horizontal="right"/>
    </xf>
    <xf numFmtId="43" fontId="15" fillId="0" borderId="1" xfId="1" applyNumberFormat="1" applyFont="1" applyBorder="1" applyAlignment="1">
      <alignment horizontal="right"/>
    </xf>
    <xf numFmtId="43" fontId="16" fillId="0" borderId="50" xfId="0" applyNumberFormat="1" applyFont="1" applyBorder="1" applyAlignment="1">
      <alignment horizontal="right"/>
    </xf>
    <xf numFmtId="43" fontId="16" fillId="0" borderId="0" xfId="0" applyNumberFormat="1" applyFont="1" applyBorder="1" applyAlignment="1">
      <alignment horizontal="right"/>
    </xf>
    <xf numFmtId="40" fontId="16" fillId="0" borderId="0" xfId="0" applyNumberFormat="1" applyFont="1" applyBorder="1" applyAlignment="1">
      <alignment horizontal="right"/>
    </xf>
    <xf numFmtId="0" fontId="5" fillId="0" borderId="23" xfId="0" applyFont="1" applyBorder="1"/>
    <xf numFmtId="0" fontId="5" fillId="0" borderId="14" xfId="0" applyFont="1" applyBorder="1"/>
    <xf numFmtId="4" fontId="15" fillId="0" borderId="2" xfId="0" applyNumberFormat="1" applyFont="1" applyBorder="1" applyAlignment="1">
      <alignment horizontal="center"/>
    </xf>
    <xf numFmtId="0" fontId="55" fillId="0" borderId="25" xfId="0" applyFont="1" applyBorder="1"/>
    <xf numFmtId="0" fontId="55" fillId="0" borderId="3" xfId="0" applyFont="1" applyBorder="1"/>
    <xf numFmtId="43" fontId="16" fillId="0" borderId="3" xfId="0" applyNumberFormat="1" applyFont="1" applyBorder="1" applyAlignment="1">
      <alignment horizontal="right"/>
    </xf>
    <xf numFmtId="40" fontId="16" fillId="0" borderId="3" xfId="0" applyNumberFormat="1" applyFont="1" applyBorder="1" applyAlignment="1">
      <alignment horizontal="right"/>
    </xf>
    <xf numFmtId="0" fontId="60" fillId="0" borderId="0" xfId="0" applyFont="1" applyBorder="1"/>
    <xf numFmtId="0" fontId="60" fillId="0" borderId="0" xfId="0" applyFont="1" applyBorder="1" applyAlignment="1">
      <alignment horizontal="center"/>
    </xf>
    <xf numFmtId="0" fontId="8" fillId="0" borderId="0" xfId="0" applyFont="1" applyBorder="1" applyAlignment="1">
      <alignment horizontal="center"/>
    </xf>
    <xf numFmtId="43" fontId="8" fillId="0" borderId="0" xfId="1" applyFont="1" applyBorder="1"/>
    <xf numFmtId="40" fontId="8" fillId="0" borderId="0" xfId="1" applyNumberFormat="1" applyFont="1" applyBorder="1"/>
    <xf numFmtId="0" fontId="8" fillId="0" borderId="0" xfId="0" applyFont="1"/>
    <xf numFmtId="0" fontId="62" fillId="0" borderId="0" xfId="0" applyFont="1" applyBorder="1" applyAlignment="1">
      <alignment horizontal="center"/>
    </xf>
    <xf numFmtId="0" fontId="17" fillId="0" borderId="0" xfId="0" applyFont="1" applyBorder="1" applyAlignment="1">
      <alignment horizontal="left"/>
    </xf>
    <xf numFmtId="0" fontId="63" fillId="0" borderId="0" xfId="0" applyFont="1" applyBorder="1" applyAlignment="1">
      <alignment horizontal="center"/>
    </xf>
    <xf numFmtId="40" fontId="62" fillId="0" borderId="0" xfId="0" applyNumberFormat="1" applyFont="1" applyBorder="1" applyAlignment="1">
      <alignment horizontal="center"/>
    </xf>
    <xf numFmtId="0" fontId="59" fillId="0" borderId="0" xfId="0" applyFont="1" applyBorder="1"/>
    <xf numFmtId="0" fontId="17" fillId="0" borderId="0" xfId="0" applyFont="1" applyBorder="1"/>
    <xf numFmtId="43" fontId="59" fillId="0" borderId="0" xfId="1" applyFont="1" applyBorder="1"/>
    <xf numFmtId="40" fontId="59" fillId="0" borderId="0" xfId="1" applyNumberFormat="1" applyFont="1" applyBorder="1"/>
    <xf numFmtId="0" fontId="59" fillId="0" borderId="0" xfId="0" applyFont="1"/>
    <xf numFmtId="43" fontId="17" fillId="0" borderId="0" xfId="1" applyFont="1" applyBorder="1" applyAlignment="1"/>
    <xf numFmtId="43" fontId="59" fillId="0" borderId="0" xfId="1" applyFont="1" applyBorder="1" applyAlignment="1"/>
    <xf numFmtId="0" fontId="8" fillId="0" borderId="0" xfId="0" applyFont="1" applyBorder="1"/>
    <xf numFmtId="43" fontId="8" fillId="0" borderId="0" xfId="0" applyNumberFormat="1" applyFont="1" applyBorder="1" applyAlignment="1">
      <alignment horizontal="center"/>
    </xf>
    <xf numFmtId="43" fontId="8" fillId="0" borderId="0" xfId="1" applyFont="1" applyAlignment="1">
      <alignment horizontal="center"/>
    </xf>
    <xf numFmtId="43" fontId="8" fillId="0" borderId="0" xfId="1" applyFont="1"/>
    <xf numFmtId="43" fontId="10" fillId="0" borderId="0" xfId="1" applyFont="1"/>
    <xf numFmtId="0" fontId="16" fillId="0" borderId="0" xfId="0" applyFont="1" applyBorder="1"/>
    <xf numFmtId="0" fontId="15" fillId="0" borderId="0" xfId="0" applyFont="1" applyBorder="1"/>
    <xf numFmtId="0" fontId="16" fillId="0" borderId="0" xfId="0" applyFont="1" applyBorder="1" applyAlignment="1">
      <alignment horizontal="right"/>
    </xf>
    <xf numFmtId="0" fontId="55" fillId="0" borderId="34" xfId="0" applyFont="1" applyBorder="1" applyAlignment="1">
      <alignment horizontal="center"/>
    </xf>
    <xf numFmtId="0" fontId="5" fillId="0" borderId="40" xfId="0" quotePrefix="1" applyFont="1" applyBorder="1" applyAlignment="1">
      <alignment horizontal="center"/>
    </xf>
    <xf numFmtId="43" fontId="15" fillId="0" borderId="0" xfId="0" applyNumberFormat="1" applyFont="1" applyBorder="1" applyAlignment="1">
      <alignment horizontal="center"/>
    </xf>
    <xf numFmtId="0" fontId="15" fillId="0" borderId="0" xfId="0" applyFont="1" applyBorder="1" applyAlignment="1">
      <alignment horizontal="left"/>
    </xf>
    <xf numFmtId="0" fontId="15" fillId="0" borderId="0" xfId="0" applyFont="1"/>
    <xf numFmtId="0" fontId="5" fillId="0" borderId="41" xfId="0" applyFont="1" applyBorder="1"/>
    <xf numFmtId="0" fontId="55" fillId="0" borderId="42" xfId="0" applyFont="1" applyBorder="1" applyAlignment="1">
      <alignment horizontal="center"/>
    </xf>
    <xf numFmtId="0" fontId="5" fillId="0" borderId="43" xfId="0" applyFont="1" applyBorder="1" applyAlignment="1">
      <alignment horizontal="center"/>
    </xf>
    <xf numFmtId="0" fontId="5" fillId="0" borderId="46" xfId="0" applyFont="1" applyBorder="1" applyAlignment="1">
      <alignment horizontal="left"/>
    </xf>
    <xf numFmtId="0" fontId="5" fillId="0" borderId="47" xfId="0" applyFont="1" applyBorder="1" applyAlignment="1">
      <alignment horizontal="left"/>
    </xf>
    <xf numFmtId="0" fontId="5" fillId="0" borderId="48" xfId="0" applyFont="1" applyBorder="1" applyAlignment="1">
      <alignment horizontal="left"/>
    </xf>
    <xf numFmtId="0" fontId="5" fillId="0" borderId="53" xfId="0" applyFont="1" applyBorder="1" applyAlignment="1">
      <alignment horizontal="left"/>
    </xf>
    <xf numFmtId="43" fontId="5" fillId="0" borderId="48" xfId="0" applyNumberFormat="1" applyFont="1" applyBorder="1" applyAlignment="1">
      <alignment horizontal="center"/>
    </xf>
    <xf numFmtId="43" fontId="5" fillId="0" borderId="53" xfId="1" applyNumberFormat="1" applyFont="1" applyBorder="1"/>
    <xf numFmtId="0" fontId="15" fillId="0" borderId="19" xfId="0" applyFont="1" applyBorder="1" applyAlignment="1">
      <alignment horizontal="center"/>
    </xf>
    <xf numFmtId="0" fontId="13" fillId="0" borderId="19" xfId="0" applyFont="1" applyBorder="1" applyAlignment="1">
      <alignment horizontal="left"/>
    </xf>
    <xf numFmtId="0" fontId="13" fillId="0" borderId="15" xfId="0" applyFont="1" applyBorder="1" applyAlignment="1">
      <alignment horizontal="left"/>
    </xf>
    <xf numFmtId="0" fontId="13" fillId="0" borderId="40" xfId="0" applyFont="1" applyBorder="1" applyAlignment="1">
      <alignment horizontal="left"/>
    </xf>
    <xf numFmtId="43" fontId="15" fillId="0" borderId="15" xfId="0" applyNumberFormat="1" applyFont="1" applyBorder="1"/>
    <xf numFmtId="0" fontId="15" fillId="0" borderId="9" xfId="0" applyFont="1" applyBorder="1" applyAlignment="1">
      <alignment horizontal="center"/>
    </xf>
    <xf numFmtId="0" fontId="13" fillId="0" borderId="9" xfId="0" applyFont="1" applyBorder="1" applyAlignment="1">
      <alignment horizontal="left"/>
    </xf>
    <xf numFmtId="0" fontId="13" fillId="0" borderId="27" xfId="0" applyFont="1" applyBorder="1" applyAlignment="1">
      <alignment horizontal="left"/>
    </xf>
    <xf numFmtId="0" fontId="13" fillId="0" borderId="26" xfId="0" applyFont="1" applyBorder="1" applyAlignment="1">
      <alignment horizontal="left"/>
    </xf>
    <xf numFmtId="43" fontId="15" fillId="0" borderId="27" xfId="0" applyNumberFormat="1" applyFont="1" applyBorder="1"/>
    <xf numFmtId="43" fontId="15" fillId="0" borderId="1" xfId="1" applyNumberFormat="1" applyFont="1" applyBorder="1"/>
    <xf numFmtId="0" fontId="5" fillId="3" borderId="0" xfId="0" applyFont="1" applyFill="1"/>
    <xf numFmtId="0" fontId="16" fillId="0" borderId="0" xfId="0" applyFont="1"/>
    <xf numFmtId="43" fontId="5" fillId="0" borderId="0" xfId="1" applyFont="1" applyBorder="1"/>
    <xf numFmtId="43" fontId="19" fillId="0" borderId="0" xfId="0" quotePrefix="1" applyNumberFormat="1" applyFont="1" applyBorder="1" applyAlignment="1"/>
    <xf numFmtId="43" fontId="5" fillId="0" borderId="0" xfId="0" applyNumberFormat="1" applyFont="1"/>
    <xf numFmtId="0" fontId="16" fillId="0" borderId="45" xfId="0" applyFont="1" applyBorder="1" applyAlignment="1">
      <alignment horizontal="left"/>
    </xf>
    <xf numFmtId="0" fontId="13" fillId="0" borderId="51" xfId="0" applyFont="1" applyBorder="1" applyAlignment="1">
      <alignment horizontal="left"/>
    </xf>
    <xf numFmtId="0" fontId="13" fillId="0" borderId="54" xfId="0" applyFont="1" applyBorder="1" applyAlignment="1">
      <alignment horizontal="left"/>
    </xf>
    <xf numFmtId="0" fontId="13" fillId="0" borderId="56" xfId="0" applyFont="1" applyBorder="1" applyAlignment="1">
      <alignment horizontal="left"/>
    </xf>
    <xf numFmtId="43" fontId="16" fillId="0" borderId="49" xfId="0" applyNumberFormat="1" applyFont="1" applyBorder="1"/>
    <xf numFmtId="0" fontId="55" fillId="0" borderId="0" xfId="0" applyFont="1"/>
    <xf numFmtId="0" fontId="15" fillId="0" borderId="22" xfId="0" applyFont="1" applyBorder="1" applyAlignment="1">
      <alignment horizontal="center"/>
    </xf>
    <xf numFmtId="0" fontId="15" fillId="0" borderId="2" xfId="0" applyFont="1" applyBorder="1" applyAlignment="1">
      <alignment horizontal="center"/>
    </xf>
    <xf numFmtId="0" fontId="13" fillId="0" borderId="5" xfId="0" applyFont="1" applyBorder="1" applyAlignment="1">
      <alignment horizontal="left"/>
    </xf>
    <xf numFmtId="0" fontId="13" fillId="0" borderId="0" xfId="0" applyFont="1" applyBorder="1" applyAlignment="1">
      <alignment horizontal="left"/>
    </xf>
    <xf numFmtId="0" fontId="13" fillId="0" borderId="6" xfId="0" applyFont="1" applyBorder="1" applyAlignment="1">
      <alignment horizontal="left"/>
    </xf>
    <xf numFmtId="0" fontId="15" fillId="0" borderId="45" xfId="0" applyFont="1" applyBorder="1" applyAlignment="1">
      <alignment horizontal="center"/>
    </xf>
    <xf numFmtId="0" fontId="9" fillId="0" borderId="51" xfId="0" applyFont="1" applyBorder="1" applyAlignment="1">
      <alignment horizontal="left"/>
    </xf>
    <xf numFmtId="0" fontId="9" fillId="0" borderId="54" xfId="0" applyFont="1" applyBorder="1" applyAlignment="1">
      <alignment horizontal="left"/>
    </xf>
    <xf numFmtId="0" fontId="9" fillId="0" borderId="56" xfId="0" applyFont="1" applyBorder="1" applyAlignment="1">
      <alignment horizontal="left"/>
    </xf>
    <xf numFmtId="43" fontId="16" fillId="0" borderId="50" xfId="0" applyNumberFormat="1" applyFont="1" applyBorder="1"/>
    <xf numFmtId="43" fontId="15" fillId="0" borderId="0" xfId="1" applyFont="1" applyBorder="1" applyAlignment="1">
      <alignment horizontal="left"/>
    </xf>
    <xf numFmtId="4" fontId="5" fillId="0" borderId="0" xfId="0" applyNumberFormat="1" applyFont="1"/>
    <xf numFmtId="0" fontId="5" fillId="4" borderId="0" xfId="0" applyFont="1" applyFill="1"/>
    <xf numFmtId="43" fontId="5" fillId="4" borderId="0" xfId="0" applyNumberFormat="1" applyFont="1" applyFill="1"/>
    <xf numFmtId="43" fontId="5" fillId="2" borderId="0" xfId="0" applyNumberFormat="1" applyFont="1" applyFill="1"/>
    <xf numFmtId="43" fontId="5" fillId="0" borderId="0" xfId="1" applyFont="1"/>
    <xf numFmtId="0" fontId="55" fillId="0" borderId="0" xfId="0" applyFont="1" applyAlignment="1">
      <alignment horizontal="center"/>
    </xf>
    <xf numFmtId="0" fontId="10" fillId="0" borderId="0" xfId="0" applyFont="1" applyBorder="1" applyAlignment="1">
      <alignment horizontal="center"/>
    </xf>
    <xf numFmtId="43" fontId="4" fillId="3" borderId="0" xfId="0" applyNumberFormat="1" applyFont="1" applyFill="1"/>
    <xf numFmtId="0" fontId="15" fillId="3" borderId="19" xfId="0" applyFont="1" applyFill="1" applyBorder="1" applyAlignment="1">
      <alignment horizontal="center"/>
    </xf>
    <xf numFmtId="0" fontId="13" fillId="3" borderId="19" xfId="0" applyFont="1" applyFill="1" applyBorder="1" applyAlignment="1">
      <alignment horizontal="left"/>
    </xf>
    <xf numFmtId="0" fontId="13" fillId="3" borderId="15" xfId="0" applyFont="1" applyFill="1" applyBorder="1" applyAlignment="1">
      <alignment horizontal="left"/>
    </xf>
    <xf numFmtId="0" fontId="13" fillId="3" borderId="40" xfId="0" applyFont="1" applyFill="1" applyBorder="1" applyAlignment="1">
      <alignment horizontal="left"/>
    </xf>
    <xf numFmtId="43" fontId="15" fillId="3" borderId="4" xfId="1" applyNumberFormat="1" applyFont="1" applyFill="1" applyBorder="1"/>
    <xf numFmtId="0" fontId="16" fillId="0" borderId="23" xfId="0" applyFont="1" applyBorder="1"/>
    <xf numFmtId="0" fontId="16" fillId="0" borderId="37" xfId="0" applyFont="1" applyBorder="1" applyAlignment="1">
      <alignment horizontal="center"/>
    </xf>
    <xf numFmtId="0" fontId="16" fillId="0" borderId="57" xfId="0" applyFont="1" applyBorder="1" applyAlignment="1">
      <alignment horizontal="left"/>
    </xf>
    <xf numFmtId="0" fontId="16" fillId="0" borderId="14" xfId="0" applyFont="1" applyBorder="1" applyAlignment="1">
      <alignment horizontal="left"/>
    </xf>
    <xf numFmtId="0" fontId="16" fillId="0" borderId="36" xfId="0" applyFont="1" applyBorder="1" applyAlignment="1">
      <alignment horizontal="left"/>
    </xf>
    <xf numFmtId="0" fontId="16" fillId="0" borderId="37" xfId="0" applyFont="1" applyBorder="1" applyAlignment="1">
      <alignment horizontal="left"/>
    </xf>
    <xf numFmtId="43" fontId="16" fillId="0" borderId="36" xfId="0" applyNumberFormat="1" applyFont="1" applyBorder="1" applyAlignment="1">
      <alignment horizontal="right"/>
    </xf>
    <xf numFmtId="43" fontId="15" fillId="3" borderId="40" xfId="1" applyNumberFormat="1" applyFont="1" applyFill="1" applyBorder="1"/>
    <xf numFmtId="43" fontId="15" fillId="3" borderId="4" xfId="0" applyNumberFormat="1" applyFont="1" applyFill="1" applyBorder="1"/>
    <xf numFmtId="43" fontId="7" fillId="0" borderId="0" xfId="0" applyNumberFormat="1" applyFont="1" applyBorder="1"/>
    <xf numFmtId="43" fontId="15" fillId="0" borderId="4" xfId="7" applyNumberFormat="1" applyFont="1" applyBorder="1" applyAlignment="1"/>
    <xf numFmtId="43" fontId="24" fillId="0" borderId="0" xfId="7" applyNumberFormat="1" applyFont="1" applyBorder="1"/>
    <xf numFmtId="0" fontId="16" fillId="0" borderId="0" xfId="0" applyFont="1" applyBorder="1" applyAlignment="1">
      <alignment horizontal="center"/>
    </xf>
    <xf numFmtId="43" fontId="15" fillId="3" borderId="15" xfId="0" applyNumberFormat="1" applyFont="1" applyFill="1" applyBorder="1"/>
    <xf numFmtId="0" fontId="15" fillId="3" borderId="0" xfId="0" applyFont="1" applyFill="1"/>
    <xf numFmtId="0" fontId="5" fillId="3" borderId="19" xfId="0" applyFont="1" applyFill="1" applyBorder="1"/>
    <xf numFmtId="4" fontId="15" fillId="3" borderId="4" xfId="0" applyNumberFormat="1" applyFont="1" applyFill="1" applyBorder="1" applyAlignment="1">
      <alignment horizontal="center"/>
    </xf>
    <xf numFmtId="43" fontId="15" fillId="3" borderId="4" xfId="0" applyNumberFormat="1" applyFont="1" applyFill="1" applyBorder="1" applyAlignment="1"/>
    <xf numFmtId="43" fontId="15" fillId="3" borderId="4" xfId="1" applyNumberFormat="1" applyFont="1" applyFill="1" applyBorder="1" applyAlignment="1"/>
    <xf numFmtId="40" fontId="15" fillId="3" borderId="4" xfId="1" applyNumberFormat="1" applyFont="1" applyFill="1" applyBorder="1" applyAlignment="1"/>
    <xf numFmtId="0" fontId="4" fillId="3" borderId="0" xfId="0" applyFont="1" applyFill="1"/>
    <xf numFmtId="0" fontId="13" fillId="0" borderId="2" xfId="8" applyFont="1" applyBorder="1" applyAlignment="1">
      <alignment horizontal="left" vertical="top" wrapText="1"/>
    </xf>
    <xf numFmtId="0" fontId="13" fillId="0" borderId="2" xfId="8" applyFont="1" applyFill="1" applyBorder="1" applyAlignment="1">
      <alignment horizontal="left" vertical="top" wrapText="1"/>
    </xf>
    <xf numFmtId="0" fontId="13" fillId="0" borderId="2" xfId="8" applyFont="1" applyBorder="1" applyAlignment="1">
      <alignment horizontal="left" vertical="center" wrapText="1"/>
    </xf>
    <xf numFmtId="0" fontId="13" fillId="0" borderId="2" xfId="8" applyFont="1" applyBorder="1" applyAlignment="1">
      <alignment vertical="top" wrapText="1"/>
    </xf>
    <xf numFmtId="0" fontId="13" fillId="0" borderId="3" xfId="8" applyFont="1" applyBorder="1" applyAlignment="1">
      <alignment vertical="top" wrapText="1"/>
    </xf>
    <xf numFmtId="0" fontId="44" fillId="0" borderId="0" xfId="8" quotePrefix="1" applyFont="1" applyAlignment="1">
      <alignment vertical="distributed" textRotation="180"/>
    </xf>
    <xf numFmtId="0" fontId="44" fillId="0" borderId="0" xfId="8" applyFont="1" applyAlignment="1">
      <alignment vertical="distributed" textRotation="180"/>
    </xf>
    <xf numFmtId="0" fontId="13" fillId="0" borderId="3" xfId="8" applyFont="1" applyBorder="1" applyAlignment="1">
      <alignment vertical="center" wrapText="1"/>
    </xf>
    <xf numFmtId="0" fontId="5" fillId="3" borderId="9" xfId="0" applyFont="1" applyFill="1" applyBorder="1"/>
    <xf numFmtId="0" fontId="5" fillId="3" borderId="27" xfId="0" applyFont="1" applyFill="1" applyBorder="1"/>
    <xf numFmtId="0" fontId="5" fillId="3" borderId="1" xfId="0" quotePrefix="1" applyFont="1" applyFill="1" applyBorder="1" applyAlignment="1">
      <alignment horizontal="center"/>
    </xf>
    <xf numFmtId="0" fontId="15" fillId="3" borderId="1" xfId="0" applyFont="1" applyFill="1" applyBorder="1" applyAlignment="1">
      <alignment horizontal="center"/>
    </xf>
    <xf numFmtId="4" fontId="15" fillId="3" borderId="1" xfId="0" applyNumberFormat="1" applyFont="1" applyFill="1" applyBorder="1" applyAlignment="1">
      <alignment horizontal="center"/>
    </xf>
    <xf numFmtId="43" fontId="15" fillId="3" borderId="1" xfId="0" applyNumberFormat="1" applyFont="1" applyFill="1" applyBorder="1" applyAlignment="1"/>
    <xf numFmtId="0" fontId="37" fillId="3" borderId="0" xfId="8" applyFont="1" applyFill="1" applyBorder="1" applyAlignment="1">
      <alignment horizontal="center" vertical="center"/>
    </xf>
    <xf numFmtId="0" fontId="37" fillId="3" borderId="6" xfId="8" applyFont="1" applyFill="1" applyBorder="1" applyAlignment="1">
      <alignment horizontal="center" vertical="center"/>
    </xf>
    <xf numFmtId="0" fontId="16" fillId="0" borderId="0" xfId="13" applyFont="1" applyBorder="1"/>
    <xf numFmtId="0" fontId="15" fillId="0" borderId="0" xfId="13" applyFont="1" applyBorder="1"/>
    <xf numFmtId="0" fontId="59" fillId="0" borderId="0" xfId="13" applyFont="1"/>
    <xf numFmtId="0" fontId="4" fillId="0" borderId="0" xfId="13" applyFont="1"/>
    <xf numFmtId="0" fontId="5" fillId="0" borderId="20" xfId="13" applyFont="1" applyBorder="1"/>
    <xf numFmtId="0" fontId="5" fillId="0" borderId="17" xfId="13" applyFont="1" applyBorder="1"/>
    <xf numFmtId="0" fontId="5" fillId="0" borderId="32" xfId="13" applyFont="1" applyBorder="1"/>
    <xf numFmtId="0" fontId="5" fillId="0" borderId="32" xfId="13" applyFont="1" applyBorder="1" applyAlignment="1">
      <alignment horizontal="center"/>
    </xf>
    <xf numFmtId="0" fontId="55" fillId="0" borderId="33" xfId="13" applyFont="1" applyBorder="1" applyAlignment="1">
      <alignment horizontal="center"/>
    </xf>
    <xf numFmtId="0" fontId="55" fillId="0" borderId="34" xfId="13" applyFont="1" applyBorder="1" applyAlignment="1">
      <alignment horizontal="center"/>
    </xf>
    <xf numFmtId="0" fontId="55" fillId="0" borderId="2" xfId="13" applyFont="1" applyBorder="1" applyAlignment="1">
      <alignment horizontal="center"/>
    </xf>
    <xf numFmtId="0" fontId="55" fillId="0" borderId="35" xfId="13" applyFont="1" applyBorder="1" applyAlignment="1">
      <alignment horizontal="center"/>
    </xf>
    <xf numFmtId="0" fontId="5" fillId="0" borderId="6" xfId="13" applyFont="1" applyBorder="1" applyAlignment="1">
      <alignment horizontal="center"/>
    </xf>
    <xf numFmtId="0" fontId="6" fillId="0" borderId="2" xfId="13" applyFont="1" applyBorder="1" applyAlignment="1">
      <alignment horizontal="center"/>
    </xf>
    <xf numFmtId="0" fontId="5" fillId="0" borderId="22" xfId="13" applyFont="1" applyBorder="1"/>
    <xf numFmtId="0" fontId="5" fillId="0" borderId="0" xfId="13" applyFont="1" applyBorder="1"/>
    <xf numFmtId="0" fontId="5" fillId="0" borderId="6" xfId="13" applyFont="1" applyBorder="1"/>
    <xf numFmtId="0" fontId="5" fillId="0" borderId="37" xfId="13" applyFont="1" applyBorder="1" applyAlignment="1">
      <alignment horizontal="center"/>
    </xf>
    <xf numFmtId="0" fontId="5" fillId="0" borderId="38" xfId="13" applyFont="1" applyBorder="1" applyAlignment="1">
      <alignment horizontal="center"/>
    </xf>
    <xf numFmtId="0" fontId="5" fillId="0" borderId="46" xfId="13" applyFont="1" applyBorder="1"/>
    <xf numFmtId="0" fontId="5" fillId="0" borderId="47" xfId="13" applyFont="1" applyBorder="1"/>
    <xf numFmtId="0" fontId="55" fillId="0" borderId="47" xfId="13" applyFont="1" applyBorder="1"/>
    <xf numFmtId="0" fontId="5" fillId="0" borderId="48" xfId="13" applyFont="1" applyBorder="1"/>
    <xf numFmtId="0" fontId="5" fillId="0" borderId="48" xfId="13" applyFont="1" applyBorder="1" applyAlignment="1">
      <alignment horizontal="center"/>
    </xf>
    <xf numFmtId="49" fontId="59" fillId="0" borderId="53" xfId="13" applyNumberFormat="1" applyFont="1" applyBorder="1" applyAlignment="1">
      <alignment horizontal="center"/>
    </xf>
    <xf numFmtId="43" fontId="59" fillId="0" borderId="53" xfId="13" applyNumberFormat="1" applyFont="1" applyBorder="1" applyAlignment="1">
      <alignment horizontal="center"/>
    </xf>
    <xf numFmtId="43" fontId="59" fillId="0" borderId="53" xfId="7" applyNumberFormat="1" applyFont="1" applyBorder="1"/>
    <xf numFmtId="0" fontId="5" fillId="0" borderId="19" xfId="13" applyFont="1" applyBorder="1"/>
    <xf numFmtId="0" fontId="5" fillId="0" borderId="15" xfId="13" applyFont="1" applyBorder="1"/>
    <xf numFmtId="0" fontId="5" fillId="0" borderId="40" xfId="13" applyFont="1" applyBorder="1"/>
    <xf numFmtId="0" fontId="5" fillId="0" borderId="40" xfId="13" quotePrefix="1" applyFont="1" applyBorder="1" applyAlignment="1">
      <alignment horizontal="center"/>
    </xf>
    <xf numFmtId="49" fontId="17" fillId="0" borderId="4" xfId="13" applyNumberFormat="1" applyFont="1" applyBorder="1" applyAlignment="1">
      <alignment horizontal="center"/>
    </xf>
    <xf numFmtId="43" fontId="59" fillId="0" borderId="4" xfId="13" applyNumberFormat="1" applyFont="1" applyBorder="1" applyAlignment="1">
      <alignment horizontal="center"/>
    </xf>
    <xf numFmtId="43" fontId="59" fillId="0" borderId="4" xfId="7" applyNumberFormat="1" applyFont="1" applyBorder="1"/>
    <xf numFmtId="0" fontId="15" fillId="0" borderId="4" xfId="13" applyFont="1" applyBorder="1" applyAlignment="1">
      <alignment horizontal="center"/>
    </xf>
    <xf numFmtId="43" fontId="15" fillId="0" borderId="4" xfId="13" applyNumberFormat="1" applyFont="1" applyBorder="1" applyAlignment="1">
      <alignment horizontal="right"/>
    </xf>
    <xf numFmtId="43" fontId="15" fillId="0" borderId="4" xfId="7" applyNumberFormat="1" applyFont="1" applyBorder="1" applyAlignment="1">
      <alignment horizontal="right"/>
    </xf>
    <xf numFmtId="49" fontId="59" fillId="0" borderId="4" xfId="13" applyNumberFormat="1" applyFont="1" applyBorder="1" applyAlignment="1">
      <alignment horizontal="center"/>
    </xf>
    <xf numFmtId="0" fontId="5" fillId="0" borderId="4" xfId="13" quotePrefix="1" applyFont="1" applyBorder="1" applyAlignment="1">
      <alignment horizontal="center"/>
    </xf>
    <xf numFmtId="0" fontId="55" fillId="0" borderId="19" xfId="13" applyFont="1" applyBorder="1"/>
    <xf numFmtId="0" fontId="55" fillId="0" borderId="15" xfId="13" applyFont="1" applyBorder="1"/>
    <xf numFmtId="0" fontId="55" fillId="0" borderId="40" xfId="13" applyFont="1" applyBorder="1"/>
    <xf numFmtId="0" fontId="55" fillId="0" borderId="40" xfId="13" quotePrefix="1" applyFont="1" applyBorder="1" applyAlignment="1">
      <alignment horizontal="center"/>
    </xf>
    <xf numFmtId="43" fontId="16" fillId="0" borderId="4" xfId="13" applyNumberFormat="1" applyFont="1" applyBorder="1" applyAlignment="1">
      <alignment horizontal="right"/>
    </xf>
    <xf numFmtId="0" fontId="7" fillId="0" borderId="0" xfId="13" applyFont="1"/>
    <xf numFmtId="0" fontId="4" fillId="0" borderId="0" xfId="13" quotePrefix="1" applyFont="1"/>
    <xf numFmtId="43" fontId="16" fillId="0" borderId="4" xfId="7" applyNumberFormat="1" applyFont="1" applyBorder="1" applyAlignment="1">
      <alignment horizontal="right"/>
    </xf>
    <xf numFmtId="0" fontId="55" fillId="0" borderId="7" xfId="13" applyFont="1" applyBorder="1"/>
    <xf numFmtId="0" fontId="55" fillId="0" borderId="12" xfId="13" applyFont="1" applyBorder="1"/>
    <xf numFmtId="0" fontId="55" fillId="0" borderId="25" xfId="13" applyFont="1" applyBorder="1"/>
    <xf numFmtId="0" fontId="55" fillId="0" borderId="25" xfId="13" applyFont="1" applyBorder="1" applyAlignment="1">
      <alignment horizontal="center"/>
    </xf>
    <xf numFmtId="49" fontId="17" fillId="0" borderId="3" xfId="13" applyNumberFormat="1" applyFont="1" applyBorder="1" applyAlignment="1">
      <alignment horizontal="center"/>
    </xf>
    <xf numFmtId="43" fontId="16" fillId="0" borderId="3" xfId="13" applyNumberFormat="1" applyFont="1" applyBorder="1" applyAlignment="1">
      <alignment horizontal="right"/>
    </xf>
    <xf numFmtId="0" fontId="55" fillId="0" borderId="0" xfId="13" applyFont="1" applyBorder="1"/>
    <xf numFmtId="0" fontId="15" fillId="0" borderId="0" xfId="13" applyFont="1" applyBorder="1" applyAlignment="1">
      <alignment horizontal="center"/>
    </xf>
    <xf numFmtId="43" fontId="15" fillId="0" borderId="0" xfId="7" applyFont="1" applyBorder="1"/>
    <xf numFmtId="43" fontId="16" fillId="0" borderId="0" xfId="7" applyFont="1" applyBorder="1" applyAlignment="1">
      <alignment horizontal="center"/>
    </xf>
    <xf numFmtId="0" fontId="17" fillId="0" borderId="0" xfId="13" applyFont="1"/>
    <xf numFmtId="0" fontId="16" fillId="0" borderId="0" xfId="13" applyFont="1" applyBorder="1" applyAlignment="1">
      <alignment horizontal="center"/>
    </xf>
    <xf numFmtId="43" fontId="16" fillId="0" borderId="0" xfId="7" applyFont="1" applyBorder="1" applyAlignment="1"/>
    <xf numFmtId="43" fontId="16" fillId="0" borderId="0" xfId="7" applyFont="1" applyBorder="1" applyAlignment="1">
      <alignment vertical="top"/>
    </xf>
    <xf numFmtId="0" fontId="15" fillId="0" borderId="0" xfId="13" applyFont="1" applyBorder="1" applyAlignment="1">
      <alignment horizontal="left"/>
    </xf>
    <xf numFmtId="0" fontId="15" fillId="0" borderId="0" xfId="13" applyFont="1" applyBorder="1" applyAlignment="1"/>
    <xf numFmtId="43" fontId="15" fillId="0" borderId="0" xfId="7" applyFont="1" applyBorder="1" applyAlignment="1"/>
    <xf numFmtId="43" fontId="15" fillId="0" borderId="0" xfId="7" applyFont="1" applyBorder="1" applyAlignment="1">
      <alignment horizontal="center"/>
    </xf>
    <xf numFmtId="49" fontId="15" fillId="0" borderId="53" xfId="13" applyNumberFormat="1" applyFont="1" applyBorder="1" applyAlignment="1">
      <alignment horizontal="center"/>
    </xf>
    <xf numFmtId="0" fontId="15" fillId="0" borderId="53" xfId="13" applyFont="1" applyBorder="1" applyAlignment="1">
      <alignment horizontal="center"/>
    </xf>
    <xf numFmtId="43" fontId="15" fillId="0" borderId="53" xfId="7" applyFont="1" applyBorder="1"/>
    <xf numFmtId="49" fontId="15" fillId="0" borderId="4" xfId="13" applyNumberFormat="1" applyFont="1" applyBorder="1" applyAlignment="1">
      <alignment horizontal="center"/>
    </xf>
    <xf numFmtId="4" fontId="15" fillId="0" borderId="4" xfId="13" applyNumberFormat="1" applyFont="1" applyBorder="1" applyAlignment="1">
      <alignment horizontal="center"/>
    </xf>
    <xf numFmtId="4" fontId="15" fillId="0" borderId="4" xfId="7" applyNumberFormat="1" applyFont="1" applyBorder="1"/>
    <xf numFmtId="49" fontId="16" fillId="0" borderId="4" xfId="13" applyNumberFormat="1" applyFont="1" applyBorder="1" applyAlignment="1">
      <alignment horizontal="center"/>
    </xf>
    <xf numFmtId="49" fontId="16" fillId="0" borderId="3" xfId="13" applyNumberFormat="1" applyFont="1" applyBorder="1" applyAlignment="1">
      <alignment horizontal="center"/>
    </xf>
    <xf numFmtId="4" fontId="15" fillId="0" borderId="0" xfId="13" applyNumberFormat="1" applyFont="1" applyBorder="1" applyAlignment="1">
      <alignment horizontal="center"/>
    </xf>
    <xf numFmtId="43" fontId="15" fillId="0" borderId="53" xfId="13" applyNumberFormat="1" applyFont="1" applyBorder="1" applyAlignment="1">
      <alignment horizontal="center"/>
    </xf>
    <xf numFmtId="43" fontId="15" fillId="0" borderId="53" xfId="7" applyNumberFormat="1" applyFont="1" applyBorder="1"/>
    <xf numFmtId="43" fontId="15" fillId="0" borderId="4" xfId="13" applyNumberFormat="1" applyFont="1" applyBorder="1" applyAlignment="1">
      <alignment horizontal="center"/>
    </xf>
    <xf numFmtId="43" fontId="15" fillId="0" borderId="4" xfId="7" applyNumberFormat="1" applyFont="1" applyBorder="1"/>
    <xf numFmtId="0" fontId="45" fillId="0" borderId="0" xfId="13" applyFont="1"/>
    <xf numFmtId="43" fontId="4" fillId="0" borderId="0" xfId="13" applyNumberFormat="1" applyFont="1"/>
    <xf numFmtId="0" fontId="55" fillId="2" borderId="19" xfId="13" applyFont="1" applyFill="1" applyBorder="1"/>
    <xf numFmtId="0" fontId="5" fillId="2" borderId="15" xfId="13" applyFont="1" applyFill="1" applyBorder="1"/>
    <xf numFmtId="0" fontId="55" fillId="2" borderId="15" xfId="13" applyFont="1" applyFill="1" applyBorder="1"/>
    <xf numFmtId="0" fontId="55" fillId="2" borderId="40" xfId="13" applyFont="1" applyFill="1" applyBorder="1"/>
    <xf numFmtId="0" fontId="55" fillId="2" borderId="40" xfId="13" quotePrefix="1" applyFont="1" applyFill="1" applyBorder="1" applyAlignment="1">
      <alignment horizontal="center"/>
    </xf>
    <xf numFmtId="49" fontId="15" fillId="2" borderId="4" xfId="13" applyNumberFormat="1" applyFont="1" applyFill="1" applyBorder="1" applyAlignment="1">
      <alignment horizontal="center"/>
    </xf>
    <xf numFmtId="43" fontId="15" fillId="2" borderId="4" xfId="13" applyNumberFormat="1" applyFont="1" applyFill="1" applyBorder="1" applyAlignment="1">
      <alignment horizontal="right"/>
    </xf>
    <xf numFmtId="43" fontId="15" fillId="2" borderId="4" xfId="7" applyNumberFormat="1" applyFont="1" applyFill="1" applyBorder="1" applyAlignment="1">
      <alignment horizontal="right"/>
    </xf>
    <xf numFmtId="0" fontId="4" fillId="2" borderId="0" xfId="13" applyFont="1" applyFill="1"/>
    <xf numFmtId="0" fontId="55" fillId="2" borderId="7" xfId="13" applyFont="1" applyFill="1" applyBorder="1"/>
    <xf numFmtId="0" fontId="55" fillId="2" borderId="12" xfId="13" applyFont="1" applyFill="1" applyBorder="1"/>
    <xf numFmtId="0" fontId="55" fillId="2" borderId="25" xfId="13" applyFont="1" applyFill="1" applyBorder="1"/>
    <xf numFmtId="0" fontId="55" fillId="2" borderId="25" xfId="13" quotePrefix="1" applyFont="1" applyFill="1" applyBorder="1" applyAlignment="1">
      <alignment horizontal="center"/>
    </xf>
    <xf numFmtId="49" fontId="16" fillId="2" borderId="3" xfId="13" applyNumberFormat="1" applyFont="1" applyFill="1" applyBorder="1" applyAlignment="1">
      <alignment horizontal="center"/>
    </xf>
    <xf numFmtId="43" fontId="16" fillId="2" borderId="3" xfId="13" applyNumberFormat="1" applyFont="1" applyFill="1" applyBorder="1" applyAlignment="1">
      <alignment horizontal="right"/>
    </xf>
    <xf numFmtId="43" fontId="16" fillId="2" borderId="3" xfId="7" applyNumberFormat="1" applyFont="1" applyFill="1" applyBorder="1" applyAlignment="1">
      <alignment horizontal="right"/>
    </xf>
    <xf numFmtId="43" fontId="16" fillId="2" borderId="4" xfId="7" applyNumberFormat="1" applyFont="1" applyFill="1" applyBorder="1" applyAlignment="1">
      <alignment horizontal="right"/>
    </xf>
    <xf numFmtId="0" fontId="7" fillId="2" borderId="0" xfId="13" applyFont="1" applyFill="1"/>
    <xf numFmtId="0" fontId="8" fillId="0" borderId="0" xfId="13" applyFont="1"/>
    <xf numFmtId="43" fontId="8" fillId="0" borderId="0" xfId="13" applyNumberFormat="1" applyFont="1"/>
    <xf numFmtId="43" fontId="29" fillId="0" borderId="0" xfId="7" applyFont="1" applyBorder="1" applyAlignment="1">
      <alignment horizontal="center"/>
    </xf>
    <xf numFmtId="43" fontId="27" fillId="0" borderId="0" xfId="7" applyFont="1" applyBorder="1" applyAlignment="1">
      <alignment horizontal="center"/>
    </xf>
    <xf numFmtId="43" fontId="28" fillId="0" borderId="0" xfId="7" applyFont="1" applyBorder="1"/>
    <xf numFmtId="43" fontId="25" fillId="0" borderId="0" xfId="7" quotePrefix="1" applyFont="1" applyBorder="1" applyAlignment="1">
      <alignment horizontal="center"/>
    </xf>
    <xf numFmtId="43" fontId="29" fillId="0" borderId="0" xfId="7" applyFont="1" applyBorder="1"/>
    <xf numFmtId="43" fontId="24" fillId="0" borderId="0" xfId="7" quotePrefix="1" applyFont="1" applyBorder="1" applyAlignment="1">
      <alignment horizontal="center"/>
    </xf>
    <xf numFmtId="43" fontId="25" fillId="3" borderId="0" xfId="7" quotePrefix="1" applyFont="1" applyFill="1" applyBorder="1" applyAlignment="1">
      <alignment horizontal="center"/>
    </xf>
    <xf numFmtId="43" fontId="31" fillId="0" borderId="0" xfId="1" quotePrefix="1" applyFont="1" applyAlignment="1">
      <alignment horizontal="center"/>
    </xf>
    <xf numFmtId="0" fontId="15" fillId="0" borderId="19" xfId="0" applyFont="1" applyBorder="1" applyAlignment="1">
      <alignment horizontal="center" vertical="center"/>
    </xf>
    <xf numFmtId="0" fontId="15" fillId="0" borderId="4" xfId="0" applyFont="1" applyBorder="1" applyAlignment="1">
      <alignment horizontal="center" vertical="center"/>
    </xf>
    <xf numFmtId="43" fontId="15" fillId="0" borderId="15" xfId="0" applyNumberFormat="1" applyFont="1" applyBorder="1" applyAlignment="1">
      <alignment vertical="center"/>
    </xf>
    <xf numFmtId="43" fontId="15" fillId="0" borderId="4" xfId="1" applyNumberFormat="1" applyFont="1" applyBorder="1" applyAlignment="1">
      <alignment vertical="center"/>
    </xf>
    <xf numFmtId="0" fontId="5" fillId="0" borderId="0" xfId="0" applyFont="1" applyAlignment="1">
      <alignment vertical="center"/>
    </xf>
    <xf numFmtId="0" fontId="4" fillId="3" borderId="0" xfId="13" applyFont="1" applyFill="1"/>
    <xf numFmtId="43" fontId="15" fillId="0" borderId="51" xfId="1" applyNumberFormat="1" applyFont="1" applyBorder="1"/>
    <xf numFmtId="43" fontId="15" fillId="0" borderId="49" xfId="1" applyNumberFormat="1" applyFont="1" applyBorder="1"/>
    <xf numFmtId="0" fontId="5" fillId="0" borderId="5" xfId="0" applyFont="1" applyBorder="1"/>
    <xf numFmtId="0" fontId="5" fillId="0" borderId="2" xfId="0" quotePrefix="1" applyFont="1" applyBorder="1" applyAlignment="1">
      <alignment horizontal="center"/>
    </xf>
    <xf numFmtId="43" fontId="7" fillId="0" borderId="0" xfId="13" applyNumberFormat="1" applyFont="1"/>
    <xf numFmtId="0" fontId="5" fillId="3" borderId="4" xfId="0" applyFont="1" applyFill="1" applyBorder="1" applyAlignment="1">
      <alignment horizontal="center"/>
    </xf>
    <xf numFmtId="0" fontId="5" fillId="3" borderId="40" xfId="0" applyFont="1" applyFill="1" applyBorder="1"/>
    <xf numFmtId="0" fontId="55" fillId="3" borderId="54" xfId="0" applyFont="1" applyFill="1" applyBorder="1"/>
    <xf numFmtId="0" fontId="55" fillId="3" borderId="49" xfId="0" quotePrefix="1" applyFont="1" applyFill="1" applyBorder="1" applyAlignment="1">
      <alignment horizontal="center"/>
    </xf>
    <xf numFmtId="0" fontId="16" fillId="3" borderId="49" xfId="0" applyFont="1" applyFill="1" applyBorder="1" applyAlignment="1">
      <alignment horizontal="center"/>
    </xf>
    <xf numFmtId="4" fontId="16" fillId="3" borderId="49" xfId="0" applyNumberFormat="1" applyFont="1" applyFill="1" applyBorder="1" applyAlignment="1">
      <alignment horizontal="center"/>
    </xf>
    <xf numFmtId="43" fontId="16" fillId="3" borderId="49" xfId="0" applyNumberFormat="1" applyFont="1" applyFill="1" applyBorder="1" applyAlignment="1"/>
    <xf numFmtId="0" fontId="55" fillId="3" borderId="12" xfId="0" applyFont="1" applyFill="1" applyBorder="1"/>
    <xf numFmtId="0" fontId="55" fillId="3" borderId="3" xfId="0" quotePrefix="1" applyFont="1" applyFill="1" applyBorder="1" applyAlignment="1">
      <alignment horizontal="center"/>
    </xf>
    <xf numFmtId="0" fontId="16" fillId="3" borderId="3" xfId="0" applyFont="1" applyFill="1" applyBorder="1" applyAlignment="1">
      <alignment horizontal="center"/>
    </xf>
    <xf numFmtId="4" fontId="16" fillId="3" borderId="3" xfId="0" applyNumberFormat="1" applyFont="1" applyFill="1" applyBorder="1" applyAlignment="1">
      <alignment horizontal="center"/>
    </xf>
    <xf numFmtId="43" fontId="16" fillId="3" borderId="3" xfId="0" applyNumberFormat="1" applyFont="1" applyFill="1" applyBorder="1" applyAlignment="1"/>
    <xf numFmtId="40" fontId="16" fillId="3" borderId="3" xfId="0" applyNumberFormat="1" applyFont="1" applyFill="1" applyBorder="1" applyAlignment="1"/>
    <xf numFmtId="0" fontId="37" fillId="0" borderId="0" xfId="6" applyFont="1" applyAlignment="1">
      <alignment horizontal="center"/>
    </xf>
    <xf numFmtId="0" fontId="39" fillId="0" borderId="0" xfId="6" applyFont="1" applyAlignment="1">
      <alignment horizontal="center"/>
    </xf>
    <xf numFmtId="0" fontId="29" fillId="0" borderId="0" xfId="6" applyFont="1" applyAlignment="1">
      <alignment horizontal="center"/>
    </xf>
    <xf numFmtId="0" fontId="27" fillId="0" borderId="31" xfId="6" applyFont="1" applyBorder="1" applyAlignment="1">
      <alignment horizontal="center"/>
    </xf>
    <xf numFmtId="0" fontId="24" fillId="0" borderId="0" xfId="6" applyFont="1" applyAlignment="1">
      <alignment horizontal="center"/>
    </xf>
    <xf numFmtId="0" fontId="25" fillId="0" borderId="0" xfId="6" applyFont="1" applyAlignment="1">
      <alignment horizontal="center"/>
    </xf>
    <xf numFmtId="0" fontId="27" fillId="0" borderId="5" xfId="6" applyFont="1" applyBorder="1" applyAlignment="1">
      <alignment horizontal="center"/>
    </xf>
    <xf numFmtId="0" fontId="27" fillId="0" borderId="0" xfId="6" applyFont="1" applyBorder="1" applyAlignment="1">
      <alignment horizontal="center"/>
    </xf>
    <xf numFmtId="0" fontId="27" fillId="0" borderId="6" xfId="6" applyFont="1" applyBorder="1" applyAlignment="1">
      <alignment horizontal="center"/>
    </xf>
    <xf numFmtId="0" fontId="27" fillId="0" borderId="0" xfId="6" applyFont="1" applyAlignment="1">
      <alignment horizontal="center"/>
    </xf>
    <xf numFmtId="43" fontId="32" fillId="0" borderId="0" xfId="6" quotePrefix="1" applyNumberFormat="1" applyFont="1" applyBorder="1" applyAlignment="1">
      <alignment horizontal="center"/>
    </xf>
    <xf numFmtId="0" fontId="25" fillId="0" borderId="5" xfId="6" applyFont="1" applyBorder="1" applyAlignment="1">
      <alignment horizontal="center"/>
    </xf>
    <xf numFmtId="0" fontId="25" fillId="0" borderId="0" xfId="6" applyFont="1" applyBorder="1" applyAlignment="1">
      <alignment horizontal="center"/>
    </xf>
    <xf numFmtId="0" fontId="25" fillId="0" borderId="6" xfId="6" applyFont="1" applyBorder="1" applyAlignment="1">
      <alignment horizontal="center"/>
    </xf>
    <xf numFmtId="43" fontId="34" fillId="0" borderId="0" xfId="6" quotePrefix="1" applyNumberFormat="1" applyFont="1" applyBorder="1" applyAlignment="1">
      <alignment horizontal="center"/>
    </xf>
    <xf numFmtId="0" fontId="25" fillId="0" borderId="0" xfId="6" applyFont="1" applyBorder="1" applyAlignment="1">
      <alignment horizontal="center"/>
    </xf>
    <xf numFmtId="0" fontId="29" fillId="0" borderId="0" xfId="6" applyFont="1" applyAlignment="1">
      <alignment horizontal="center"/>
    </xf>
    <xf numFmtId="0" fontId="27" fillId="0" borderId="31" xfId="6" applyFont="1" applyBorder="1" applyAlignment="1">
      <alignment horizontal="center"/>
    </xf>
    <xf numFmtId="0" fontId="27" fillId="0" borderId="5" xfId="6" applyFont="1" applyBorder="1" applyAlignment="1">
      <alignment horizontal="center"/>
    </xf>
    <xf numFmtId="0" fontId="27" fillId="0" borderId="0" xfId="6" applyFont="1" applyBorder="1" applyAlignment="1">
      <alignment horizontal="center"/>
    </xf>
    <xf numFmtId="0" fontId="27" fillId="0" borderId="6" xfId="6" applyFont="1" applyBorder="1" applyAlignment="1">
      <alignment horizontal="center"/>
    </xf>
    <xf numFmtId="0" fontId="25" fillId="0" borderId="5" xfId="6" applyFont="1" applyBorder="1" applyAlignment="1">
      <alignment horizontal="center"/>
    </xf>
    <xf numFmtId="0" fontId="25" fillId="0" borderId="0" xfId="6" applyFont="1" applyBorder="1" applyAlignment="1">
      <alignment horizontal="center"/>
    </xf>
    <xf numFmtId="43" fontId="25" fillId="0" borderId="3" xfId="7" applyFont="1" applyBorder="1"/>
    <xf numFmtId="0" fontId="25" fillId="0" borderId="10" xfId="6" applyFont="1" applyBorder="1" applyAlignment="1">
      <alignment horizontal="center"/>
    </xf>
    <xf numFmtId="0" fontId="24" fillId="0" borderId="10" xfId="6" applyFont="1" applyBorder="1" applyAlignment="1">
      <alignment horizontal="left"/>
    </xf>
    <xf numFmtId="49" fontId="24" fillId="0" borderId="18" xfId="6" applyNumberFormat="1" applyFont="1" applyBorder="1" applyAlignment="1">
      <alignment horizontal="center"/>
    </xf>
    <xf numFmtId="0" fontId="25" fillId="0" borderId="0" xfId="6" applyFont="1" applyBorder="1" applyAlignment="1">
      <alignment horizontal="left"/>
    </xf>
    <xf numFmtId="0" fontId="25" fillId="0" borderId="7" xfId="6" applyFont="1" applyBorder="1"/>
    <xf numFmtId="49" fontId="26" fillId="0" borderId="12" xfId="6" applyNumberFormat="1" applyFont="1" applyBorder="1"/>
    <xf numFmtId="0" fontId="24" fillId="0" borderId="16" xfId="6" applyFont="1" applyBorder="1" applyAlignment="1">
      <alignment horizontal="center"/>
    </xf>
    <xf numFmtId="0" fontId="24" fillId="0" borderId="58" xfId="6" applyFont="1" applyBorder="1" applyAlignment="1">
      <alignment horizontal="center"/>
    </xf>
    <xf numFmtId="0" fontId="24" fillId="0" borderId="59" xfId="6" applyFont="1" applyBorder="1"/>
    <xf numFmtId="49" fontId="24" fillId="0" borderId="55" xfId="6" applyNumberFormat="1" applyFont="1" applyBorder="1" applyAlignment="1">
      <alignment horizontal="center"/>
    </xf>
    <xf numFmtId="43" fontId="24" fillId="0" borderId="55" xfId="6" applyNumberFormat="1" applyFont="1" applyBorder="1"/>
    <xf numFmtId="0" fontId="24" fillId="0" borderId="19" xfId="6" applyFont="1" applyBorder="1"/>
    <xf numFmtId="0" fontId="24" fillId="0" borderId="15" xfId="6" applyFont="1" applyBorder="1"/>
    <xf numFmtId="0" fontId="24" fillId="0" borderId="4" xfId="6" applyFont="1" applyBorder="1"/>
    <xf numFmtId="43" fontId="24" fillId="0" borderId="4" xfId="6" applyNumberFormat="1" applyFont="1" applyBorder="1"/>
    <xf numFmtId="0" fontId="55" fillId="0" borderId="60" xfId="0" applyFont="1" applyBorder="1"/>
    <xf numFmtId="0" fontId="55" fillId="0" borderId="61" xfId="0" applyFont="1" applyBorder="1"/>
    <xf numFmtId="0" fontId="55" fillId="0" borderId="52" xfId="0" applyFont="1" applyBorder="1" applyAlignment="1">
      <alignment horizontal="center"/>
    </xf>
    <xf numFmtId="0" fontId="16" fillId="0" borderId="52" xfId="0" applyFont="1" applyBorder="1" applyAlignment="1">
      <alignment horizontal="center"/>
    </xf>
    <xf numFmtId="4" fontId="16" fillId="0" borderId="52" xfId="0" applyNumberFormat="1" applyFont="1" applyBorder="1" applyAlignment="1">
      <alignment horizontal="center"/>
    </xf>
    <xf numFmtId="0" fontId="27" fillId="0" borderId="31" xfId="6" applyFont="1" applyBorder="1" applyAlignment="1">
      <alignment horizontal="center"/>
    </xf>
    <xf numFmtId="0" fontId="27" fillId="0" borderId="5" xfId="6" applyFont="1" applyBorder="1" applyAlignment="1">
      <alignment horizontal="center"/>
    </xf>
    <xf numFmtId="0" fontId="27" fillId="0" borderId="0" xfId="6" applyFont="1" applyBorder="1" applyAlignment="1">
      <alignment horizontal="center"/>
    </xf>
    <xf numFmtId="0" fontId="27" fillId="0" borderId="6" xfId="6" applyFont="1" applyBorder="1" applyAlignment="1">
      <alignment horizontal="center"/>
    </xf>
    <xf numFmtId="0" fontId="25" fillId="0" borderId="5" xfId="6" applyFont="1" applyBorder="1" applyAlignment="1">
      <alignment horizontal="center"/>
    </xf>
    <xf numFmtId="0" fontId="25" fillId="0" borderId="0" xfId="6" applyFont="1" applyBorder="1" applyAlignment="1">
      <alignment horizontal="center"/>
    </xf>
    <xf numFmtId="0" fontId="25" fillId="0" borderId="6" xfId="6" applyFont="1" applyBorder="1" applyAlignment="1">
      <alignment horizontal="center"/>
    </xf>
    <xf numFmtId="0" fontId="7" fillId="3" borderId="0" xfId="13" applyFont="1" applyFill="1"/>
    <xf numFmtId="43" fontId="5" fillId="0" borderId="2" xfId="7" applyFont="1" applyBorder="1"/>
    <xf numFmtId="43" fontId="15" fillId="0" borderId="2" xfId="7" applyFont="1" applyBorder="1"/>
    <xf numFmtId="0" fontId="55" fillId="0" borderId="31" xfId="0" applyFont="1" applyBorder="1" applyAlignment="1">
      <alignment horizontal="center"/>
    </xf>
    <xf numFmtId="0" fontId="55" fillId="0" borderId="17" xfId="0" applyFont="1" applyBorder="1" applyAlignment="1">
      <alignment horizontal="center"/>
    </xf>
    <xf numFmtId="0" fontId="55" fillId="0" borderId="32" xfId="0" applyFont="1" applyBorder="1" applyAlignment="1">
      <alignment horizontal="center"/>
    </xf>
    <xf numFmtId="0" fontId="55" fillId="0" borderId="0" xfId="0" applyFont="1" applyBorder="1" applyAlignment="1">
      <alignment horizontal="center"/>
    </xf>
    <xf numFmtId="0" fontId="55" fillId="0" borderId="0" xfId="13" applyFont="1" applyBorder="1" applyAlignment="1">
      <alignment horizontal="center"/>
    </xf>
    <xf numFmtId="0" fontId="15" fillId="0" borderId="0" xfId="13" applyFont="1" applyBorder="1" applyAlignment="1">
      <alignment horizontal="center"/>
    </xf>
    <xf numFmtId="43" fontId="15" fillId="0" borderId="0" xfId="1" applyFont="1" applyBorder="1" applyAlignment="1">
      <alignment horizontal="center"/>
    </xf>
    <xf numFmtId="0" fontId="55" fillId="0" borderId="5" xfId="0" applyFont="1" applyBorder="1" applyAlignment="1">
      <alignment horizontal="center"/>
    </xf>
    <xf numFmtId="0" fontId="55" fillId="0" borderId="6" xfId="0" applyFont="1" applyBorder="1" applyAlignment="1">
      <alignment horizontal="center"/>
    </xf>
    <xf numFmtId="0" fontId="15" fillId="0" borderId="0" xfId="0" applyFont="1" applyBorder="1" applyAlignment="1">
      <alignment horizontal="center"/>
    </xf>
    <xf numFmtId="0" fontId="5" fillId="0" borderId="0" xfId="13" applyFont="1" applyBorder="1" applyAlignment="1">
      <alignment horizont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43" fontId="15" fillId="0" borderId="27" xfId="0" applyNumberFormat="1" applyFont="1" applyBorder="1" applyAlignment="1">
      <alignment vertical="center"/>
    </xf>
    <xf numFmtId="43" fontId="15" fillId="0" borderId="1" xfId="1" applyNumberFormat="1" applyFont="1" applyBorder="1" applyAlignment="1">
      <alignment vertical="center"/>
    </xf>
    <xf numFmtId="0" fontId="13" fillId="0" borderId="19" xfId="0" applyFont="1" applyBorder="1" applyAlignment="1">
      <alignment vertical="center" wrapText="1"/>
    </xf>
    <xf numFmtId="0" fontId="13" fillId="0" borderId="15" xfId="0" applyFont="1" applyBorder="1" applyAlignment="1">
      <alignment vertical="center" wrapText="1"/>
    </xf>
    <xf numFmtId="0" fontId="13" fillId="0" borderId="40" xfId="0" applyFont="1" applyBorder="1" applyAlignment="1">
      <alignment vertical="center" wrapText="1"/>
    </xf>
    <xf numFmtId="0" fontId="15" fillId="0" borderId="4" xfId="0" quotePrefix="1" applyFont="1" applyBorder="1" applyAlignment="1">
      <alignment horizontal="center"/>
    </xf>
    <xf numFmtId="43" fontId="15" fillId="0" borderId="0" xfId="0" applyNumberFormat="1" applyFont="1"/>
    <xf numFmtId="0" fontId="13" fillId="0" borderId="19" xfId="0" applyFont="1" applyBorder="1" applyAlignment="1">
      <alignment horizontal="left" vertical="center"/>
    </xf>
    <xf numFmtId="164" fontId="5" fillId="0" borderId="0" xfId="0" applyNumberFormat="1" applyFont="1"/>
    <xf numFmtId="164" fontId="59" fillId="0" borderId="0" xfId="0" applyNumberFormat="1" applyFont="1" applyBorder="1" applyAlignment="1">
      <alignment horizontal="center"/>
    </xf>
    <xf numFmtId="164" fontId="8" fillId="0" borderId="0" xfId="0" applyNumberFormat="1" applyFont="1" applyBorder="1" applyAlignment="1">
      <alignment horizontal="center"/>
    </xf>
    <xf numFmtId="164" fontId="8" fillId="2" borderId="0" xfId="0" applyNumberFormat="1" applyFont="1" applyFill="1" applyBorder="1" applyAlignment="1">
      <alignment horizontal="center"/>
    </xf>
    <xf numFmtId="0" fontId="5" fillId="2" borderId="0" xfId="0" applyFont="1" applyFill="1"/>
    <xf numFmtId="164" fontId="15" fillId="0" borderId="0" xfId="0" applyNumberFormat="1" applyFont="1" applyBorder="1" applyAlignment="1">
      <alignment horizontal="center"/>
    </xf>
    <xf numFmtId="0" fontId="5" fillId="0" borderId="13" xfId="0" applyFont="1" applyBorder="1"/>
    <xf numFmtId="43" fontId="4" fillId="0" borderId="0" xfId="1" applyFont="1"/>
    <xf numFmtId="0" fontId="13" fillId="0" borderId="3" xfId="8" applyFont="1" applyBorder="1" applyAlignment="1">
      <alignment horizontal="left" vertical="top" wrapText="1"/>
    </xf>
    <xf numFmtId="0" fontId="13" fillId="0" borderId="3" xfId="8" applyFont="1" applyFill="1" applyBorder="1" applyAlignment="1">
      <alignment horizontal="left" vertical="top" wrapText="1"/>
    </xf>
    <xf numFmtId="0" fontId="13" fillId="0" borderId="3" xfId="8" applyFont="1" applyBorder="1" applyAlignment="1">
      <alignment vertical="top" wrapText="1"/>
    </xf>
    <xf numFmtId="0" fontId="13" fillId="0" borderId="4" xfId="8" applyFont="1" applyBorder="1" applyAlignment="1">
      <alignment horizontal="center" vertical="top"/>
    </xf>
    <xf numFmtId="49" fontId="13" fillId="0" borderId="4" xfId="8" applyNumberFormat="1" applyFont="1" applyFill="1" applyBorder="1" applyAlignment="1">
      <alignment vertical="top" wrapText="1"/>
    </xf>
    <xf numFmtId="0" fontId="37" fillId="0" borderId="4" xfId="8" applyFont="1" applyFill="1" applyBorder="1" applyAlignment="1">
      <alignment horizontal="left" vertical="top" wrapText="1"/>
    </xf>
    <xf numFmtId="49" fontId="36" fillId="0" borderId="19" xfId="9" applyNumberFormat="1" applyFont="1" applyFill="1" applyBorder="1" applyAlignment="1">
      <alignment horizontal="left" vertical="top" wrapText="1"/>
    </xf>
    <xf numFmtId="0" fontId="36" fillId="0" borderId="4" xfId="8" applyFont="1" applyFill="1" applyBorder="1" applyAlignment="1">
      <alignment horizontal="left" vertical="top"/>
    </xf>
    <xf numFmtId="0" fontId="13" fillId="0" borderId="0" xfId="8" applyFont="1" applyFill="1" applyBorder="1" applyAlignment="1">
      <alignment horizontal="center"/>
    </xf>
    <xf numFmtId="0" fontId="13" fillId="0" borderId="0" xfId="8" applyFont="1" applyAlignment="1">
      <alignment horizontal="center"/>
    </xf>
    <xf numFmtId="0" fontId="9" fillId="0" borderId="0" xfId="8" applyFont="1" applyFill="1" applyBorder="1" applyAlignment="1">
      <alignment horizontal="center"/>
    </xf>
    <xf numFmtId="0" fontId="13" fillId="0" borderId="0" xfId="8" applyFont="1" applyBorder="1" applyAlignment="1">
      <alignment horizontal="center"/>
    </xf>
    <xf numFmtId="43" fontId="19" fillId="0" borderId="0" xfId="8" quotePrefix="1" applyNumberFormat="1" applyFont="1" applyBorder="1" applyAlignment="1">
      <alignment horizontal="center" vertical="center" textRotation="180" wrapText="1"/>
    </xf>
    <xf numFmtId="0" fontId="44" fillId="0" borderId="0" xfId="8" quotePrefix="1" applyFont="1" applyAlignment="1">
      <alignment horizontal="center" vertical="center" textRotation="180"/>
    </xf>
    <xf numFmtId="0" fontId="44" fillId="0" borderId="0" xfId="8" quotePrefix="1" applyFont="1" applyAlignment="1">
      <alignment horizontal="center" vertical="distributed" textRotation="180"/>
    </xf>
    <xf numFmtId="0" fontId="36" fillId="0" borderId="0" xfId="8" applyFont="1" applyBorder="1" applyAlignment="1">
      <alignment horizontal="center"/>
    </xf>
    <xf numFmtId="0" fontId="36" fillId="0" borderId="0" xfId="8" applyFont="1" applyFill="1" applyBorder="1" applyAlignment="1">
      <alignment horizontal="center"/>
    </xf>
    <xf numFmtId="0" fontId="36" fillId="0" borderId="3" xfId="8" applyFont="1" applyFill="1" applyBorder="1" applyAlignment="1">
      <alignment horizontal="center" vertical="center" wrapText="1"/>
    </xf>
    <xf numFmtId="0" fontId="36" fillId="0" borderId="3" xfId="8" applyFont="1" applyFill="1" applyBorder="1" applyAlignment="1">
      <alignment horizontal="center" vertical="center"/>
    </xf>
    <xf numFmtId="43" fontId="13" fillId="0" borderId="0" xfId="1" applyFont="1" applyAlignment="1">
      <alignment horizontal="center"/>
    </xf>
    <xf numFmtId="0" fontId="13" fillId="0" borderId="0" xfId="8" applyFont="1" applyAlignment="1">
      <alignment horizontal="center" vertical="center"/>
    </xf>
    <xf numFmtId="49" fontId="36" fillId="0" borderId="19" xfId="8" applyNumberFormat="1" applyFont="1" applyBorder="1" applyAlignment="1">
      <alignment horizontal="center" vertical="center"/>
    </xf>
    <xf numFmtId="0" fontId="36" fillId="0" borderId="4" xfId="8" applyFont="1" applyFill="1" applyBorder="1" applyAlignment="1">
      <alignment horizontal="center" vertical="center" wrapText="1"/>
    </xf>
    <xf numFmtId="49" fontId="36" fillId="0" borderId="4" xfId="9" applyNumberFormat="1" applyFont="1" applyFill="1" applyBorder="1" applyAlignment="1">
      <alignment horizontal="center" vertical="center" wrapText="1"/>
    </xf>
    <xf numFmtId="43" fontId="13" fillId="0" borderId="0" xfId="1" applyFont="1" applyAlignment="1">
      <alignment horizontal="center" vertical="center"/>
    </xf>
    <xf numFmtId="49" fontId="36" fillId="0" borderId="3" xfId="9" applyNumberFormat="1" applyFont="1" applyFill="1" applyBorder="1" applyAlignment="1">
      <alignment horizontal="center" vertical="top" wrapText="1"/>
    </xf>
    <xf numFmtId="49" fontId="36" fillId="0" borderId="3" xfId="9" applyNumberFormat="1" applyFont="1" applyFill="1" applyBorder="1" applyAlignment="1">
      <alignment horizontal="center" vertical="center" wrapText="1"/>
    </xf>
    <xf numFmtId="43" fontId="13" fillId="0" borderId="0" xfId="9" applyFont="1" applyFill="1" applyBorder="1" applyAlignment="1">
      <alignment horizontal="center"/>
    </xf>
    <xf numFmtId="0" fontId="13" fillId="0" borderId="3" xfId="8" applyFont="1" applyBorder="1" applyAlignment="1">
      <alignment horizontal="center" vertical="center"/>
    </xf>
    <xf numFmtId="0" fontId="13" fillId="0" borderId="2" xfId="8" applyFont="1" applyBorder="1" applyAlignment="1">
      <alignment horizontal="center" vertical="center"/>
    </xf>
    <xf numFmtId="0" fontId="13" fillId="0" borderId="4" xfId="8" applyFont="1" applyBorder="1" applyAlignment="1">
      <alignment horizontal="center" vertical="center"/>
    </xf>
    <xf numFmtId="0" fontId="3" fillId="0" borderId="0" xfId="8" applyFont="1" applyBorder="1" applyAlignment="1">
      <alignment horizontal="center"/>
    </xf>
    <xf numFmtId="43" fontId="36" fillId="0" borderId="0" xfId="9" applyFont="1" applyFill="1" applyBorder="1" applyAlignment="1">
      <alignment horizontal="center"/>
    </xf>
    <xf numFmtId="0" fontId="13" fillId="0" borderId="0" xfId="8" applyFont="1" applyAlignment="1">
      <alignment horizontal="center" vertical="top"/>
    </xf>
    <xf numFmtId="0" fontId="3" fillId="0" borderId="0" xfId="8" applyAlignment="1">
      <alignment horizontal="center"/>
    </xf>
    <xf numFmtId="0" fontId="36" fillId="0" borderId="0" xfId="8" applyFont="1" applyAlignment="1">
      <alignment horizontal="center" vertical="top"/>
    </xf>
    <xf numFmtId="0" fontId="36" fillId="0" borderId="0" xfId="8" applyFont="1" applyAlignment="1">
      <alignment horizontal="center"/>
    </xf>
    <xf numFmtId="0" fontId="36" fillId="0" borderId="0" xfId="8" applyFont="1" applyBorder="1" applyAlignment="1">
      <alignment horizontal="center" wrapText="1"/>
    </xf>
    <xf numFmtId="0" fontId="36" fillId="0" borderId="4" xfId="8" applyFont="1" applyBorder="1" applyAlignment="1">
      <alignment horizontal="center"/>
    </xf>
    <xf numFmtId="0" fontId="36" fillId="0" borderId="0" xfId="8" applyFont="1" applyBorder="1" applyAlignment="1">
      <alignment horizontal="center" vertical="center"/>
    </xf>
    <xf numFmtId="0" fontId="36" fillId="0" borderId="2" xfId="8" applyFont="1" applyBorder="1" applyAlignment="1">
      <alignment horizontal="center" vertical="center"/>
    </xf>
    <xf numFmtId="0" fontId="36" fillId="0" borderId="4" xfId="8" applyFont="1" applyBorder="1" applyAlignment="1">
      <alignment horizontal="center" vertical="center"/>
    </xf>
    <xf numFmtId="0" fontId="36" fillId="0" borderId="3" xfId="8" applyFont="1" applyBorder="1" applyAlignment="1">
      <alignment horizontal="center" vertical="center"/>
    </xf>
    <xf numFmtId="0" fontId="36" fillId="0" borderId="19" xfId="8" applyFont="1" applyBorder="1" applyAlignment="1">
      <alignment horizontal="center" vertical="center"/>
    </xf>
    <xf numFmtId="49" fontId="13" fillId="0" borderId="4" xfId="8" applyNumberFormat="1" applyFont="1" applyBorder="1" applyAlignment="1">
      <alignment horizontal="center"/>
    </xf>
    <xf numFmtId="49" fontId="13" fillId="0" borderId="19" xfId="8" applyNumberFormat="1" applyFont="1" applyBorder="1" applyAlignment="1">
      <alignment horizontal="center"/>
    </xf>
    <xf numFmtId="0" fontId="36" fillId="0" borderId="3" xfId="8" applyFont="1" applyFill="1" applyBorder="1" applyAlignment="1">
      <alignment horizontal="center" vertical="top" wrapText="1"/>
    </xf>
    <xf numFmtId="43" fontId="19" fillId="0" borderId="12" xfId="8" quotePrefix="1" applyNumberFormat="1" applyFont="1" applyBorder="1" applyAlignment="1">
      <alignment vertical="center" textRotation="180" wrapText="1"/>
    </xf>
    <xf numFmtId="0" fontId="13" fillId="0" borderId="12" xfId="8" applyFont="1" applyBorder="1"/>
    <xf numFmtId="0" fontId="44" fillId="0" borderId="12" xfId="8" quotePrefix="1" applyFont="1" applyBorder="1" applyAlignment="1">
      <alignment vertical="distributed" textRotation="180"/>
    </xf>
    <xf numFmtId="0" fontId="13" fillId="0" borderId="25" xfId="8" applyFont="1" applyBorder="1"/>
    <xf numFmtId="0" fontId="44" fillId="0" borderId="0" xfId="8" quotePrefix="1" applyFont="1" applyBorder="1" applyAlignment="1">
      <alignment vertical="distributed" textRotation="180"/>
    </xf>
    <xf numFmtId="49" fontId="36" fillId="0" borderId="7" xfId="8" applyNumberFormat="1" applyFont="1" applyBorder="1" applyAlignment="1">
      <alignment horizontal="center" vertical="center"/>
    </xf>
    <xf numFmtId="43" fontId="15" fillId="0" borderId="0" xfId="7" applyFont="1" applyBorder="1" applyAlignment="1">
      <alignment horizontal="center"/>
    </xf>
    <xf numFmtId="0" fontId="16" fillId="0" borderId="0" xfId="0" applyFont="1" applyAlignment="1">
      <alignment horizontal="center"/>
    </xf>
    <xf numFmtId="0" fontId="25" fillId="0" borderId="0" xfId="14" applyFont="1"/>
    <xf numFmtId="0" fontId="25" fillId="0" borderId="0" xfId="14" applyFont="1" applyBorder="1" applyAlignment="1">
      <alignment horizontal="center"/>
    </xf>
    <xf numFmtId="0" fontId="25" fillId="0" borderId="0" xfId="14" applyFont="1" applyBorder="1" applyAlignment="1">
      <alignment horizontal="right"/>
    </xf>
    <xf numFmtId="0" fontId="24" fillId="0" borderId="9" xfId="14" applyFont="1" applyBorder="1"/>
    <xf numFmtId="0" fontId="24" fillId="0" borderId="27" xfId="14" applyFont="1" applyBorder="1"/>
    <xf numFmtId="0" fontId="24" fillId="0" borderId="1" xfId="14" applyFont="1" applyBorder="1" applyAlignment="1">
      <alignment horizontal="right"/>
    </xf>
    <xf numFmtId="0" fontId="24" fillId="0" borderId="26" xfId="14" applyFont="1" applyBorder="1" applyAlignment="1">
      <alignment horizontal="right"/>
    </xf>
    <xf numFmtId="0" fontId="24" fillId="0" borderId="27" xfId="14" applyFont="1" applyBorder="1" applyAlignment="1">
      <alignment horizontal="right"/>
    </xf>
    <xf numFmtId="0" fontId="24" fillId="0" borderId="1" xfId="14" applyFont="1" applyBorder="1"/>
    <xf numFmtId="0" fontId="24" fillId="0" borderId="0" xfId="14" applyFont="1"/>
    <xf numFmtId="0" fontId="24" fillId="0" borderId="2" xfId="14" applyFont="1" applyBorder="1" applyAlignment="1">
      <alignment horizontal="center"/>
    </xf>
    <xf numFmtId="0" fontId="24" fillId="0" borderId="6" xfId="14" applyFont="1" applyBorder="1" applyAlignment="1">
      <alignment horizontal="center"/>
    </xf>
    <xf numFmtId="0" fontId="24" fillId="0" borderId="0" xfId="14" applyFont="1" applyBorder="1" applyAlignment="1">
      <alignment horizontal="center"/>
    </xf>
    <xf numFmtId="0" fontId="24" fillId="0" borderId="0" xfId="14" applyFont="1" applyAlignment="1">
      <alignment horizontal="center"/>
    </xf>
    <xf numFmtId="0" fontId="24" fillId="0" borderId="7" xfId="14" applyFont="1" applyBorder="1"/>
    <xf numFmtId="0" fontId="24" fillId="0" borderId="12" xfId="14" applyFont="1" applyBorder="1"/>
    <xf numFmtId="0" fontId="24" fillId="0" borderId="3" xfId="14" applyFont="1" applyBorder="1" applyAlignment="1">
      <alignment horizontal="right"/>
    </xf>
    <xf numFmtId="0" fontId="24" fillId="0" borderId="25" xfId="14" applyFont="1" applyBorder="1" applyAlignment="1">
      <alignment horizontal="right"/>
    </xf>
    <xf numFmtId="0" fontId="24" fillId="0" borderId="12" xfId="14" applyFont="1" applyBorder="1" applyAlignment="1">
      <alignment horizontal="right"/>
    </xf>
    <xf numFmtId="0" fontId="24" fillId="0" borderId="3" xfId="14" applyFont="1" applyBorder="1" applyAlignment="1">
      <alignment horizontal="center"/>
    </xf>
    <xf numFmtId="0" fontId="24" fillId="0" borderId="12" xfId="14" applyFont="1" applyBorder="1" applyAlignment="1">
      <alignment horizontal="center"/>
    </xf>
    <xf numFmtId="0" fontId="25" fillId="0" borderId="19" xfId="14" applyFont="1" applyBorder="1" applyAlignment="1">
      <alignment horizontal="left"/>
    </xf>
    <xf numFmtId="0" fontId="25" fillId="0" borderId="15" xfId="14" applyFont="1" applyBorder="1"/>
    <xf numFmtId="43" fontId="25" fillId="0" borderId="4" xfId="14" applyNumberFormat="1" applyFont="1" applyBorder="1" applyAlignment="1">
      <alignment horizontal="right"/>
    </xf>
    <xf numFmtId="43" fontId="25" fillId="0" borderId="40" xfId="14" applyNumberFormat="1" applyFont="1" applyBorder="1" applyAlignment="1">
      <alignment horizontal="right"/>
    </xf>
    <xf numFmtId="0" fontId="25" fillId="0" borderId="7" xfId="14" applyFont="1" applyBorder="1"/>
    <xf numFmtId="0" fontId="15" fillId="0" borderId="15" xfId="14" applyFont="1" applyBorder="1"/>
    <xf numFmtId="43" fontId="15" fillId="0" borderId="4" xfId="14" applyNumberFormat="1" applyFont="1" applyBorder="1"/>
    <xf numFmtId="43" fontId="15" fillId="0" borderId="15" xfId="14" applyNumberFormat="1" applyFont="1" applyBorder="1"/>
    <xf numFmtId="0" fontId="25" fillId="0" borderId="19" xfId="14" applyFont="1" applyBorder="1"/>
    <xf numFmtId="43" fontId="25" fillId="0" borderId="4" xfId="14" quotePrefix="1" applyNumberFormat="1" applyFont="1" applyBorder="1" applyAlignment="1">
      <alignment horizontal="center"/>
    </xf>
    <xf numFmtId="43" fontId="15" fillId="0" borderId="40" xfId="14" applyNumberFormat="1" applyFont="1" applyBorder="1"/>
    <xf numFmtId="43" fontId="25" fillId="0" borderId="4" xfId="14" quotePrefix="1" applyNumberFormat="1" applyFont="1" applyBorder="1" applyAlignment="1">
      <alignment horizontal="right"/>
    </xf>
    <xf numFmtId="0" fontId="15" fillId="0" borderId="27" xfId="14" applyFont="1" applyBorder="1"/>
    <xf numFmtId="43" fontId="15" fillId="0" borderId="1" xfId="14" applyNumberFormat="1" applyFont="1" applyBorder="1"/>
    <xf numFmtId="43" fontId="15" fillId="0" borderId="27" xfId="14" applyNumberFormat="1" applyFont="1" applyBorder="1"/>
    <xf numFmtId="0" fontId="25" fillId="0" borderId="62" xfId="14" applyFont="1" applyBorder="1"/>
    <xf numFmtId="0" fontId="25" fillId="0" borderId="13" xfId="14" applyFont="1" applyBorder="1"/>
    <xf numFmtId="43" fontId="25" fillId="0" borderId="8" xfId="14" applyNumberFormat="1" applyFont="1" applyBorder="1" applyAlignment="1">
      <alignment horizontal="right"/>
    </xf>
    <xf numFmtId="43" fontId="25" fillId="0" borderId="63" xfId="14" applyNumberFormat="1" applyFont="1" applyBorder="1" applyAlignment="1">
      <alignment horizontal="right"/>
    </xf>
    <xf numFmtId="43" fontId="25" fillId="0" borderId="13" xfId="14" applyNumberFormat="1" applyFont="1" applyBorder="1" applyAlignment="1">
      <alignment horizontal="right"/>
    </xf>
    <xf numFmtId="0" fontId="25" fillId="0" borderId="12" xfId="14" applyFont="1" applyBorder="1"/>
    <xf numFmtId="4" fontId="25" fillId="0" borderId="3" xfId="14" applyNumberFormat="1" applyFont="1" applyBorder="1" applyAlignment="1">
      <alignment horizontal="right"/>
    </xf>
    <xf numFmtId="4" fontId="25" fillId="0" borderId="25" xfId="14" applyNumberFormat="1" applyFont="1" applyBorder="1" applyAlignment="1">
      <alignment horizontal="right"/>
    </xf>
    <xf numFmtId="4" fontId="25" fillId="0" borderId="12" xfId="14" applyNumberFormat="1" applyFont="1" applyBorder="1" applyAlignment="1">
      <alignment horizontal="right"/>
    </xf>
    <xf numFmtId="4" fontId="25" fillId="0" borderId="3" xfId="14" applyNumberFormat="1" applyFont="1" applyBorder="1"/>
    <xf numFmtId="4" fontId="25" fillId="0" borderId="12" xfId="14" applyNumberFormat="1" applyFont="1" applyBorder="1"/>
    <xf numFmtId="4" fontId="25" fillId="0" borderId="0" xfId="14" applyNumberFormat="1" applyFont="1" applyBorder="1" applyAlignment="1">
      <alignment horizontal="right"/>
    </xf>
    <xf numFmtId="4" fontId="25" fillId="0" borderId="0" xfId="14" applyNumberFormat="1" applyFont="1" applyAlignment="1">
      <alignment horizontal="right"/>
    </xf>
    <xf numFmtId="4" fontId="25" fillId="0" borderId="0" xfId="14" applyNumberFormat="1" applyFont="1" applyBorder="1"/>
    <xf numFmtId="4" fontId="25" fillId="0" borderId="0" xfId="14" applyNumberFormat="1" applyFont="1"/>
    <xf numFmtId="4" fontId="25" fillId="0" borderId="15" xfId="14" applyNumberFormat="1" applyFont="1" applyBorder="1"/>
    <xf numFmtId="0" fontId="24" fillId="0" borderId="9" xfId="14" applyFont="1" applyBorder="1" applyAlignment="1">
      <alignment horizontal="center"/>
    </xf>
    <xf numFmtId="0" fontId="24" fillId="0" borderId="26" xfId="14" applyFont="1" applyBorder="1" applyAlignment="1">
      <alignment horizontal="center"/>
    </xf>
    <xf numFmtId="0" fontId="24" fillId="0" borderId="27" xfId="14" applyFont="1" applyBorder="1" applyAlignment="1">
      <alignment horizontal="center"/>
    </xf>
    <xf numFmtId="0" fontId="24" fillId="0" borderId="1" xfId="14" applyFont="1" applyBorder="1" applyAlignment="1">
      <alignment horizontal="center"/>
    </xf>
    <xf numFmtId="0" fontId="24" fillId="0" borderId="7" xfId="14" applyFont="1" applyBorder="1" applyAlignment="1">
      <alignment horizontal="center"/>
    </xf>
    <xf numFmtId="0" fontId="24" fillId="0" borderId="25" xfId="14" applyFont="1" applyBorder="1" applyAlignment="1">
      <alignment horizontal="center"/>
    </xf>
    <xf numFmtId="0" fontId="25" fillId="0" borderId="9" xfId="14" applyFont="1" applyBorder="1"/>
    <xf numFmtId="0" fontId="25" fillId="0" borderId="26" xfId="14" applyFont="1" applyBorder="1"/>
    <xf numFmtId="43" fontId="25" fillId="0" borderId="0" xfId="14" applyNumberFormat="1" applyFont="1" applyBorder="1" applyAlignment="1">
      <alignment horizontal="right"/>
    </xf>
    <xf numFmtId="43" fontId="25" fillId="0" borderId="2" xfId="14" applyNumberFormat="1" applyFont="1" applyBorder="1" applyAlignment="1">
      <alignment horizontal="right"/>
    </xf>
    <xf numFmtId="43" fontId="25" fillId="0" borderId="2" xfId="14" applyNumberFormat="1" applyFont="1" applyBorder="1"/>
    <xf numFmtId="43" fontId="25" fillId="0" borderId="0" xfId="14" applyNumberFormat="1" applyFont="1" applyBorder="1"/>
    <xf numFmtId="43" fontId="25" fillId="0" borderId="6" xfId="14" applyNumberFormat="1" applyFont="1" applyBorder="1"/>
    <xf numFmtId="43" fontId="25" fillId="0" borderId="4" xfId="14" applyNumberFormat="1" applyFont="1" applyBorder="1" applyAlignment="1"/>
    <xf numFmtId="43" fontId="25" fillId="0" borderId="0" xfId="14" applyNumberFormat="1" applyFont="1"/>
    <xf numFmtId="0" fontId="25" fillId="0" borderId="4" xfId="14" applyFont="1" applyBorder="1"/>
    <xf numFmtId="0" fontId="25" fillId="0" borderId="4" xfId="14" applyFont="1" applyBorder="1" applyAlignment="1">
      <alignment horizontal="right"/>
    </xf>
    <xf numFmtId="43" fontId="25" fillId="3" borderId="4" xfId="14" applyNumberFormat="1" applyFont="1" applyFill="1" applyBorder="1" applyAlignment="1"/>
    <xf numFmtId="43" fontId="25" fillId="0" borderId="4" xfId="14" quotePrefix="1" applyNumberFormat="1" applyFont="1" applyBorder="1" applyAlignment="1"/>
    <xf numFmtId="0" fontId="25" fillId="0" borderId="40" xfId="14" applyFont="1" applyBorder="1"/>
    <xf numFmtId="0" fontId="25" fillId="0" borderId="25" xfId="14" applyFont="1" applyBorder="1"/>
    <xf numFmtId="43" fontId="25" fillId="0" borderId="12" xfId="14" applyNumberFormat="1" applyFont="1" applyBorder="1" applyAlignment="1">
      <alignment horizontal="right"/>
    </xf>
    <xf numFmtId="43" fontId="25" fillId="0" borderId="3" xfId="14" applyNumberFormat="1" applyFont="1" applyBorder="1" applyAlignment="1">
      <alignment horizontal="right"/>
    </xf>
    <xf numFmtId="43" fontId="25" fillId="0" borderId="3" xfId="14" applyNumberFormat="1" applyFont="1" applyBorder="1"/>
    <xf numFmtId="43" fontId="25" fillId="0" borderId="12" xfId="14" applyNumberFormat="1" applyFont="1" applyBorder="1"/>
    <xf numFmtId="43" fontId="25" fillId="0" borderId="25" xfId="14" applyNumberFormat="1" applyFont="1" applyBorder="1"/>
    <xf numFmtId="0" fontId="25" fillId="0" borderId="0" xfId="14" applyFont="1" applyAlignment="1">
      <alignment horizontal="right"/>
    </xf>
    <xf numFmtId="0" fontId="15" fillId="0" borderId="0" xfId="6" applyFont="1"/>
    <xf numFmtId="0" fontId="15" fillId="0" borderId="0" xfId="6" applyFont="1" applyAlignment="1">
      <alignment horizontal="left"/>
    </xf>
    <xf numFmtId="0" fontId="16" fillId="0" borderId="20" xfId="6" applyFont="1" applyBorder="1" applyAlignment="1">
      <alignment horizontal="center"/>
    </xf>
    <xf numFmtId="0" fontId="16" fillId="0" borderId="28" xfId="6" applyFont="1" applyBorder="1" applyAlignment="1">
      <alignment horizontal="center" wrapText="1"/>
    </xf>
    <xf numFmtId="0" fontId="16" fillId="0" borderId="17" xfId="6" applyFont="1" applyBorder="1" applyAlignment="1">
      <alignment horizontal="center" wrapText="1"/>
    </xf>
    <xf numFmtId="0" fontId="16" fillId="4" borderId="28" xfId="6" applyFont="1" applyFill="1" applyBorder="1" applyAlignment="1">
      <alignment horizontal="center" wrapText="1"/>
    </xf>
    <xf numFmtId="0" fontId="16" fillId="4" borderId="17" xfId="6" applyFont="1" applyFill="1" applyBorder="1" applyAlignment="1">
      <alignment horizontal="center" wrapText="1"/>
    </xf>
    <xf numFmtId="0" fontId="16" fillId="3" borderId="28" xfId="6" applyFont="1" applyFill="1" applyBorder="1" applyAlignment="1">
      <alignment horizontal="center" wrapText="1"/>
    </xf>
    <xf numFmtId="0" fontId="16" fillId="3" borderId="17" xfId="6" applyFont="1" applyFill="1" applyBorder="1" applyAlignment="1">
      <alignment horizontal="center" wrapText="1"/>
    </xf>
    <xf numFmtId="0" fontId="16" fillId="0" borderId="21" xfId="6" applyFont="1" applyBorder="1" applyAlignment="1">
      <alignment horizontal="center" wrapText="1"/>
    </xf>
    <xf numFmtId="0" fontId="16" fillId="0" borderId="0" xfId="6" applyFont="1"/>
    <xf numFmtId="0" fontId="15" fillId="0" borderId="0" xfId="6" applyFont="1" applyAlignment="1">
      <alignment horizontal="right"/>
    </xf>
    <xf numFmtId="0" fontId="15" fillId="0" borderId="23" xfId="6" applyFont="1" applyBorder="1" applyAlignment="1">
      <alignment horizontal="center"/>
    </xf>
    <xf numFmtId="0" fontId="15" fillId="0" borderId="30" xfId="6" applyFont="1" applyBorder="1" applyAlignment="1">
      <alignment horizontal="center"/>
    </xf>
    <xf numFmtId="0" fontId="15" fillId="0" borderId="14" xfId="6" applyFont="1" applyBorder="1" applyAlignment="1">
      <alignment horizontal="center" wrapText="1"/>
    </xf>
    <xf numFmtId="0" fontId="15" fillId="4" borderId="30" xfId="6" applyFont="1" applyFill="1" applyBorder="1" applyAlignment="1">
      <alignment horizontal="center" wrapText="1"/>
    </xf>
    <xf numFmtId="0" fontId="15" fillId="4" borderId="14" xfId="6" applyFont="1" applyFill="1" applyBorder="1" applyAlignment="1">
      <alignment horizontal="center" wrapText="1"/>
    </xf>
    <xf numFmtId="0" fontId="15" fillId="3" borderId="30" xfId="6" applyFont="1" applyFill="1" applyBorder="1" applyAlignment="1">
      <alignment horizontal="center" wrapText="1"/>
    </xf>
    <xf numFmtId="0" fontId="15" fillId="3" borderId="14" xfId="6" applyFont="1" applyFill="1" applyBorder="1" applyAlignment="1">
      <alignment horizontal="center" wrapText="1"/>
    </xf>
    <xf numFmtId="0" fontId="15" fillId="0" borderId="30" xfId="6" applyFont="1" applyBorder="1" applyAlignment="1">
      <alignment horizontal="center" wrapText="1"/>
    </xf>
    <xf numFmtId="0" fontId="15" fillId="0" borderId="24" xfId="6" applyFont="1" applyBorder="1" applyAlignment="1">
      <alignment horizontal="center" wrapText="1"/>
    </xf>
    <xf numFmtId="0" fontId="15" fillId="0" borderId="3" xfId="6" applyFont="1" applyBorder="1"/>
    <xf numFmtId="0" fontId="15" fillId="0" borderId="3" xfId="6" applyFont="1" applyBorder="1" applyAlignment="1">
      <alignment horizontal="center"/>
    </xf>
    <xf numFmtId="43" fontId="15" fillId="0" borderId="4" xfId="6" applyNumberFormat="1" applyFont="1" applyBorder="1" applyAlignment="1"/>
    <xf numFmtId="43" fontId="15" fillId="0" borderId="3" xfId="6" applyNumberFormat="1" applyFont="1" applyBorder="1" applyAlignment="1"/>
    <xf numFmtId="43" fontId="15" fillId="0" borderId="3" xfId="6" applyNumberFormat="1" applyFont="1" applyBorder="1" applyAlignment="1">
      <alignment horizontal="right"/>
    </xf>
    <xf numFmtId="0" fontId="16" fillId="0" borderId="0" xfId="6" applyFont="1" applyAlignment="1"/>
    <xf numFmtId="0" fontId="16" fillId="0" borderId="0" xfId="6" applyFont="1" applyAlignment="1">
      <alignment horizontal="center"/>
    </xf>
    <xf numFmtId="0" fontId="15" fillId="0" borderId="4" xfId="6" applyFont="1" applyBorder="1"/>
    <xf numFmtId="0" fontId="15" fillId="0" borderId="4" xfId="6" applyFont="1" applyBorder="1" applyAlignment="1">
      <alignment horizontal="center"/>
    </xf>
    <xf numFmtId="43" fontId="15" fillId="0" borderId="4" xfId="6" applyNumberFormat="1" applyFont="1" applyBorder="1" applyAlignment="1">
      <alignment horizontal="right"/>
    </xf>
    <xf numFmtId="0" fontId="16" fillId="0" borderId="0" xfId="6" applyFont="1" applyBorder="1" applyAlignment="1"/>
    <xf numFmtId="0" fontId="15" fillId="0" borderId="20" xfId="6" applyFont="1" applyBorder="1"/>
    <xf numFmtId="0" fontId="15" fillId="0" borderId="17" xfId="6" applyFont="1" applyBorder="1"/>
    <xf numFmtId="0" fontId="15" fillId="0" borderId="28" xfId="6" applyFont="1" applyBorder="1" applyAlignment="1">
      <alignment horizontal="center" wrapText="1"/>
    </xf>
    <xf numFmtId="0" fontId="15" fillId="0" borderId="22" xfId="6" applyFont="1" applyBorder="1"/>
    <xf numFmtId="0" fontId="15" fillId="0" borderId="0" xfId="6" applyFont="1" applyBorder="1"/>
    <xf numFmtId="0" fontId="16" fillId="0" borderId="29" xfId="6" applyFont="1" applyBorder="1" applyAlignment="1">
      <alignment horizontal="center" wrapText="1"/>
    </xf>
    <xf numFmtId="0" fontId="16" fillId="0" borderId="22" xfId="6" applyFont="1" applyBorder="1" applyAlignment="1">
      <alignment horizontal="center"/>
    </xf>
    <xf numFmtId="0" fontId="15" fillId="0" borderId="29" xfId="6" applyFont="1" applyBorder="1" applyAlignment="1">
      <alignment horizontal="center" wrapText="1"/>
    </xf>
    <xf numFmtId="0" fontId="15" fillId="0" borderId="0" xfId="6" applyFont="1" applyAlignment="1">
      <alignment horizontal="center"/>
    </xf>
    <xf numFmtId="0" fontId="15" fillId="0" borderId="14" xfId="6" applyFont="1" applyBorder="1" applyAlignment="1">
      <alignment horizontal="center"/>
    </xf>
    <xf numFmtId="0" fontId="15" fillId="0" borderId="14" xfId="6" applyFont="1" applyBorder="1"/>
    <xf numFmtId="0" fontId="15" fillId="0" borderId="1" xfId="6" applyFont="1" applyBorder="1"/>
    <xf numFmtId="0" fontId="15" fillId="0" borderId="1" xfId="6" applyFont="1" applyBorder="1" applyAlignment="1">
      <alignment horizontal="center"/>
    </xf>
    <xf numFmtId="43" fontId="15" fillId="0" borderId="1" xfId="6" applyNumberFormat="1" applyFont="1" applyBorder="1" applyAlignment="1"/>
    <xf numFmtId="0" fontId="16" fillId="0" borderId="65" xfId="6" applyFont="1" applyBorder="1"/>
    <xf numFmtId="0" fontId="16" fillId="0" borderId="49" xfId="6" applyFont="1" applyBorder="1" applyAlignment="1">
      <alignment horizontal="center"/>
    </xf>
    <xf numFmtId="43" fontId="16" fillId="0" borderId="49" xfId="6" applyNumberFormat="1" applyFont="1" applyBorder="1" applyAlignment="1"/>
    <xf numFmtId="43" fontId="16" fillId="0" borderId="50" xfId="6" applyNumberFormat="1" applyFont="1" applyBorder="1" applyAlignment="1"/>
    <xf numFmtId="0" fontId="16" fillId="0" borderId="51" xfId="6" applyFont="1" applyBorder="1" applyAlignment="1">
      <alignment horizontal="center"/>
    </xf>
    <xf numFmtId="0" fontId="15" fillId="0" borderId="54" xfId="6" applyFont="1" applyBorder="1"/>
    <xf numFmtId="0" fontId="16" fillId="0" borderId="4" xfId="6" applyFont="1" applyBorder="1"/>
    <xf numFmtId="49" fontId="16" fillId="0" borderId="19" xfId="6" applyNumberFormat="1" applyFont="1" applyBorder="1" applyAlignment="1">
      <alignment horizontal="center"/>
    </xf>
    <xf numFmtId="0" fontId="15" fillId="0" borderId="15" xfId="6" applyFont="1" applyBorder="1"/>
    <xf numFmtId="0" fontId="15" fillId="0" borderId="40" xfId="6" applyFont="1" applyBorder="1"/>
    <xf numFmtId="43" fontId="16" fillId="0" borderId="4" xfId="6" applyNumberFormat="1" applyFont="1" applyBorder="1" applyAlignment="1"/>
    <xf numFmtId="0" fontId="16" fillId="0" borderId="45" xfId="6" applyFont="1" applyBorder="1"/>
    <xf numFmtId="49" fontId="16" fillId="0" borderId="51" xfId="6" applyNumberFormat="1" applyFont="1" applyBorder="1" applyAlignment="1">
      <alignment horizontal="center"/>
    </xf>
    <xf numFmtId="43" fontId="16" fillId="0" borderId="66" xfId="6" applyNumberFormat="1" applyFont="1" applyBorder="1"/>
    <xf numFmtId="0" fontId="16" fillId="0" borderId="0" xfId="6" applyFont="1" applyBorder="1"/>
    <xf numFmtId="49" fontId="16" fillId="0" borderId="0" xfId="6" applyNumberFormat="1" applyFont="1" applyBorder="1" applyAlignment="1">
      <alignment horizontal="center"/>
    </xf>
    <xf numFmtId="43" fontId="16" fillId="0" borderId="0" xfId="6" applyNumberFormat="1" applyFont="1" applyBorder="1"/>
    <xf numFmtId="43" fontId="15" fillId="0" borderId="4" xfId="6" quotePrefix="1" applyNumberFormat="1" applyFont="1" applyBorder="1" applyAlignment="1">
      <alignment horizontal="center"/>
    </xf>
    <xf numFmtId="49" fontId="15" fillId="0" borderId="4" xfId="6" applyNumberFormat="1" applyFont="1" applyBorder="1" applyAlignment="1">
      <alignment horizontal="center"/>
    </xf>
    <xf numFmtId="43" fontId="15" fillId="0" borderId="0" xfId="6" applyNumberFormat="1" applyFont="1"/>
    <xf numFmtId="0" fontId="16" fillId="0" borderId="0" xfId="6" applyFont="1" applyAlignment="1">
      <alignment horizontal="left"/>
    </xf>
    <xf numFmtId="49" fontId="15" fillId="0" borderId="1" xfId="6" applyNumberFormat="1" applyFont="1" applyBorder="1" applyAlignment="1">
      <alignment horizontal="center"/>
    </xf>
    <xf numFmtId="43" fontId="15" fillId="0" borderId="1" xfId="6" applyNumberFormat="1" applyFont="1" applyBorder="1" applyAlignment="1">
      <alignment horizontal="right"/>
    </xf>
    <xf numFmtId="49" fontId="16" fillId="0" borderId="49" xfId="6" applyNumberFormat="1" applyFont="1" applyBorder="1" applyAlignment="1">
      <alignment horizontal="center"/>
    </xf>
    <xf numFmtId="0" fontId="15" fillId="0" borderId="3" xfId="6" applyFont="1" applyBorder="1" applyAlignment="1">
      <alignment horizontal="left"/>
    </xf>
    <xf numFmtId="0" fontId="15" fillId="0" borderId="4" xfId="6" applyFont="1" applyBorder="1" applyAlignment="1">
      <alignment horizontal="left"/>
    </xf>
    <xf numFmtId="0" fontId="15" fillId="0" borderId="0" xfId="6" applyFont="1" applyAlignment="1"/>
    <xf numFmtId="0" fontId="15" fillId="0" borderId="67" xfId="6" applyFont="1" applyBorder="1"/>
    <xf numFmtId="0" fontId="15" fillId="0" borderId="0" xfId="6" applyFont="1" applyBorder="1" applyAlignment="1">
      <alignment horizontal="left"/>
    </xf>
    <xf numFmtId="0" fontId="15" fillId="0" borderId="0" xfId="6" applyFont="1" applyBorder="1" applyAlignment="1">
      <alignment horizontal="center"/>
    </xf>
    <xf numFmtId="43" fontId="15" fillId="0" borderId="0" xfId="6" applyNumberFormat="1" applyFont="1" applyBorder="1" applyAlignment="1"/>
    <xf numFmtId="43" fontId="15" fillId="0" borderId="0" xfId="6" applyNumberFormat="1" applyFont="1" applyBorder="1" applyAlignment="1">
      <alignment horizontal="right"/>
    </xf>
    <xf numFmtId="49" fontId="16" fillId="4" borderId="28" xfId="6" applyNumberFormat="1" applyFont="1" applyFill="1" applyBorder="1" applyAlignment="1">
      <alignment horizontal="center" wrapText="1"/>
    </xf>
    <xf numFmtId="0" fontId="15" fillId="3" borderId="4" xfId="6" applyFont="1" applyFill="1" applyBorder="1" applyAlignment="1">
      <alignment horizontal="left"/>
    </xf>
    <xf numFmtId="0" fontId="15" fillId="3" borderId="4" xfId="6" applyFont="1" applyFill="1" applyBorder="1" applyAlignment="1">
      <alignment horizontal="center"/>
    </xf>
    <xf numFmtId="43" fontId="15" fillId="3" borderId="4" xfId="6" applyNumberFormat="1" applyFont="1" applyFill="1" applyBorder="1" applyAlignment="1"/>
    <xf numFmtId="43" fontId="15" fillId="3" borderId="4" xfId="6" applyNumberFormat="1" applyFont="1" applyFill="1" applyBorder="1" applyAlignment="1">
      <alignment horizontal="right"/>
    </xf>
    <xf numFmtId="0" fontId="15" fillId="5" borderId="0" xfId="6" applyFont="1" applyFill="1"/>
    <xf numFmtId="0" fontId="15" fillId="0" borderId="1" xfId="6" applyFont="1" applyBorder="1" applyAlignment="1">
      <alignment horizontal="left"/>
    </xf>
    <xf numFmtId="0" fontId="16" fillId="0" borderId="45" xfId="6" applyFont="1" applyBorder="1" applyAlignment="1">
      <alignment horizontal="left"/>
    </xf>
    <xf numFmtId="43" fontId="16" fillId="0" borderId="49" xfId="6" applyNumberFormat="1" applyFont="1" applyBorder="1"/>
    <xf numFmtId="43" fontId="16" fillId="0" borderId="0" xfId="6" applyNumberFormat="1" applyFont="1"/>
    <xf numFmtId="43" fontId="25" fillId="0" borderId="0" xfId="14" applyNumberFormat="1" applyFont="1" applyAlignment="1">
      <alignment horizontal="right"/>
    </xf>
    <xf numFmtId="0" fontId="16" fillId="0" borderId="62" xfId="14" applyFont="1" applyBorder="1"/>
    <xf numFmtId="0" fontId="16" fillId="0" borderId="63" xfId="14" applyFont="1" applyBorder="1"/>
    <xf numFmtId="43" fontId="16" fillId="0" borderId="8" xfId="14" applyNumberFormat="1" applyFont="1" applyBorder="1" applyAlignment="1"/>
    <xf numFmtId="43" fontId="16" fillId="0" borderId="0" xfId="14" applyNumberFormat="1" applyFont="1"/>
    <xf numFmtId="0" fontId="16" fillId="0" borderId="0" xfId="14" applyFont="1"/>
    <xf numFmtId="0" fontId="25" fillId="0" borderId="0" xfId="6" applyFont="1" applyAlignment="1">
      <alignment horizontal="center"/>
    </xf>
    <xf numFmtId="0" fontId="66" fillId="0" borderId="0" xfId="6" applyFont="1"/>
    <xf numFmtId="0" fontId="66" fillId="0" borderId="0" xfId="6" applyFont="1" applyAlignment="1">
      <alignment horizontal="center"/>
    </xf>
    <xf numFmtId="40" fontId="66" fillId="0" borderId="0" xfId="6" applyNumberFormat="1" applyFont="1"/>
    <xf numFmtId="0" fontId="26" fillId="0" borderId="0" xfId="6" applyFont="1" applyAlignment="1">
      <alignment horizontal="left" vertical="justify" wrapText="1"/>
    </xf>
    <xf numFmtId="0" fontId="66" fillId="0" borderId="0" xfId="6" quotePrefix="1" applyFont="1"/>
    <xf numFmtId="0" fontId="66" fillId="0" borderId="0" xfId="6" applyFont="1" applyAlignment="1"/>
    <xf numFmtId="0" fontId="66" fillId="0" borderId="9" xfId="6" applyFont="1" applyBorder="1"/>
    <xf numFmtId="0" fontId="66" fillId="0" borderId="27" xfId="6" applyFont="1" applyBorder="1"/>
    <xf numFmtId="0" fontId="66" fillId="0" borderId="27" xfId="6" quotePrefix="1" applyFont="1" applyBorder="1"/>
    <xf numFmtId="0" fontId="66" fillId="0" borderId="27" xfId="6" applyFont="1" applyBorder="1" applyAlignment="1">
      <alignment horizontal="center"/>
    </xf>
    <xf numFmtId="40" fontId="66" fillId="0" borderId="27" xfId="6" applyNumberFormat="1" applyFont="1" applyBorder="1"/>
    <xf numFmtId="0" fontId="66" fillId="0" borderId="26" xfId="6" applyFont="1" applyBorder="1"/>
    <xf numFmtId="0" fontId="68" fillId="0" borderId="5" xfId="6" applyFont="1" applyBorder="1"/>
    <xf numFmtId="0" fontId="66" fillId="0" borderId="0" xfId="6" applyFont="1" applyBorder="1"/>
    <xf numFmtId="0" fontId="66" fillId="0" borderId="0" xfId="6" quotePrefix="1" applyFont="1" applyBorder="1"/>
    <xf numFmtId="0" fontId="66" fillId="0" borderId="0" xfId="6" applyFont="1" applyBorder="1" applyAlignment="1">
      <alignment horizontal="center"/>
    </xf>
    <xf numFmtId="40" fontId="66" fillId="0" borderId="0" xfId="6" applyNumberFormat="1" applyFont="1" applyBorder="1"/>
    <xf numFmtId="0" fontId="66" fillId="0" borderId="6" xfId="6" applyFont="1" applyBorder="1"/>
    <xf numFmtId="0" fontId="66" fillId="0" borderId="7" xfId="6" applyFont="1" applyBorder="1"/>
    <xf numFmtId="0" fontId="66" fillId="0" borderId="12" xfId="6" applyFont="1" applyBorder="1"/>
    <xf numFmtId="0" fontId="66" fillId="0" borderId="12" xfId="6" quotePrefix="1" applyFont="1" applyBorder="1"/>
    <xf numFmtId="0" fontId="66" fillId="0" borderId="12" xfId="6" applyFont="1" applyBorder="1" applyAlignment="1">
      <alignment horizontal="center"/>
    </xf>
    <xf numFmtId="40" fontId="66" fillId="0" borderId="12" xfId="6" applyNumberFormat="1" applyFont="1" applyBorder="1"/>
    <xf numFmtId="0" fontId="66" fillId="0" borderId="25" xfId="6" applyFont="1" applyBorder="1"/>
    <xf numFmtId="0" fontId="68" fillId="0" borderId="0" xfId="6" applyFont="1" applyAlignment="1">
      <alignment horizontal="justify" vertical="justify" wrapText="1"/>
    </xf>
    <xf numFmtId="0" fontId="66" fillId="0" borderId="0" xfId="6" applyFont="1" applyAlignment="1">
      <alignment horizontal="center" vertical="justify" wrapText="1"/>
    </xf>
    <xf numFmtId="0" fontId="66" fillId="0" borderId="0" xfId="6" applyFont="1" applyAlignment="1">
      <alignment vertical="justify" wrapText="1"/>
    </xf>
    <xf numFmtId="0" fontId="66" fillId="0" borderId="0" xfId="6" applyFont="1" applyAlignment="1">
      <alignment horizontal="justify" vertical="top" wrapText="1"/>
    </xf>
    <xf numFmtId="0" fontId="66" fillId="0" borderId="0" xfId="6" quotePrefix="1" applyFont="1" applyAlignment="1">
      <alignment horizontal="left" vertical="justify" wrapText="1"/>
    </xf>
    <xf numFmtId="0" fontId="66" fillId="0" borderId="0" xfId="6" quotePrefix="1" applyFont="1" applyAlignment="1">
      <alignment horizontal="center"/>
    </xf>
    <xf numFmtId="0" fontId="26" fillId="0" borderId="0" xfId="6" applyFont="1" applyAlignment="1">
      <alignment vertical="justify" wrapText="1"/>
    </xf>
    <xf numFmtId="0" fontId="26" fillId="0" borderId="0" xfId="6" applyFont="1" applyAlignment="1">
      <alignment horizontal="center"/>
    </xf>
    <xf numFmtId="40" fontId="26" fillId="0" borderId="0" xfId="6" applyNumberFormat="1" applyFont="1"/>
    <xf numFmtId="0" fontId="26" fillId="0" borderId="0" xfId="0" applyFont="1"/>
    <xf numFmtId="0" fontId="26" fillId="0" borderId="0" xfId="0" applyFont="1" applyAlignment="1">
      <alignment horizontal="center"/>
    </xf>
    <xf numFmtId="0" fontId="25" fillId="0" borderId="0" xfId="0" applyFont="1"/>
    <xf numFmtId="40" fontId="26" fillId="0" borderId="0" xfId="0" applyNumberFormat="1" applyFont="1"/>
    <xf numFmtId="0" fontId="26" fillId="0" borderId="0" xfId="0" quotePrefix="1" applyFont="1"/>
    <xf numFmtId="0" fontId="15" fillId="3" borderId="4" xfId="16" applyFont="1" applyFill="1" applyBorder="1" applyAlignment="1">
      <alignment horizontal="center"/>
    </xf>
    <xf numFmtId="0" fontId="4" fillId="0" borderId="0" xfId="6" applyFont="1"/>
    <xf numFmtId="0" fontId="26" fillId="0" borderId="0" xfId="6" quotePrefix="1" applyFont="1"/>
    <xf numFmtId="0" fontId="5" fillId="0" borderId="20" xfId="6" applyFont="1" applyBorder="1"/>
    <xf numFmtId="0" fontId="5" fillId="0" borderId="17" xfId="6" applyFont="1" applyBorder="1"/>
    <xf numFmtId="0" fontId="5" fillId="0" borderId="33" xfId="6" applyFont="1" applyBorder="1" applyAlignment="1">
      <alignment horizontal="center"/>
    </xf>
    <xf numFmtId="0" fontId="55" fillId="0" borderId="33" xfId="6" applyFont="1" applyBorder="1" applyAlignment="1">
      <alignment horizontal="center"/>
    </xf>
    <xf numFmtId="0" fontId="55" fillId="0" borderId="21" xfId="6" applyFont="1" applyBorder="1" applyAlignment="1"/>
    <xf numFmtId="0" fontId="5" fillId="0" borderId="0" xfId="6" applyFont="1"/>
    <xf numFmtId="0" fontId="55" fillId="0" borderId="2" xfId="6" applyFont="1" applyBorder="1" applyAlignment="1">
      <alignment horizontal="center"/>
    </xf>
    <xf numFmtId="0" fontId="6" fillId="0" borderId="2" xfId="6" applyFont="1" applyBorder="1" applyAlignment="1">
      <alignment horizontal="center"/>
    </xf>
    <xf numFmtId="0" fontId="55" fillId="0" borderId="35" xfId="6" applyFont="1" applyBorder="1" applyAlignment="1">
      <alignment horizontal="center"/>
    </xf>
    <xf numFmtId="0" fontId="5" fillId="0" borderId="22" xfId="6" applyFont="1" applyBorder="1"/>
    <xf numFmtId="0" fontId="5" fillId="0" borderId="0" xfId="6" applyFont="1" applyBorder="1"/>
    <xf numFmtId="0" fontId="5" fillId="0" borderId="2" xfId="6" applyFont="1" applyBorder="1" applyAlignment="1">
      <alignment horizontal="center"/>
    </xf>
    <xf numFmtId="0" fontId="55" fillId="0" borderId="2" xfId="6" quotePrefix="1" applyFont="1" applyBorder="1" applyAlignment="1">
      <alignment horizontal="center"/>
    </xf>
    <xf numFmtId="40" fontId="55" fillId="0" borderId="2" xfId="6" applyNumberFormat="1" applyFont="1" applyBorder="1" applyAlignment="1">
      <alignment horizontal="center"/>
    </xf>
    <xf numFmtId="0" fontId="55" fillId="0" borderId="35" xfId="6" quotePrefix="1" applyFont="1" applyBorder="1" applyAlignment="1">
      <alignment horizontal="center"/>
    </xf>
    <xf numFmtId="0" fontId="5" fillId="0" borderId="37" xfId="6" applyFont="1" applyBorder="1" applyAlignment="1">
      <alignment horizontal="center"/>
    </xf>
    <xf numFmtId="40" fontId="5" fillId="0" borderId="37" xfId="6" applyNumberFormat="1" applyFont="1" applyBorder="1" applyAlignment="1">
      <alignment horizontal="center"/>
    </xf>
    <xf numFmtId="0" fontId="5" fillId="0" borderId="38" xfId="6" applyFont="1" applyBorder="1" applyAlignment="1">
      <alignment horizontal="center"/>
    </xf>
    <xf numFmtId="0" fontId="55" fillId="0" borderId="46" xfId="6" applyFont="1" applyBorder="1"/>
    <xf numFmtId="0" fontId="55" fillId="0" borderId="47" xfId="6" applyFont="1" applyBorder="1"/>
    <xf numFmtId="0" fontId="5" fillId="0" borderId="53" xfId="6" applyFont="1" applyBorder="1" applyAlignment="1">
      <alignment horizontal="center"/>
    </xf>
    <xf numFmtId="0" fontId="15" fillId="0" borderId="53" xfId="6" applyFont="1" applyBorder="1" applyAlignment="1">
      <alignment horizontal="center"/>
    </xf>
    <xf numFmtId="4" fontId="15" fillId="0" borderId="53" xfId="6" applyNumberFormat="1" applyFont="1" applyBorder="1" applyAlignment="1">
      <alignment horizontal="center"/>
    </xf>
    <xf numFmtId="0" fontId="55" fillId="0" borderId="19" xfId="6" applyFont="1" applyBorder="1"/>
    <xf numFmtId="0" fontId="55" fillId="0" borderId="15" xfId="6" applyFont="1" applyBorder="1"/>
    <xf numFmtId="0" fontId="5" fillId="0" borderId="4" xfId="6" applyFont="1" applyBorder="1" applyAlignment="1">
      <alignment horizontal="center"/>
    </xf>
    <xf numFmtId="4" fontId="15" fillId="0" borderId="4" xfId="6" applyNumberFormat="1" applyFont="1" applyBorder="1" applyAlignment="1">
      <alignment horizontal="center"/>
    </xf>
    <xf numFmtId="43" fontId="59" fillId="0" borderId="4" xfId="6" applyNumberFormat="1" applyFont="1" applyBorder="1" applyAlignment="1">
      <alignment horizontal="right"/>
    </xf>
    <xf numFmtId="0" fontId="5" fillId="0" borderId="19" xfId="6" applyFont="1" applyBorder="1"/>
    <xf numFmtId="0" fontId="5" fillId="0" borderId="15" xfId="6" applyFont="1" applyBorder="1"/>
    <xf numFmtId="0" fontId="5" fillId="0" borderId="4" xfId="6" quotePrefix="1" applyFont="1" applyBorder="1" applyAlignment="1">
      <alignment horizontal="center"/>
    </xf>
    <xf numFmtId="0" fontId="5" fillId="0" borderId="9" xfId="6" applyFont="1" applyBorder="1"/>
    <xf numFmtId="0" fontId="5" fillId="0" borderId="27" xfId="6" applyFont="1" applyBorder="1"/>
    <xf numFmtId="0" fontId="5" fillId="0" borderId="1" xfId="6" quotePrefix="1" applyFont="1" applyBorder="1" applyAlignment="1">
      <alignment horizontal="center"/>
    </xf>
    <xf numFmtId="4" fontId="15" fillId="0" borderId="1" xfId="6" applyNumberFormat="1" applyFont="1" applyBorder="1" applyAlignment="1">
      <alignment horizontal="center"/>
    </xf>
    <xf numFmtId="43" fontId="15" fillId="0" borderId="2" xfId="6" applyNumberFormat="1" applyFont="1" applyBorder="1" applyAlignment="1">
      <alignment horizontal="right"/>
    </xf>
    <xf numFmtId="0" fontId="55" fillId="0" borderId="51" xfId="6" applyFont="1" applyBorder="1"/>
    <xf numFmtId="0" fontId="55" fillId="0" borderId="54" xfId="6" applyFont="1" applyBorder="1"/>
    <xf numFmtId="0" fontId="55" fillId="0" borderId="49" xfId="6" applyFont="1" applyBorder="1" applyAlignment="1">
      <alignment horizontal="center"/>
    </xf>
    <xf numFmtId="4" fontId="16" fillId="0" borderId="49" xfId="6" applyNumberFormat="1" applyFont="1" applyBorder="1" applyAlignment="1">
      <alignment horizontal="center"/>
    </xf>
    <xf numFmtId="43" fontId="16" fillId="0" borderId="49" xfId="6" applyNumberFormat="1" applyFont="1" applyBorder="1" applyAlignment="1">
      <alignment horizontal="right"/>
    </xf>
    <xf numFmtId="40" fontId="16" fillId="0" borderId="49" xfId="6" applyNumberFormat="1" applyFont="1" applyBorder="1" applyAlignment="1">
      <alignment horizontal="right"/>
    </xf>
    <xf numFmtId="0" fontId="7" fillId="0" borderId="0" xfId="6" applyFont="1"/>
    <xf numFmtId="0" fontId="5" fillId="0" borderId="7" xfId="6" applyFont="1" applyBorder="1"/>
    <xf numFmtId="0" fontId="5" fillId="0" borderId="12" xfId="6" applyFont="1" applyBorder="1"/>
    <xf numFmtId="0" fontId="5" fillId="0" borderId="3" xfId="6" applyFont="1" applyBorder="1" applyAlignment="1">
      <alignment horizontal="center"/>
    </xf>
    <xf numFmtId="4" fontId="15" fillId="0" borderId="3" xfId="6" applyNumberFormat="1" applyFont="1" applyBorder="1" applyAlignment="1">
      <alignment horizontal="center"/>
    </xf>
    <xf numFmtId="43" fontId="15" fillId="0" borderId="1" xfId="7" applyNumberFormat="1" applyFont="1" applyBorder="1"/>
    <xf numFmtId="0" fontId="55" fillId="0" borderId="45" xfId="6" applyFont="1" applyBorder="1"/>
    <xf numFmtId="43" fontId="16" fillId="0" borderId="50" xfId="6" applyNumberFormat="1" applyFont="1" applyBorder="1" applyAlignment="1">
      <alignment horizontal="right"/>
    </xf>
    <xf numFmtId="0" fontId="55" fillId="0" borderId="0" xfId="6" applyFont="1" applyBorder="1"/>
    <xf numFmtId="0" fontId="55" fillId="0" borderId="0" xfId="6" applyFont="1" applyBorder="1" applyAlignment="1">
      <alignment horizontal="center"/>
    </xf>
    <xf numFmtId="0" fontId="16" fillId="0" borderId="0" xfId="6" applyFont="1" applyBorder="1" applyAlignment="1">
      <alignment horizontal="center"/>
    </xf>
    <xf numFmtId="4" fontId="16" fillId="0" borderId="0" xfId="6" applyNumberFormat="1" applyFont="1" applyBorder="1" applyAlignment="1">
      <alignment horizontal="center"/>
    </xf>
    <xf numFmtId="43" fontId="16" fillId="0" borderId="0" xfId="6" applyNumberFormat="1" applyFont="1" applyBorder="1" applyAlignment="1">
      <alignment horizontal="right"/>
    </xf>
    <xf numFmtId="40" fontId="16" fillId="0" borderId="0" xfId="6" applyNumberFormat="1" applyFont="1" applyBorder="1" applyAlignment="1">
      <alignment horizontal="right"/>
    </xf>
    <xf numFmtId="0" fontId="4" fillId="0" borderId="0" xfId="6" applyFont="1" applyAlignment="1">
      <alignment horizontal="center"/>
    </xf>
    <xf numFmtId="40" fontId="4" fillId="0" borderId="0" xfId="6" applyNumberFormat="1" applyFont="1"/>
    <xf numFmtId="0" fontId="26" fillId="0" borderId="0" xfId="0" applyFont="1" applyAlignment="1"/>
    <xf numFmtId="0" fontId="30" fillId="0" borderId="0" xfId="0" applyFont="1" applyAlignment="1"/>
    <xf numFmtId="0" fontId="26" fillId="0" borderId="0" xfId="0" quotePrefix="1" applyFont="1" applyAlignment="1"/>
    <xf numFmtId="0" fontId="26" fillId="0" borderId="0" xfId="0" applyFont="1" applyAlignment="1">
      <alignment vertical="justify" wrapText="1"/>
    </xf>
    <xf numFmtId="0" fontId="59" fillId="0" borderId="0" xfId="16" applyFont="1"/>
    <xf numFmtId="0" fontId="15" fillId="0" borderId="0" xfId="16" applyFont="1" applyBorder="1"/>
    <xf numFmtId="0" fontId="16" fillId="0" borderId="0" xfId="16" applyFont="1" applyBorder="1"/>
    <xf numFmtId="0" fontId="15" fillId="0" borderId="0" xfId="16" applyFont="1" applyBorder="1" applyAlignment="1">
      <alignment horizontal="left"/>
    </xf>
    <xf numFmtId="0" fontId="15" fillId="0" borderId="0" xfId="16" applyFont="1" applyBorder="1" applyAlignment="1"/>
    <xf numFmtId="0" fontId="15" fillId="0" borderId="0" xfId="16" applyFont="1" applyBorder="1" applyAlignment="1">
      <alignment horizontal="center"/>
    </xf>
    <xf numFmtId="0" fontId="4" fillId="0" borderId="0" xfId="16" applyFont="1"/>
    <xf numFmtId="0" fontId="15" fillId="0" borderId="0" xfId="16" quotePrefix="1" applyFont="1" applyBorder="1" applyAlignment="1">
      <alignment horizontal="center"/>
    </xf>
    <xf numFmtId="0" fontId="5" fillId="0" borderId="0" xfId="16" applyFont="1" applyBorder="1"/>
    <xf numFmtId="0" fontId="55" fillId="0" borderId="0" xfId="16" applyFont="1" applyBorder="1"/>
    <xf numFmtId="0" fontId="24" fillId="0" borderId="0" xfId="0" applyFont="1" applyAlignment="1">
      <alignment horizontal="center"/>
    </xf>
    <xf numFmtId="0" fontId="16" fillId="0" borderId="0" xfId="16" applyFont="1" applyBorder="1" applyAlignment="1">
      <alignment horizontal="right"/>
    </xf>
    <xf numFmtId="43" fontId="44" fillId="0" borderId="0" xfId="16" quotePrefix="1" applyNumberFormat="1" applyFont="1" applyBorder="1" applyAlignment="1">
      <alignment horizontal="center"/>
    </xf>
    <xf numFmtId="0" fontId="45" fillId="0" borderId="0" xfId="16" applyFont="1"/>
    <xf numFmtId="43" fontId="19" fillId="0" borderId="0" xfId="16" quotePrefix="1" applyNumberFormat="1" applyFont="1" applyBorder="1" applyAlignment="1">
      <alignment horizontal="right"/>
    </xf>
    <xf numFmtId="0" fontId="24" fillId="0" borderId="0" xfId="0" applyFont="1" applyAlignment="1"/>
    <xf numFmtId="0" fontId="15" fillId="0" borderId="0" xfId="16" quotePrefix="1" applyFont="1" applyBorder="1" applyAlignment="1"/>
    <xf numFmtId="0" fontId="25" fillId="0" borderId="0" xfId="6" applyFont="1" applyAlignment="1"/>
    <xf numFmtId="0" fontId="25" fillId="0" borderId="0" xfId="6" quotePrefix="1" applyFont="1" applyAlignment="1"/>
    <xf numFmtId="40" fontId="25" fillId="0" borderId="0" xfId="6" applyNumberFormat="1" applyFont="1"/>
    <xf numFmtId="0" fontId="25" fillId="0" borderId="0" xfId="6" quotePrefix="1" applyFont="1"/>
    <xf numFmtId="0" fontId="16" fillId="0" borderId="27" xfId="6" applyFont="1" applyBorder="1" applyAlignment="1">
      <alignment horizontal="center" vertical="center"/>
    </xf>
    <xf numFmtId="0" fontId="16" fillId="0" borderId="1" xfId="6" applyFont="1" applyBorder="1" applyAlignment="1">
      <alignment horizontal="center" vertical="center"/>
    </xf>
    <xf numFmtId="0" fontId="16" fillId="0" borderId="1" xfId="6" applyFont="1" applyBorder="1" applyAlignment="1">
      <alignment horizontal="center"/>
    </xf>
    <xf numFmtId="0" fontId="16" fillId="0" borderId="12" xfId="6" applyFont="1" applyBorder="1" applyAlignment="1">
      <alignment horizontal="center" vertical="center"/>
    </xf>
    <xf numFmtId="0" fontId="16" fillId="0" borderId="3" xfId="6" applyFont="1" applyBorder="1" applyAlignment="1">
      <alignment horizontal="center" vertical="center"/>
    </xf>
    <xf numFmtId="0" fontId="16" fillId="0" borderId="3" xfId="6" applyFont="1" applyBorder="1" applyAlignment="1">
      <alignment horizontal="center"/>
    </xf>
    <xf numFmtId="0" fontId="15" fillId="0" borderId="19" xfId="6" applyFont="1" applyBorder="1"/>
    <xf numFmtId="43" fontId="15" fillId="0" borderId="4" xfId="6" applyNumberFormat="1" applyFont="1" applyBorder="1"/>
    <xf numFmtId="43" fontId="15" fillId="0" borderId="15" xfId="6" applyNumberFormat="1" applyFont="1" applyBorder="1"/>
    <xf numFmtId="43" fontId="15" fillId="0" borderId="15" xfId="1" applyNumberFormat="1" applyFont="1" applyBorder="1"/>
    <xf numFmtId="0" fontId="16" fillId="0" borderId="19" xfId="6" applyFont="1" applyBorder="1"/>
    <xf numFmtId="0" fontId="16" fillId="0" borderId="15" xfId="6" applyFont="1" applyBorder="1"/>
    <xf numFmtId="0" fontId="16" fillId="0" borderId="40" xfId="6" applyFont="1" applyBorder="1"/>
    <xf numFmtId="43" fontId="16" fillId="0" borderId="4" xfId="6" applyNumberFormat="1" applyFont="1" applyBorder="1"/>
    <xf numFmtId="0" fontId="70" fillId="0" borderId="0" xfId="6" applyFont="1" applyAlignment="1">
      <alignment vertical="justify" wrapText="1"/>
    </xf>
    <xf numFmtId="0" fontId="70" fillId="0" borderId="0" xfId="6" applyFont="1"/>
    <xf numFmtId="0" fontId="70" fillId="0" borderId="0" xfId="6" quotePrefix="1" applyFont="1" applyAlignment="1">
      <alignment horizontal="center"/>
    </xf>
    <xf numFmtId="0" fontId="15" fillId="0" borderId="0" xfId="6" quotePrefix="1" applyFont="1" applyAlignment="1">
      <alignment horizontal="center"/>
    </xf>
    <xf numFmtId="0" fontId="68" fillId="0" borderId="0" xfId="6" applyFont="1" applyAlignment="1">
      <alignment horizontal="justify" vertical="justify" wrapText="1"/>
    </xf>
    <xf numFmtId="0" fontId="66" fillId="0" borderId="0" xfId="6" quotePrefix="1" applyFont="1" applyAlignment="1">
      <alignment horizontal="center"/>
    </xf>
    <xf numFmtId="0" fontId="55" fillId="0" borderId="31" xfId="0" applyFont="1" applyBorder="1" applyAlignment="1">
      <alignment horizontal="center"/>
    </xf>
    <xf numFmtId="0" fontId="55" fillId="0" borderId="17" xfId="0" applyFont="1" applyBorder="1" applyAlignment="1">
      <alignment horizontal="center"/>
    </xf>
    <xf numFmtId="0" fontId="55" fillId="0" borderId="32" xfId="0" applyFont="1" applyBorder="1" applyAlignment="1">
      <alignment horizontal="center"/>
    </xf>
    <xf numFmtId="0" fontId="55" fillId="0" borderId="0" xfId="0" applyFont="1" applyBorder="1" applyAlignment="1">
      <alignment horizontal="center"/>
    </xf>
    <xf numFmtId="0" fontId="55" fillId="0" borderId="5" xfId="0" applyFont="1" applyBorder="1" applyAlignment="1">
      <alignment horizontal="center"/>
    </xf>
    <xf numFmtId="0" fontId="55" fillId="0" borderId="6" xfId="0" applyFont="1" applyBorder="1" applyAlignment="1">
      <alignment horizontal="center"/>
    </xf>
    <xf numFmtId="0" fontId="26" fillId="0" borderId="0" xfId="0" applyFont="1" applyAlignment="1">
      <alignment horizontal="center"/>
    </xf>
    <xf numFmtId="0" fontId="55" fillId="0" borderId="6" xfId="13" applyFont="1" applyBorder="1" applyAlignment="1">
      <alignment horizontal="center"/>
    </xf>
    <xf numFmtId="0" fontId="5" fillId="0" borderId="36" xfId="13" applyFont="1" applyBorder="1" applyAlignment="1">
      <alignment horizontal="center"/>
    </xf>
    <xf numFmtId="0" fontId="15" fillId="0" borderId="0" xfId="16" quotePrefix="1" applyFont="1" applyBorder="1" applyAlignment="1">
      <alignment horizontal="center"/>
    </xf>
    <xf numFmtId="43" fontId="72" fillId="0" borderId="0" xfId="6" quotePrefix="1" applyNumberFormat="1" applyFont="1" applyAlignment="1">
      <alignment horizontal="center"/>
    </xf>
    <xf numFmtId="0" fontId="73" fillId="0" borderId="0" xfId="6" applyFont="1" applyAlignment="1"/>
    <xf numFmtId="0" fontId="73" fillId="0" borderId="0" xfId="6" applyFont="1"/>
    <xf numFmtId="0" fontId="73" fillId="0" borderId="0" xfId="6" applyFont="1" applyAlignment="1">
      <alignment horizontal="center"/>
    </xf>
    <xf numFmtId="0" fontId="74" fillId="0" borderId="0" xfId="6" applyFont="1" applyAlignment="1"/>
    <xf numFmtId="0" fontId="75" fillId="0" borderId="0" xfId="6" applyFont="1" applyAlignment="1"/>
    <xf numFmtId="0" fontId="73" fillId="0" borderId="0" xfId="6" quotePrefix="1" applyFont="1" applyAlignment="1"/>
    <xf numFmtId="0" fontId="76" fillId="0" borderId="0" xfId="6" applyFont="1"/>
    <xf numFmtId="40" fontId="73" fillId="0" borderId="0" xfId="6" applyNumberFormat="1" applyFont="1"/>
    <xf numFmtId="0" fontId="73" fillId="0" borderId="0" xfId="6" quotePrefix="1" applyFont="1"/>
    <xf numFmtId="0" fontId="77" fillId="0" borderId="0" xfId="6" applyFont="1" applyAlignment="1">
      <alignment vertical="justify" wrapText="1"/>
    </xf>
    <xf numFmtId="0" fontId="78" fillId="0" borderId="0" xfId="6" applyFont="1" applyAlignment="1"/>
    <xf numFmtId="0" fontId="77" fillId="0" borderId="0" xfId="6" applyFont="1" applyAlignment="1"/>
    <xf numFmtId="0" fontId="77" fillId="0" borderId="0" xfId="6" applyFont="1"/>
    <xf numFmtId="0" fontId="78" fillId="0" borderId="0" xfId="6" applyFont="1"/>
    <xf numFmtId="0" fontId="77" fillId="0" borderId="0" xfId="6" quotePrefix="1" applyFont="1"/>
    <xf numFmtId="0" fontId="44" fillId="0" borderId="0" xfId="6" quotePrefix="1" applyFont="1" applyAlignment="1"/>
    <xf numFmtId="0" fontId="5" fillId="0" borderId="23" xfId="6" applyFont="1" applyBorder="1"/>
    <xf numFmtId="0" fontId="5" fillId="0" borderId="14" xfId="6" applyFont="1" applyBorder="1"/>
    <xf numFmtId="0" fontId="55" fillId="0" borderId="37" xfId="13" applyFont="1" applyBorder="1" applyAlignment="1">
      <alignment horizontal="center"/>
    </xf>
    <xf numFmtId="0" fontId="26" fillId="0" borderId="0" xfId="0" applyFont="1" applyAlignment="1">
      <alignment vertical="top"/>
    </xf>
    <xf numFmtId="0" fontId="59" fillId="0" borderId="0" xfId="0" applyFont="1" applyAlignment="1">
      <alignment vertical="top"/>
    </xf>
    <xf numFmtId="0" fontId="26" fillId="0" borderId="0" xfId="0" applyFont="1" applyAlignment="1">
      <alignment vertical="top" wrapText="1"/>
    </xf>
    <xf numFmtId="0" fontId="26" fillId="0" borderId="0" xfId="0" applyFont="1" applyAlignment="1">
      <alignment horizontal="left" vertical="top"/>
    </xf>
    <xf numFmtId="0" fontId="25" fillId="0" borderId="0" xfId="6" applyFont="1" applyAlignment="1">
      <alignment horizontal="left" vertical="top"/>
    </xf>
    <xf numFmtId="0" fontId="25" fillId="0" borderId="0" xfId="6" applyFont="1" applyAlignment="1">
      <alignment vertical="top"/>
    </xf>
    <xf numFmtId="0" fontId="25" fillId="0" borderId="0" xfId="6" applyFont="1" applyAlignment="1">
      <alignment vertical="top" wrapText="1"/>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0" fontId="13" fillId="0" borderId="25" xfId="0" applyFont="1" applyBorder="1" applyAlignment="1">
      <alignment horizontal="left" vertical="center"/>
    </xf>
    <xf numFmtId="43" fontId="15" fillId="0" borderId="12" xfId="0" applyNumberFormat="1" applyFont="1" applyBorder="1" applyAlignment="1">
      <alignment vertical="center"/>
    </xf>
    <xf numFmtId="43" fontId="15" fillId="0" borderId="3" xfId="1" applyNumberFormat="1" applyFont="1" applyBorder="1" applyAlignment="1">
      <alignment vertical="center"/>
    </xf>
    <xf numFmtId="43" fontId="15" fillId="0" borderId="0" xfId="0" applyNumberFormat="1" applyFont="1" applyBorder="1"/>
    <xf numFmtId="43" fontId="15" fillId="0" borderId="0" xfId="1" applyNumberFormat="1" applyFont="1" applyBorder="1"/>
    <xf numFmtId="43" fontId="15" fillId="0" borderId="0" xfId="1" applyNumberFormat="1" applyFont="1" applyBorder="1" applyAlignment="1">
      <alignment vertical="center"/>
    </xf>
    <xf numFmtId="43" fontId="15" fillId="0" borderId="0" xfId="16" quotePrefix="1" applyNumberFormat="1" applyFont="1" applyBorder="1" applyAlignment="1">
      <alignment horizontal="center"/>
    </xf>
    <xf numFmtId="0" fontId="77" fillId="0" borderId="0" xfId="6" applyFont="1" applyAlignment="1">
      <alignment horizontal="center"/>
    </xf>
    <xf numFmtId="0" fontId="13" fillId="0" borderId="0" xfId="8" applyFont="1" applyAlignment="1">
      <alignment horizontal="left" vertical="top"/>
    </xf>
    <xf numFmtId="0" fontId="55" fillId="0" borderId="0" xfId="0" applyFont="1" applyBorder="1" applyAlignment="1">
      <alignment horizontal="center"/>
    </xf>
    <xf numFmtId="0" fontId="17" fillId="0" borderId="0" xfId="0" applyFont="1" applyBorder="1" applyAlignment="1">
      <alignment horizontal="center"/>
    </xf>
    <xf numFmtId="0" fontId="59" fillId="0" borderId="0" xfId="0" applyFont="1" applyBorder="1" applyAlignment="1">
      <alignment horizontal="center"/>
    </xf>
    <xf numFmtId="0" fontId="7" fillId="0" borderId="0" xfId="0" applyFont="1" applyAlignment="1">
      <alignment horizontal="center"/>
    </xf>
    <xf numFmtId="0" fontId="25" fillId="0" borderId="0" xfId="6" quotePrefix="1" applyFont="1" applyBorder="1" applyAlignment="1">
      <alignment horizontal="center"/>
    </xf>
    <xf numFmtId="0" fontId="4" fillId="0" borderId="0" xfId="0" applyFont="1" applyBorder="1" applyAlignment="1">
      <alignment horizontal="center"/>
    </xf>
    <xf numFmtId="0" fontId="57" fillId="0" borderId="0" xfId="0" applyFont="1" applyBorder="1" applyAlignment="1">
      <alignment horizontal="center"/>
    </xf>
    <xf numFmtId="0" fontId="7" fillId="0" borderId="0" xfId="0" applyFont="1" applyBorder="1" applyAlignment="1">
      <alignment horizontal="center"/>
    </xf>
    <xf numFmtId="0" fontId="26" fillId="0" borderId="0" xfId="0" applyFont="1" applyAlignment="1">
      <alignment horizontal="center"/>
    </xf>
    <xf numFmtId="0" fontId="4" fillId="0" borderId="0" xfId="0" applyFont="1" applyAlignment="1">
      <alignment horizontal="center"/>
    </xf>
    <xf numFmtId="0" fontId="26" fillId="0" borderId="0" xfId="0" applyFont="1" applyAlignment="1">
      <alignment horizontal="center"/>
    </xf>
    <xf numFmtId="0" fontId="15" fillId="0" borderId="0" xfId="13" applyFont="1" applyBorder="1" applyAlignment="1">
      <alignment horizontal="center"/>
    </xf>
    <xf numFmtId="0" fontId="5" fillId="0" borderId="15" xfId="16" applyFont="1" applyBorder="1"/>
    <xf numFmtId="0" fontId="5" fillId="0" borderId="40" xfId="16" applyFont="1" applyBorder="1"/>
    <xf numFmtId="0" fontId="5" fillId="0" borderId="40" xfId="16" quotePrefix="1" applyFont="1" applyBorder="1" applyAlignment="1">
      <alignment horizontal="center"/>
    </xf>
    <xf numFmtId="0" fontId="15" fillId="0" borderId="4" xfId="16" applyFont="1" applyBorder="1" applyAlignment="1">
      <alignment horizontal="center"/>
    </xf>
    <xf numFmtId="43" fontId="15" fillId="0" borderId="2" xfId="7" applyNumberFormat="1" applyFont="1" applyBorder="1" applyAlignment="1"/>
    <xf numFmtId="43" fontId="16" fillId="0" borderId="49" xfId="7" applyNumberFormat="1" applyFont="1" applyBorder="1" applyAlignment="1"/>
    <xf numFmtId="43" fontId="15" fillId="0" borderId="2" xfId="7" applyNumberFormat="1" applyFont="1" applyBorder="1"/>
    <xf numFmtId="0" fontId="15" fillId="3" borderId="0" xfId="6" applyFont="1" applyFill="1"/>
    <xf numFmtId="0" fontId="16" fillId="0" borderId="0" xfId="6" applyFont="1" applyAlignment="1">
      <alignment horizontal="center"/>
    </xf>
    <xf numFmtId="0" fontId="15" fillId="0" borderId="0" xfId="6" applyFont="1" applyAlignment="1">
      <alignment horizontal="center"/>
    </xf>
    <xf numFmtId="0" fontId="69" fillId="0" borderId="0" xfId="6" quotePrefix="1" applyFont="1" applyAlignment="1">
      <alignment horizontal="center"/>
    </xf>
    <xf numFmtId="0" fontId="68" fillId="0" borderId="0" xfId="6" applyFont="1" applyAlignment="1">
      <alignment horizontal="center"/>
    </xf>
    <xf numFmtId="0" fontId="68" fillId="0" borderId="0" xfId="6" applyFont="1" applyAlignment="1">
      <alignment horizontal="justify" vertical="justify" wrapText="1"/>
    </xf>
    <xf numFmtId="0" fontId="66" fillId="0" borderId="0" xfId="6" applyFont="1" applyAlignment="1">
      <alignment horizontal="justify" vertical="justify" wrapText="1"/>
    </xf>
    <xf numFmtId="0" fontId="66" fillId="0" borderId="0" xfId="6" quotePrefix="1" applyFont="1" applyAlignment="1">
      <alignment horizontal="justify" vertical="justify" wrapText="1"/>
    </xf>
    <xf numFmtId="0" fontId="66" fillId="0" borderId="0" xfId="6" quotePrefix="1" applyFont="1" applyAlignment="1">
      <alignment horizontal="center"/>
    </xf>
    <xf numFmtId="0" fontId="66" fillId="0" borderId="0" xfId="6" applyFont="1" applyAlignment="1">
      <alignment horizontal="center"/>
    </xf>
    <xf numFmtId="0" fontId="67" fillId="0" borderId="0" xfId="6" applyFont="1" applyAlignment="1">
      <alignment horizontal="center"/>
    </xf>
    <xf numFmtId="0" fontId="26" fillId="0" borderId="0" xfId="6" quotePrefix="1" applyFont="1" applyAlignment="1">
      <alignment horizontal="center"/>
    </xf>
    <xf numFmtId="0" fontId="55" fillId="0" borderId="31" xfId="0" applyFont="1" applyBorder="1" applyAlignment="1">
      <alignment horizontal="center"/>
    </xf>
    <xf numFmtId="0" fontId="55" fillId="0" borderId="17" xfId="0" applyFont="1" applyBorder="1" applyAlignment="1">
      <alignment horizontal="center"/>
    </xf>
    <xf numFmtId="0" fontId="55" fillId="0" borderId="32" xfId="0" applyFont="1" applyBorder="1" applyAlignment="1">
      <alignment horizontal="center"/>
    </xf>
    <xf numFmtId="43" fontId="32" fillId="0" borderId="0" xfId="6" quotePrefix="1" applyNumberFormat="1" applyFont="1" applyBorder="1" applyAlignment="1">
      <alignment horizontal="center"/>
    </xf>
    <xf numFmtId="0" fontId="7" fillId="0" borderId="0" xfId="0" applyFont="1" applyAlignment="1">
      <alignment horizontal="center"/>
    </xf>
    <xf numFmtId="0" fontId="55" fillId="0" borderId="22" xfId="0" applyFont="1" applyBorder="1" applyAlignment="1">
      <alignment horizontal="center"/>
    </xf>
    <xf numFmtId="0" fontId="55" fillId="0" borderId="0" xfId="0" applyFont="1" applyBorder="1" applyAlignment="1">
      <alignment horizontal="center"/>
    </xf>
    <xf numFmtId="0" fontId="55" fillId="0" borderId="5" xfId="0" applyFont="1" applyBorder="1" applyAlignment="1">
      <alignment horizontal="center"/>
    </xf>
    <xf numFmtId="0" fontId="55" fillId="0" borderId="6"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43" fontId="44" fillId="0" borderId="0" xfId="0" quotePrefix="1" applyNumberFormat="1" applyFont="1" applyBorder="1" applyAlignment="1">
      <alignment horizontal="center"/>
    </xf>
    <xf numFmtId="0" fontId="55" fillId="0" borderId="7" xfId="0" applyFont="1" applyBorder="1" applyAlignment="1">
      <alignment horizontal="center"/>
    </xf>
    <xf numFmtId="0" fontId="55" fillId="0" borderId="12" xfId="0" applyFont="1" applyBorder="1" applyAlignment="1">
      <alignment horizontal="center"/>
    </xf>
    <xf numFmtId="0" fontId="55" fillId="0" borderId="25" xfId="0" applyFont="1" applyBorder="1" applyAlignment="1">
      <alignment horizontal="center"/>
    </xf>
    <xf numFmtId="0" fontId="57" fillId="0" borderId="0" xfId="0" applyFont="1" applyBorder="1" applyAlignment="1">
      <alignment horizontal="center"/>
    </xf>
    <xf numFmtId="0" fontId="7" fillId="0" borderId="0" xfId="0" applyFont="1" applyBorder="1" applyAlignment="1">
      <alignment horizontal="center"/>
    </xf>
    <xf numFmtId="43" fontId="7" fillId="0" borderId="0" xfId="1" applyFont="1" applyBorder="1" applyAlignment="1">
      <alignment horizontal="center"/>
    </xf>
    <xf numFmtId="0" fontId="4" fillId="0" borderId="0" xfId="0" applyFont="1" applyBorder="1" applyAlignment="1">
      <alignment horizontal="center"/>
    </xf>
    <xf numFmtId="43" fontId="4" fillId="0" borderId="0" xfId="1" applyFont="1" applyBorder="1" applyAlignment="1">
      <alignment horizontal="center"/>
    </xf>
    <xf numFmtId="0" fontId="59" fillId="0" borderId="0" xfId="0" applyFont="1" applyBorder="1" applyAlignment="1">
      <alignment horizontal="center"/>
    </xf>
    <xf numFmtId="43" fontId="59" fillId="0" borderId="0" xfId="1" applyFont="1" applyBorder="1" applyAlignment="1">
      <alignment horizontal="center"/>
    </xf>
    <xf numFmtId="0" fontId="26" fillId="0" borderId="0" xfId="0" applyFont="1" applyAlignment="1">
      <alignment horizontal="center"/>
    </xf>
    <xf numFmtId="0" fontId="68" fillId="0" borderId="0" xfId="0" applyFont="1" applyAlignment="1">
      <alignment horizontal="center"/>
    </xf>
    <xf numFmtId="0" fontId="26" fillId="0" borderId="0" xfId="0" quotePrefix="1" applyFont="1" applyAlignment="1">
      <alignment horizontal="center"/>
    </xf>
    <xf numFmtId="0" fontId="25" fillId="0" borderId="0" xfId="6" quotePrefix="1" applyFont="1" applyBorder="1" applyAlignment="1">
      <alignment horizontal="center"/>
    </xf>
    <xf numFmtId="0" fontId="61" fillId="0" borderId="0" xfId="0" applyFont="1" applyBorder="1" applyAlignment="1">
      <alignment horizontal="center" vertical="center"/>
    </xf>
    <xf numFmtId="0" fontId="17" fillId="0" borderId="0" xfId="0" applyFont="1" applyBorder="1" applyAlignment="1">
      <alignment horizontal="center"/>
    </xf>
    <xf numFmtId="43" fontId="17" fillId="0" borderId="0" xfId="1" applyFont="1" applyBorder="1" applyAlignment="1">
      <alignment horizontal="center"/>
    </xf>
    <xf numFmtId="0" fontId="26" fillId="0" borderId="0" xfId="6" applyFont="1" applyAlignment="1">
      <alignment horizontal="center"/>
    </xf>
    <xf numFmtId="0" fontId="55" fillId="0" borderId="31" xfId="6" applyFont="1" applyBorder="1" applyAlignment="1">
      <alignment horizontal="center"/>
    </xf>
    <xf numFmtId="0" fontId="55" fillId="0" borderId="17" xfId="6" applyFont="1" applyBorder="1" applyAlignment="1">
      <alignment horizontal="center"/>
    </xf>
    <xf numFmtId="0" fontId="55" fillId="0" borderId="32" xfId="6" applyFont="1" applyBorder="1" applyAlignment="1">
      <alignment horizontal="center"/>
    </xf>
    <xf numFmtId="0" fontId="55" fillId="0" borderId="22" xfId="6" applyFont="1" applyBorder="1" applyAlignment="1">
      <alignment horizontal="center"/>
    </xf>
    <xf numFmtId="0" fontId="55" fillId="0" borderId="0" xfId="6" applyFont="1" applyBorder="1" applyAlignment="1">
      <alignment horizontal="center"/>
    </xf>
    <xf numFmtId="0" fontId="55" fillId="0" borderId="5" xfId="6" applyFont="1" applyBorder="1" applyAlignment="1">
      <alignment horizontal="center"/>
    </xf>
    <xf numFmtId="0" fontId="55" fillId="0" borderId="6" xfId="6" applyFont="1" applyBorder="1" applyAlignment="1">
      <alignment horizontal="center"/>
    </xf>
    <xf numFmtId="0" fontId="26" fillId="0" borderId="0" xfId="6" applyFont="1" applyAlignment="1">
      <alignment horizontal="justify" vertical="justify" wrapText="1"/>
    </xf>
    <xf numFmtId="0" fontId="26" fillId="0" borderId="0" xfId="0" applyFont="1" applyAlignment="1">
      <alignment horizontal="justify" vertical="justify" wrapText="1"/>
    </xf>
    <xf numFmtId="0" fontId="15" fillId="0" borderId="0" xfId="16" quotePrefix="1" applyFont="1" applyBorder="1" applyAlignment="1">
      <alignment horizontal="center"/>
    </xf>
    <xf numFmtId="43" fontId="44" fillId="0" borderId="0" xfId="16" quotePrefix="1" applyNumberFormat="1" applyFont="1" applyBorder="1" applyAlignment="1">
      <alignment horizontal="center"/>
    </xf>
    <xf numFmtId="0" fontId="26" fillId="0" borderId="0" xfId="0" applyFont="1" applyAlignment="1">
      <alignment horizontal="left" vertical="top" wrapText="1"/>
    </xf>
    <xf numFmtId="0" fontId="55" fillId="0" borderId="0" xfId="13" applyFont="1" applyAlignment="1">
      <alignment horizontal="center"/>
    </xf>
    <xf numFmtId="0" fontId="55" fillId="0" borderId="31" xfId="13" applyFont="1" applyBorder="1" applyAlignment="1">
      <alignment horizontal="center"/>
    </xf>
    <xf numFmtId="0" fontId="55" fillId="0" borderId="17" xfId="13" applyFont="1" applyBorder="1" applyAlignment="1">
      <alignment horizontal="center"/>
    </xf>
    <xf numFmtId="0" fontId="55" fillId="0" borderId="32" xfId="13" applyFont="1" applyBorder="1" applyAlignment="1">
      <alignment horizontal="center"/>
    </xf>
    <xf numFmtId="0" fontId="55" fillId="0" borderId="22" xfId="13" applyFont="1" applyBorder="1" applyAlignment="1">
      <alignment horizontal="center"/>
    </xf>
    <xf numFmtId="0" fontId="55" fillId="0" borderId="0" xfId="13" applyFont="1" applyBorder="1" applyAlignment="1">
      <alignment horizontal="center"/>
    </xf>
    <xf numFmtId="0" fontId="55" fillId="0" borderId="6" xfId="13" applyFont="1" applyBorder="1" applyAlignment="1">
      <alignment horizontal="center"/>
    </xf>
    <xf numFmtId="0" fontId="15" fillId="0" borderId="0" xfId="13" applyFont="1" applyBorder="1" applyAlignment="1">
      <alignment horizontal="center"/>
    </xf>
    <xf numFmtId="43" fontId="15" fillId="0" borderId="0" xfId="7" applyFont="1" applyBorder="1" applyAlignment="1">
      <alignment horizontal="center"/>
    </xf>
    <xf numFmtId="0" fontId="16" fillId="0" borderId="14" xfId="13" applyFont="1" applyBorder="1" applyAlignment="1">
      <alignment horizontal="center"/>
    </xf>
    <xf numFmtId="0" fontId="5" fillId="0" borderId="23" xfId="13" applyFont="1" applyBorder="1" applyAlignment="1">
      <alignment horizontal="center"/>
    </xf>
    <xf numFmtId="0" fontId="5" fillId="0" borderId="14" xfId="13" applyFont="1" applyBorder="1" applyAlignment="1">
      <alignment horizontal="center"/>
    </xf>
    <xf numFmtId="0" fontId="5" fillId="0" borderId="36" xfId="13" applyFont="1" applyBorder="1" applyAlignment="1">
      <alignment horizontal="center"/>
    </xf>
    <xf numFmtId="0" fontId="55" fillId="0" borderId="14" xfId="13" applyFont="1" applyBorder="1" applyAlignment="1">
      <alignment horizontal="center"/>
    </xf>
    <xf numFmtId="0" fontId="26" fillId="0" borderId="0" xfId="0" applyFont="1" applyAlignment="1">
      <alignment horizontal="justify" vertical="top" wrapText="1"/>
    </xf>
    <xf numFmtId="43" fontId="16" fillId="0" borderId="0" xfId="7" applyFont="1" applyBorder="1" applyAlignment="1">
      <alignment horizontal="center" vertical="top"/>
    </xf>
    <xf numFmtId="43" fontId="44" fillId="0" borderId="0" xfId="13" quotePrefix="1" applyNumberFormat="1" applyFont="1" applyBorder="1" applyAlignment="1">
      <alignment horizontal="center"/>
    </xf>
    <xf numFmtId="0" fontId="16" fillId="0" borderId="0" xfId="13" applyFont="1" applyBorder="1" applyAlignment="1">
      <alignment horizontal="center"/>
    </xf>
    <xf numFmtId="43" fontId="16" fillId="0" borderId="0" xfId="7" applyFont="1" applyBorder="1" applyAlignment="1">
      <alignment horizontal="center"/>
    </xf>
    <xf numFmtId="0" fontId="16" fillId="0" borderId="0" xfId="13" applyFont="1" applyAlignment="1">
      <alignment horizontal="center"/>
    </xf>
    <xf numFmtId="0" fontId="26" fillId="0" borderId="0" xfId="0" applyFont="1" applyAlignment="1">
      <alignment horizontal="left" vertical="justify" wrapText="1"/>
    </xf>
    <xf numFmtId="0" fontId="5" fillId="0" borderId="57" xfId="0" applyFont="1" applyBorder="1" applyAlignment="1">
      <alignment horizontal="center"/>
    </xf>
    <xf numFmtId="0" fontId="5" fillId="0" borderId="36" xfId="0" applyFont="1" applyBorder="1" applyAlignment="1">
      <alignment horizontal="center"/>
    </xf>
    <xf numFmtId="0" fontId="13" fillId="0" borderId="19" xfId="0" applyFont="1" applyBorder="1" applyAlignment="1">
      <alignment horizontal="left" vertical="center" wrapText="1"/>
    </xf>
    <xf numFmtId="0" fontId="13" fillId="0" borderId="15" xfId="0" applyFont="1" applyBorder="1" applyAlignment="1">
      <alignment horizontal="left" vertical="center" wrapText="1"/>
    </xf>
    <xf numFmtId="0" fontId="13" fillId="0" borderId="40" xfId="0" applyFont="1" applyBorder="1" applyAlignment="1">
      <alignment horizontal="left" vertical="center" wrapText="1"/>
    </xf>
    <xf numFmtId="0" fontId="16" fillId="0" borderId="0" xfId="0" applyFont="1" applyAlignment="1">
      <alignment horizontal="center"/>
    </xf>
    <xf numFmtId="0" fontId="16" fillId="0" borderId="9" xfId="6" applyFont="1" applyBorder="1" applyAlignment="1">
      <alignment horizontal="center" vertical="center"/>
    </xf>
    <xf numFmtId="0" fontId="16" fillId="0" borderId="27" xfId="6" applyFont="1" applyBorder="1" applyAlignment="1">
      <alignment horizontal="center" vertical="center"/>
    </xf>
    <xf numFmtId="0" fontId="16" fillId="0" borderId="7" xfId="6" applyFont="1" applyBorder="1" applyAlignment="1">
      <alignment horizontal="center" vertical="center"/>
    </xf>
    <xf numFmtId="0" fontId="16" fillId="0" borderId="12" xfId="6" applyFont="1" applyBorder="1" applyAlignment="1">
      <alignment horizontal="center" vertical="center"/>
    </xf>
    <xf numFmtId="0" fontId="16" fillId="0" borderId="1" xfId="6" applyFont="1" applyBorder="1" applyAlignment="1">
      <alignment horizontal="center" vertical="center"/>
    </xf>
    <xf numFmtId="0" fontId="16" fillId="0" borderId="3" xfId="6" applyFont="1" applyBorder="1" applyAlignment="1">
      <alignment horizontal="center" vertical="center"/>
    </xf>
    <xf numFmtId="0" fontId="25" fillId="0" borderId="0" xfId="6" applyFont="1" applyAlignment="1">
      <alignment horizontal="center"/>
    </xf>
    <xf numFmtId="0" fontId="70" fillId="0" borderId="0" xfId="6" quotePrefix="1" applyFont="1" applyAlignment="1">
      <alignment horizontal="center"/>
    </xf>
    <xf numFmtId="0" fontId="44" fillId="0" borderId="0" xfId="6" quotePrefix="1" applyFont="1" applyAlignment="1">
      <alignment horizontal="center"/>
    </xf>
    <xf numFmtId="0" fontId="70" fillId="0" borderId="0" xfId="6" applyFont="1" applyAlignment="1">
      <alignment horizontal="justify" vertical="justify" wrapText="1"/>
    </xf>
    <xf numFmtId="0" fontId="77" fillId="0" borderId="0" xfId="6" applyFont="1" applyAlignment="1">
      <alignment horizontal="justify" vertical="justify" wrapText="1"/>
    </xf>
    <xf numFmtId="0" fontId="73" fillId="0" borderId="0" xfId="6" applyFont="1" applyAlignment="1">
      <alignment horizontal="center"/>
    </xf>
    <xf numFmtId="0" fontId="74" fillId="0" borderId="0" xfId="6" applyFont="1" applyAlignment="1">
      <alignment horizontal="center"/>
    </xf>
    <xf numFmtId="0" fontId="78" fillId="0" borderId="0" xfId="6" applyFont="1" applyAlignment="1">
      <alignment horizontal="center"/>
    </xf>
    <xf numFmtId="0" fontId="70" fillId="0" borderId="0" xfId="6" applyFont="1" applyAlignment="1">
      <alignment horizontal="center"/>
    </xf>
    <xf numFmtId="0" fontId="77" fillId="0" borderId="0" xfId="6" applyFont="1" applyAlignment="1">
      <alignment horizontal="left"/>
    </xf>
    <xf numFmtId="0" fontId="77" fillId="0" borderId="0" xfId="6" applyFont="1" applyAlignment="1">
      <alignment horizontal="center"/>
    </xf>
    <xf numFmtId="0" fontId="24" fillId="0" borderId="0" xfId="6" applyFont="1" applyAlignment="1">
      <alignment horizontal="center"/>
    </xf>
    <xf numFmtId="0" fontId="27" fillId="0" borderId="20" xfId="6" applyFont="1" applyBorder="1" applyAlignment="1">
      <alignment horizontal="center"/>
    </xf>
    <xf numFmtId="0" fontId="27" fillId="0" borderId="17" xfId="6" applyFont="1" applyBorder="1" applyAlignment="1">
      <alignment horizontal="center"/>
    </xf>
    <xf numFmtId="0" fontId="27" fillId="0" borderId="31" xfId="6" applyFont="1" applyBorder="1" applyAlignment="1">
      <alignment horizontal="center"/>
    </xf>
    <xf numFmtId="0" fontId="27" fillId="0" borderId="32" xfId="6" applyFont="1" applyBorder="1" applyAlignment="1">
      <alignment horizontal="center"/>
    </xf>
    <xf numFmtId="0" fontId="27" fillId="0" borderId="46" xfId="6" applyFont="1" applyBorder="1" applyAlignment="1">
      <alignment horizontal="center"/>
    </xf>
    <xf numFmtId="0" fontId="27" fillId="0" borderId="48" xfId="6" applyFont="1" applyBorder="1" applyAlignment="1">
      <alignment horizontal="center"/>
    </xf>
    <xf numFmtId="0" fontId="37" fillId="0" borderId="0" xfId="6" applyFont="1" applyAlignment="1">
      <alignment horizontal="center"/>
    </xf>
    <xf numFmtId="0" fontId="39" fillId="0" borderId="0" xfId="6" applyFont="1" applyAlignment="1">
      <alignment horizontal="center"/>
    </xf>
    <xf numFmtId="0" fontId="29" fillId="0" borderId="0" xfId="6" applyFont="1" applyAlignment="1">
      <alignment horizontal="center"/>
    </xf>
    <xf numFmtId="0" fontId="29" fillId="0" borderId="57" xfId="6" applyFont="1" applyBorder="1" applyAlignment="1">
      <alignment horizontal="center"/>
    </xf>
    <xf numFmtId="0" fontId="29" fillId="0" borderId="14" xfId="6" applyFont="1" applyBorder="1" applyAlignment="1">
      <alignment horizontal="center"/>
    </xf>
    <xf numFmtId="0" fontId="29" fillId="0" borderId="36" xfId="6" applyFont="1" applyBorder="1" applyAlignment="1">
      <alignment horizontal="center"/>
    </xf>
    <xf numFmtId="0" fontId="27" fillId="0" borderId="9" xfId="6" applyFont="1" applyBorder="1" applyAlignment="1">
      <alignment horizontal="center"/>
    </xf>
    <xf numFmtId="0" fontId="27" fillId="0" borderId="27" xfId="6" applyFont="1" applyBorder="1" applyAlignment="1">
      <alignment horizontal="center"/>
    </xf>
    <xf numFmtId="0" fontId="27" fillId="0" borderId="26" xfId="6" applyFont="1" applyBorder="1" applyAlignment="1">
      <alignment horizontal="center"/>
    </xf>
    <xf numFmtId="0" fontId="27" fillId="0" borderId="5" xfId="6" applyFont="1" applyBorder="1" applyAlignment="1">
      <alignment horizontal="center"/>
    </xf>
    <xf numFmtId="0" fontId="27" fillId="0" borderId="0" xfId="6" applyFont="1" applyBorder="1" applyAlignment="1">
      <alignment horizontal="center"/>
    </xf>
    <xf numFmtId="0" fontId="27" fillId="0" borderId="6" xfId="6" applyFont="1" applyBorder="1" applyAlignment="1">
      <alignment horizontal="center"/>
    </xf>
    <xf numFmtId="0" fontId="27" fillId="0" borderId="7" xfId="6" applyFont="1" applyBorder="1" applyAlignment="1">
      <alignment horizontal="center"/>
    </xf>
    <xf numFmtId="0" fontId="27" fillId="0" borderId="25" xfId="6" applyFont="1" applyBorder="1" applyAlignment="1">
      <alignment horizontal="center"/>
    </xf>
    <xf numFmtId="0" fontId="25" fillId="0" borderId="5" xfId="6" applyFont="1" applyBorder="1" applyAlignment="1">
      <alignment horizontal="center"/>
    </xf>
    <xf numFmtId="0" fontId="25" fillId="0" borderId="0" xfId="6" applyFont="1" applyBorder="1" applyAlignment="1">
      <alignment horizontal="center"/>
    </xf>
    <xf numFmtId="0" fontId="25" fillId="0" borderId="6" xfId="6" applyFont="1" applyBorder="1" applyAlignment="1">
      <alignment horizontal="center"/>
    </xf>
    <xf numFmtId="0" fontId="27" fillId="0" borderId="0" xfId="6" applyFont="1" applyAlignment="1">
      <alignment horizontal="center"/>
    </xf>
    <xf numFmtId="43" fontId="34" fillId="0" borderId="0" xfId="6" quotePrefix="1" applyNumberFormat="1" applyFont="1" applyBorder="1" applyAlignment="1">
      <alignment horizontal="center"/>
    </xf>
    <xf numFmtId="0" fontId="13" fillId="0" borderId="0" xfId="8" applyFont="1" applyFill="1" applyBorder="1" applyAlignment="1">
      <alignment horizontal="center"/>
    </xf>
    <xf numFmtId="43" fontId="13" fillId="0" borderId="1" xfId="9" applyFont="1" applyBorder="1" applyAlignment="1">
      <alignment horizontal="center" vertical="center"/>
    </xf>
    <xf numFmtId="43" fontId="13" fillId="0" borderId="2" xfId="9" applyFont="1" applyBorder="1" applyAlignment="1">
      <alignment horizontal="center" vertical="center"/>
    </xf>
    <xf numFmtId="43" fontId="13" fillId="0" borderId="3" xfId="9" applyFont="1" applyBorder="1" applyAlignment="1">
      <alignment horizontal="center" vertical="center"/>
    </xf>
    <xf numFmtId="0" fontId="13" fillId="0" borderId="2" xfId="8" applyFont="1" applyBorder="1" applyAlignment="1">
      <alignment horizontal="left" vertical="top" wrapText="1"/>
    </xf>
    <xf numFmtId="0" fontId="13" fillId="0" borderId="2" xfId="8" applyFont="1" applyBorder="1" applyAlignment="1">
      <alignment horizontal="left" vertical="center" wrapText="1"/>
    </xf>
    <xf numFmtId="0" fontId="13" fillId="0" borderId="1" xfId="8" applyFont="1" applyBorder="1" applyAlignment="1">
      <alignment horizontal="left" vertical="top" wrapText="1"/>
    </xf>
    <xf numFmtId="0" fontId="13" fillId="0" borderId="3" xfId="8" applyFont="1" applyBorder="1" applyAlignment="1">
      <alignment horizontal="left" vertical="top" wrapText="1"/>
    </xf>
    <xf numFmtId="43" fontId="13" fillId="0" borderId="26" xfId="9" applyFont="1" applyBorder="1" applyAlignment="1">
      <alignment horizontal="center" vertical="center"/>
    </xf>
    <xf numFmtId="43" fontId="13" fillId="0" borderId="6" xfId="9" applyFont="1" applyBorder="1" applyAlignment="1">
      <alignment horizontal="center" vertical="center"/>
    </xf>
    <xf numFmtId="43" fontId="13" fillId="0" borderId="25" xfId="9" applyFont="1" applyBorder="1" applyAlignment="1">
      <alignment horizontal="center" vertical="center"/>
    </xf>
    <xf numFmtId="49" fontId="13" fillId="0" borderId="1" xfId="9" applyNumberFormat="1" applyFont="1" applyFill="1" applyBorder="1" applyAlignment="1">
      <alignment horizontal="left" vertical="top" wrapText="1"/>
    </xf>
    <xf numFmtId="49" fontId="13" fillId="0" borderId="2" xfId="9" applyNumberFormat="1" applyFont="1" applyFill="1" applyBorder="1" applyAlignment="1">
      <alignment horizontal="left" vertical="top" wrapText="1"/>
    </xf>
    <xf numFmtId="49" fontId="13" fillId="0" borderId="3" xfId="9" applyNumberFormat="1" applyFont="1" applyFill="1" applyBorder="1" applyAlignment="1">
      <alignment horizontal="left" vertical="top" wrapText="1"/>
    </xf>
    <xf numFmtId="49" fontId="13" fillId="0" borderId="1" xfId="8" applyNumberFormat="1" applyFont="1" applyFill="1" applyBorder="1" applyAlignment="1">
      <alignment horizontal="left" vertical="top" wrapText="1"/>
    </xf>
    <xf numFmtId="49" fontId="13" fillId="0" borderId="2" xfId="8" applyNumberFormat="1" applyFont="1" applyFill="1" applyBorder="1" applyAlignment="1">
      <alignment horizontal="left" vertical="top" wrapText="1"/>
    </xf>
    <xf numFmtId="49" fontId="13" fillId="0" borderId="3" xfId="8" applyNumberFormat="1" applyFont="1" applyFill="1" applyBorder="1" applyAlignment="1">
      <alignment horizontal="left" vertical="top" wrapText="1"/>
    </xf>
    <xf numFmtId="0" fontId="13" fillId="0" borderId="1" xfId="8" applyFont="1" applyFill="1" applyBorder="1" applyAlignment="1">
      <alignment horizontal="left" vertical="top" wrapText="1"/>
    </xf>
    <xf numFmtId="0" fontId="13" fillId="0" borderId="2" xfId="8" applyFont="1" applyFill="1" applyBorder="1" applyAlignment="1">
      <alignment horizontal="left" vertical="top" wrapText="1"/>
    </xf>
    <xf numFmtId="0" fontId="13" fillId="0" borderId="3" xfId="8" applyFont="1" applyFill="1" applyBorder="1" applyAlignment="1">
      <alignment horizontal="left" vertical="top" wrapText="1"/>
    </xf>
    <xf numFmtId="0" fontId="9" fillId="3" borderId="1" xfId="8" applyFont="1" applyFill="1" applyBorder="1" applyAlignment="1">
      <alignment horizontal="center" vertical="center" wrapText="1"/>
    </xf>
    <xf numFmtId="0" fontId="9" fillId="3" borderId="2" xfId="8" applyFont="1" applyFill="1" applyBorder="1" applyAlignment="1">
      <alignment horizontal="center" vertical="center" wrapText="1"/>
    </xf>
    <xf numFmtId="0" fontId="47" fillId="0" borderId="0" xfId="8" applyFont="1" applyBorder="1" applyAlignment="1">
      <alignment horizontal="center" vertical="center"/>
    </xf>
    <xf numFmtId="0" fontId="13" fillId="0" borderId="9" xfId="8" applyFont="1" applyBorder="1" applyAlignment="1">
      <alignment horizontal="left" vertical="top" wrapText="1"/>
    </xf>
    <xf numFmtId="0" fontId="13" fillId="0" borderId="5" xfId="8" applyFont="1" applyBorder="1" applyAlignment="1">
      <alignment horizontal="left" vertical="top" wrapText="1"/>
    </xf>
    <xf numFmtId="0" fontId="13" fillId="0" borderId="7" xfId="8" applyFont="1" applyBorder="1" applyAlignment="1">
      <alignment horizontal="left" vertical="top" wrapText="1"/>
    </xf>
    <xf numFmtId="0" fontId="13" fillId="0" borderId="0" xfId="8" applyFont="1" applyAlignment="1">
      <alignment horizontal="center"/>
    </xf>
    <xf numFmtId="0" fontId="9" fillId="0" borderId="0" xfId="8" applyFont="1" applyFill="1" applyBorder="1" applyAlignment="1">
      <alignment horizontal="center"/>
    </xf>
    <xf numFmtId="0" fontId="9" fillId="0" borderId="0" xfId="10" applyFont="1" applyFill="1" applyBorder="1" applyAlignment="1">
      <alignment horizontal="center"/>
    </xf>
    <xf numFmtId="0" fontId="37" fillId="0" borderId="0" xfId="8" applyFont="1" applyBorder="1" applyAlignment="1">
      <alignment horizontal="center"/>
    </xf>
    <xf numFmtId="0" fontId="37" fillId="0" borderId="0" xfId="8" applyFont="1" applyFill="1" applyBorder="1" applyAlignment="1">
      <alignment horizontal="center"/>
    </xf>
    <xf numFmtId="0" fontId="37" fillId="0" borderId="0" xfId="10" applyFont="1" applyFill="1" applyBorder="1" applyAlignment="1">
      <alignment horizontal="center"/>
    </xf>
    <xf numFmtId="0" fontId="13" fillId="0" borderId="0" xfId="8" applyFont="1" applyBorder="1" applyAlignment="1">
      <alignment horizontal="center"/>
    </xf>
    <xf numFmtId="0" fontId="13" fillId="0" borderId="0" xfId="10" applyFont="1" applyFill="1" applyBorder="1" applyAlignment="1">
      <alignment horizontal="center"/>
    </xf>
    <xf numFmtId="43" fontId="9" fillId="0" borderId="19" xfId="9" applyFont="1" applyBorder="1" applyAlignment="1">
      <alignment horizontal="center" vertical="center"/>
    </xf>
    <xf numFmtId="43" fontId="9" fillId="0" borderId="15" xfId="9" applyFont="1" applyBorder="1" applyAlignment="1">
      <alignment horizontal="center" vertical="center"/>
    </xf>
    <xf numFmtId="43" fontId="9" fillId="0" borderId="40" xfId="9" applyFont="1" applyBorder="1" applyAlignment="1">
      <alignment horizontal="center" vertical="center"/>
    </xf>
    <xf numFmtId="0" fontId="9" fillId="0" borderId="0" xfId="8" applyFont="1" applyBorder="1" applyAlignment="1">
      <alignment horizontal="center" vertical="center"/>
    </xf>
    <xf numFmtId="0" fontId="9" fillId="0" borderId="0" xfId="8" applyFont="1" applyBorder="1" applyAlignment="1">
      <alignment horizontal="center"/>
    </xf>
    <xf numFmtId="43" fontId="19" fillId="0" borderId="0" xfId="8" quotePrefix="1" applyNumberFormat="1" applyFont="1" applyBorder="1" applyAlignment="1">
      <alignment horizontal="center" vertical="center" textRotation="180" wrapText="1"/>
    </xf>
    <xf numFmtId="0" fontId="44" fillId="0" borderId="0" xfId="8" quotePrefix="1" applyFont="1" applyAlignment="1">
      <alignment horizontal="center" vertical="center" textRotation="180"/>
    </xf>
    <xf numFmtId="0" fontId="44" fillId="0" borderId="0" xfId="8" applyFont="1" applyAlignment="1">
      <alignment horizontal="center" vertical="center" textRotation="180"/>
    </xf>
    <xf numFmtId="0" fontId="13" fillId="0" borderId="0" xfId="8" applyFont="1" applyBorder="1" applyAlignment="1">
      <alignment horizontal="left" vertical="top" wrapText="1"/>
    </xf>
    <xf numFmtId="0" fontId="13" fillId="0" borderId="0" xfId="8" applyFont="1" applyBorder="1" applyAlignment="1">
      <alignment horizontal="left" wrapText="1"/>
    </xf>
    <xf numFmtId="0" fontId="9" fillId="3" borderId="9" xfId="8" applyFont="1" applyFill="1" applyBorder="1" applyAlignment="1">
      <alignment horizontal="center" vertical="center"/>
    </xf>
    <xf numFmtId="0" fontId="9" fillId="3" borderId="5" xfId="8" applyFont="1" applyFill="1" applyBorder="1" applyAlignment="1">
      <alignment horizontal="center" vertical="center"/>
    </xf>
    <xf numFmtId="0" fontId="9" fillId="3" borderId="15" xfId="8" applyFont="1" applyFill="1" applyBorder="1" applyAlignment="1">
      <alignment horizontal="center"/>
    </xf>
    <xf numFmtId="0" fontId="9" fillId="3" borderId="40" xfId="8" applyFont="1" applyFill="1" applyBorder="1" applyAlignment="1">
      <alignment horizontal="center"/>
    </xf>
    <xf numFmtId="0" fontId="9" fillId="0" borderId="27" xfId="8" applyFont="1" applyFill="1" applyBorder="1" applyAlignment="1">
      <alignment horizontal="left" vertical="top" wrapText="1"/>
    </xf>
    <xf numFmtId="0" fontId="9" fillId="0" borderId="0" xfId="8" applyFont="1" applyFill="1" applyBorder="1" applyAlignment="1">
      <alignment horizontal="left" vertical="top" wrapText="1"/>
    </xf>
    <xf numFmtId="0" fontId="44" fillId="0" borderId="0" xfId="8" quotePrefix="1" applyFont="1" applyAlignment="1">
      <alignment horizontal="center" vertical="distributed" textRotation="180"/>
    </xf>
    <xf numFmtId="0" fontId="44" fillId="0" borderId="0" xfId="8" applyFont="1" applyAlignment="1">
      <alignment horizontal="center" vertical="distributed" textRotation="180"/>
    </xf>
    <xf numFmtId="0" fontId="9" fillId="3" borderId="3" xfId="8" applyFont="1" applyFill="1" applyBorder="1" applyAlignment="1">
      <alignment horizontal="center" vertical="center" wrapText="1"/>
    </xf>
    <xf numFmtId="0" fontId="9" fillId="3" borderId="4" xfId="8" applyFont="1" applyFill="1" applyBorder="1" applyAlignment="1">
      <alignment horizontal="center" vertical="center" wrapText="1"/>
    </xf>
    <xf numFmtId="0" fontId="51" fillId="0" borderId="0" xfId="8" applyFont="1" applyBorder="1" applyAlignment="1">
      <alignment horizontal="center"/>
    </xf>
    <xf numFmtId="0" fontId="52" fillId="0" borderId="0" xfId="8" applyFont="1" applyBorder="1" applyAlignment="1">
      <alignment horizontal="center"/>
    </xf>
    <xf numFmtId="0" fontId="36" fillId="0" borderId="0" xfId="8" applyFont="1" applyBorder="1" applyAlignment="1">
      <alignment horizontal="left"/>
    </xf>
    <xf numFmtId="0" fontId="37" fillId="3" borderId="1" xfId="8" applyFont="1" applyFill="1" applyBorder="1" applyAlignment="1">
      <alignment horizontal="center" vertical="center" wrapText="1"/>
    </xf>
    <xf numFmtId="0" fontId="37" fillId="3" borderId="3" xfId="8" applyFont="1" applyFill="1" applyBorder="1" applyAlignment="1">
      <alignment horizontal="center" vertical="center" wrapText="1"/>
    </xf>
    <xf numFmtId="0" fontId="37" fillId="3" borderId="19" xfId="8" applyFont="1" applyFill="1" applyBorder="1" applyAlignment="1">
      <alignment horizontal="center" vertical="center" wrapText="1"/>
    </xf>
    <xf numFmtId="0" fontId="37" fillId="3" borderId="15" xfId="8" applyFont="1" applyFill="1" applyBorder="1" applyAlignment="1">
      <alignment horizontal="center" vertical="center" wrapText="1"/>
    </xf>
    <xf numFmtId="0" fontId="37" fillId="3" borderId="40" xfId="8" applyFont="1" applyFill="1" applyBorder="1" applyAlignment="1">
      <alignment horizontal="center" vertical="center" wrapText="1"/>
    </xf>
    <xf numFmtId="0" fontId="36" fillId="0" borderId="0" xfId="8" applyFont="1" applyBorder="1" applyAlignment="1">
      <alignment horizontal="center"/>
    </xf>
    <xf numFmtId="0" fontId="36" fillId="0" borderId="0" xfId="8" applyFont="1" applyFill="1" applyBorder="1" applyAlignment="1">
      <alignment horizontal="center"/>
    </xf>
    <xf numFmtId="0" fontId="36" fillId="0" borderId="0" xfId="10" applyFont="1" applyFill="1" applyBorder="1" applyAlignment="1">
      <alignment horizontal="center"/>
    </xf>
    <xf numFmtId="43" fontId="36" fillId="0" borderId="1" xfId="9" applyFont="1" applyBorder="1" applyAlignment="1">
      <alignment horizontal="center" vertical="center"/>
    </xf>
    <xf numFmtId="43" fontId="36" fillId="0" borderId="2" xfId="9" applyFont="1" applyBorder="1" applyAlignment="1">
      <alignment horizontal="center" vertical="center"/>
    </xf>
    <xf numFmtId="43" fontId="36" fillId="0" borderId="3" xfId="9" applyFont="1" applyBorder="1" applyAlignment="1">
      <alignment horizontal="center" vertical="center"/>
    </xf>
    <xf numFmtId="0" fontId="9" fillId="3" borderId="1" xfId="8" applyFont="1" applyFill="1" applyBorder="1" applyAlignment="1">
      <alignment horizontal="center" vertical="center"/>
    </xf>
    <xf numFmtId="0" fontId="9" fillId="3" borderId="3" xfId="8" applyFont="1" applyFill="1" applyBorder="1" applyAlignment="1">
      <alignment horizontal="center" vertical="center"/>
    </xf>
    <xf numFmtId="0" fontId="9" fillId="3" borderId="19" xfId="8" applyFont="1" applyFill="1" applyBorder="1" applyAlignment="1">
      <alignment horizontal="center"/>
    </xf>
    <xf numFmtId="0" fontId="13" fillId="0" borderId="26" xfId="8" applyFont="1" applyFill="1" applyBorder="1" applyAlignment="1">
      <alignment horizontal="left" vertical="top" wrapText="1"/>
    </xf>
    <xf numFmtId="0" fontId="13" fillId="0" borderId="25" xfId="8" applyFont="1" applyFill="1" applyBorder="1" applyAlignment="1">
      <alignment horizontal="left" vertical="top" wrapText="1"/>
    </xf>
    <xf numFmtId="0" fontId="13" fillId="0" borderId="26" xfId="8" applyFont="1" applyBorder="1" applyAlignment="1">
      <alignment horizontal="left" vertical="top" wrapText="1"/>
    </xf>
    <xf numFmtId="0" fontId="13" fillId="0" borderId="6" xfId="8" applyFont="1" applyBorder="1" applyAlignment="1">
      <alignment horizontal="left" vertical="top" wrapText="1"/>
    </xf>
    <xf numFmtId="0" fontId="13" fillId="0" borderId="25" xfId="8" applyFont="1" applyBorder="1" applyAlignment="1">
      <alignment horizontal="left" vertical="top" wrapText="1"/>
    </xf>
    <xf numFmtId="0" fontId="13" fillId="0" borderId="12" xfId="8" applyFont="1" applyBorder="1" applyAlignment="1">
      <alignment horizontal="left" wrapText="1"/>
    </xf>
    <xf numFmtId="0" fontId="13" fillId="0" borderId="0" xfId="8" applyFont="1" applyAlignment="1">
      <alignment horizontal="left" wrapText="1"/>
    </xf>
    <xf numFmtId="49" fontId="13" fillId="0" borderId="1" xfId="8" applyNumberFormat="1" applyFont="1" applyFill="1" applyBorder="1" applyAlignment="1">
      <alignment horizontal="left" vertical="center" wrapText="1"/>
    </xf>
    <xf numFmtId="49" fontId="13" fillId="0" borderId="2" xfId="8" applyNumberFormat="1" applyFont="1" applyFill="1" applyBorder="1" applyAlignment="1">
      <alignment horizontal="left" vertical="center" wrapText="1"/>
    </xf>
    <xf numFmtId="49" fontId="13" fillId="0" borderId="3" xfId="8" applyNumberFormat="1" applyFont="1" applyFill="1" applyBorder="1" applyAlignment="1">
      <alignment horizontal="left" vertical="center" wrapText="1"/>
    </xf>
    <xf numFmtId="0" fontId="13" fillId="0" borderId="0" xfId="8" applyFont="1" applyFill="1" applyBorder="1" applyAlignment="1">
      <alignment horizontal="left" vertical="top" wrapText="1"/>
    </xf>
    <xf numFmtId="167" fontId="13" fillId="0" borderId="1" xfId="9" applyNumberFormat="1" applyFont="1" applyFill="1" applyBorder="1" applyAlignment="1">
      <alignment horizontal="left" vertical="top" wrapText="1"/>
    </xf>
    <xf numFmtId="167" fontId="13" fillId="0" borderId="2" xfId="9" applyNumberFormat="1" applyFont="1" applyFill="1" applyBorder="1" applyAlignment="1">
      <alignment horizontal="left" vertical="top" wrapText="1"/>
    </xf>
    <xf numFmtId="167" fontId="13" fillId="0" borderId="3" xfId="9" applyNumberFormat="1" applyFont="1" applyFill="1" applyBorder="1" applyAlignment="1">
      <alignment horizontal="left" vertical="top" wrapText="1"/>
    </xf>
    <xf numFmtId="43" fontId="36" fillId="0" borderId="5" xfId="9" applyNumberFormat="1" applyFont="1" applyBorder="1" applyAlignment="1">
      <alignment horizontal="center" vertical="center"/>
    </xf>
    <xf numFmtId="43" fontId="36" fillId="0" borderId="0" xfId="9" applyNumberFormat="1" applyFont="1" applyBorder="1" applyAlignment="1">
      <alignment horizontal="center" vertical="center"/>
    </xf>
    <xf numFmtId="43" fontId="36" fillId="0" borderId="6" xfId="9" applyNumberFormat="1" applyFont="1" applyBorder="1" applyAlignment="1">
      <alignment horizontal="center" vertical="center"/>
    </xf>
    <xf numFmtId="0" fontId="36" fillId="0" borderId="1" xfId="8" applyFont="1" applyFill="1" applyBorder="1" applyAlignment="1">
      <alignment horizontal="center" vertical="center" wrapText="1"/>
    </xf>
    <xf numFmtId="0" fontId="36" fillId="0" borderId="2" xfId="8" applyFont="1" applyFill="1" applyBorder="1" applyAlignment="1">
      <alignment horizontal="center" vertical="center" wrapText="1"/>
    </xf>
    <xf numFmtId="0" fontId="36" fillId="0" borderId="3" xfId="8" applyFont="1" applyFill="1" applyBorder="1" applyAlignment="1">
      <alignment horizontal="center" vertical="center" wrapText="1"/>
    </xf>
    <xf numFmtId="49" fontId="36" fillId="0" borderId="1" xfId="8" applyNumberFormat="1" applyFont="1" applyBorder="1" applyAlignment="1">
      <alignment horizontal="center" vertical="center"/>
    </xf>
    <xf numFmtId="49" fontId="36" fillId="0" borderId="2" xfId="8" applyNumberFormat="1" applyFont="1" applyBorder="1" applyAlignment="1">
      <alignment horizontal="center" vertical="center"/>
    </xf>
    <xf numFmtId="49" fontId="36" fillId="0" borderId="3" xfId="8" applyNumberFormat="1" applyFont="1" applyBorder="1" applyAlignment="1">
      <alignment horizontal="center" vertical="center"/>
    </xf>
    <xf numFmtId="0" fontId="36" fillId="0" borderId="0" xfId="8" applyFont="1" applyBorder="1" applyAlignment="1">
      <alignment horizontal="left" vertical="top" wrapText="1"/>
    </xf>
    <xf numFmtId="0" fontId="36" fillId="0" borderId="0" xfId="8" applyFont="1" applyAlignment="1">
      <alignment horizontal="left" vertical="top" wrapText="1"/>
    </xf>
    <xf numFmtId="0" fontId="36" fillId="0" borderId="0" xfId="8" applyFont="1" applyAlignment="1">
      <alignment horizontal="center" vertical="top"/>
    </xf>
    <xf numFmtId="0" fontId="37" fillId="3" borderId="27" xfId="8" applyFont="1" applyFill="1" applyBorder="1" applyAlignment="1">
      <alignment horizontal="center" vertical="center" wrapText="1"/>
    </xf>
    <xf numFmtId="0" fontId="37" fillId="3" borderId="26" xfId="8" applyFont="1" applyFill="1" applyBorder="1" applyAlignment="1">
      <alignment horizontal="center" vertical="center" wrapText="1"/>
    </xf>
    <xf numFmtId="43" fontId="36" fillId="0" borderId="9" xfId="9" applyFont="1" applyBorder="1" applyAlignment="1">
      <alignment horizontal="center" vertical="center"/>
    </xf>
    <xf numFmtId="43" fontId="36" fillId="0" borderId="5" xfId="9" applyFont="1" applyBorder="1" applyAlignment="1">
      <alignment horizontal="center" vertical="center"/>
    </xf>
    <xf numFmtId="43" fontId="36" fillId="0" borderId="7" xfId="9" applyFont="1" applyBorder="1" applyAlignment="1">
      <alignment horizontal="center" vertical="center"/>
    </xf>
    <xf numFmtId="43" fontId="36" fillId="0" borderId="27" xfId="9" applyFont="1" applyBorder="1" applyAlignment="1">
      <alignment horizontal="center" vertical="center"/>
    </xf>
    <xf numFmtId="43" fontId="36" fillId="0" borderId="0" xfId="9" applyFont="1" applyBorder="1" applyAlignment="1">
      <alignment horizontal="center" vertical="center"/>
    </xf>
    <xf numFmtId="43" fontId="36" fillId="0" borderId="12" xfId="9" applyFont="1" applyBorder="1" applyAlignment="1">
      <alignment horizontal="center" vertical="center"/>
    </xf>
    <xf numFmtId="43" fontId="36" fillId="0" borderId="26" xfId="9" applyFont="1" applyBorder="1" applyAlignment="1">
      <alignment horizontal="center" vertical="center"/>
    </xf>
    <xf numFmtId="43" fontId="36" fillId="0" borderId="6" xfId="9" applyFont="1" applyBorder="1" applyAlignment="1">
      <alignment horizontal="center" vertical="center"/>
    </xf>
    <xf numFmtId="43" fontId="36" fillId="0" borderId="25" xfId="9" applyFont="1" applyBorder="1" applyAlignment="1">
      <alignment horizontal="center" vertical="center"/>
    </xf>
    <xf numFmtId="0" fontId="37" fillId="3" borderId="0" xfId="8" applyFont="1" applyFill="1" applyBorder="1" applyAlignment="1">
      <alignment horizontal="center" vertical="center" wrapText="1"/>
    </xf>
    <xf numFmtId="0" fontId="9" fillId="3" borderId="7" xfId="8" applyFont="1" applyFill="1" applyBorder="1" applyAlignment="1">
      <alignment horizontal="center" vertical="center"/>
    </xf>
    <xf numFmtId="0" fontId="13" fillId="0" borderId="1" xfId="8" applyFont="1" applyBorder="1" applyAlignment="1">
      <alignment horizontal="left" vertical="center" wrapText="1"/>
    </xf>
    <xf numFmtId="0" fontId="13" fillId="0" borderId="2" xfId="8" applyFont="1" applyBorder="1" applyAlignment="1">
      <alignment wrapText="1"/>
    </xf>
    <xf numFmtId="0" fontId="13" fillId="0" borderId="2" xfId="8" applyFont="1" applyBorder="1" applyAlignment="1">
      <alignment vertical="top" wrapText="1"/>
    </xf>
    <xf numFmtId="0" fontId="13" fillId="0" borderId="3" xfId="8" applyFont="1" applyBorder="1" applyAlignment="1">
      <alignment vertical="top" wrapText="1"/>
    </xf>
    <xf numFmtId="0" fontId="44" fillId="0" borderId="0" xfId="0" quotePrefix="1" applyFont="1" applyAlignment="1">
      <alignment horizontal="center"/>
    </xf>
    <xf numFmtId="0" fontId="44" fillId="0" borderId="0" xfId="0" applyFont="1" applyAlignment="1">
      <alignment horizontal="center"/>
    </xf>
    <xf numFmtId="0" fontId="11" fillId="0" borderId="0" xfId="0" applyFont="1" applyAlignment="1">
      <alignment horizontal="center"/>
    </xf>
    <xf numFmtId="0" fontId="4" fillId="0" borderId="0" xfId="0" applyFont="1" applyAlignment="1">
      <alignment horizont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xf>
    <xf numFmtId="0" fontId="7" fillId="0" borderId="15" xfId="0" applyFont="1" applyBorder="1" applyAlignment="1">
      <alignment horizontal="center"/>
    </xf>
    <xf numFmtId="0" fontId="7" fillId="0" borderId="40" xfId="0" applyFont="1" applyBorder="1" applyAlignment="1">
      <alignment horizontal="center"/>
    </xf>
    <xf numFmtId="0" fontId="7" fillId="0" borderId="7" xfId="0" applyFont="1" applyBorder="1" applyAlignment="1">
      <alignment horizontal="center"/>
    </xf>
    <xf numFmtId="0" fontId="7" fillId="0" borderId="12" xfId="0" applyFont="1" applyBorder="1" applyAlignment="1">
      <alignment horizontal="center"/>
    </xf>
    <xf numFmtId="0" fontId="7" fillId="0" borderId="25" xfId="0" applyFont="1" applyBorder="1" applyAlignment="1">
      <alignment horizontal="center"/>
    </xf>
    <xf numFmtId="49" fontId="7" fillId="0" borderId="0" xfId="0" applyNumberFormat="1" applyFont="1" applyAlignment="1">
      <alignment horizontal="center"/>
    </xf>
    <xf numFmtId="0" fontId="0" fillId="0" borderId="23" xfId="0" applyBorder="1" applyAlignment="1">
      <alignment horizontal="center"/>
    </xf>
    <xf numFmtId="0" fontId="0" fillId="0" borderId="14" xfId="0" applyBorder="1" applyAlignment="1">
      <alignment horizontal="center"/>
    </xf>
    <xf numFmtId="0" fontId="0" fillId="0" borderId="24" xfId="0" applyBorder="1" applyAlignment="1">
      <alignment horizontal="center"/>
    </xf>
    <xf numFmtId="0" fontId="7" fillId="0" borderId="22" xfId="0" applyFont="1" applyBorder="1" applyAlignment="1">
      <alignment horizontal="center"/>
    </xf>
    <xf numFmtId="49" fontId="11" fillId="0" borderId="0" xfId="0" applyNumberFormat="1" applyFont="1" applyAlignment="1">
      <alignment horizontal="center"/>
    </xf>
    <xf numFmtId="49" fontId="44" fillId="0" borderId="0" xfId="0" quotePrefix="1" applyNumberFormat="1" applyFont="1" applyAlignment="1">
      <alignment horizontal="center"/>
    </xf>
    <xf numFmtId="49" fontId="44" fillId="0" borderId="0" xfId="0" applyNumberFormat="1" applyFont="1" applyAlignment="1">
      <alignment horizontal="center"/>
    </xf>
    <xf numFmtId="49" fontId="4" fillId="0" borderId="0" xfId="0" applyNumberFormat="1" applyFont="1" applyAlignment="1">
      <alignment horizontal="center"/>
    </xf>
    <xf numFmtId="49" fontId="19" fillId="0" borderId="0" xfId="0" applyNumberFormat="1" applyFont="1" applyAlignment="1">
      <alignment horizontal="center"/>
    </xf>
    <xf numFmtId="0" fontId="15" fillId="0" borderId="19" xfId="6" applyFont="1" applyBorder="1" applyAlignment="1">
      <alignment horizontal="center"/>
    </xf>
    <xf numFmtId="0" fontId="15" fillId="0" borderId="15" xfId="6" applyFont="1" applyBorder="1" applyAlignment="1">
      <alignment horizontal="center"/>
    </xf>
    <xf numFmtId="0" fontId="15" fillId="0" borderId="40" xfId="6" applyFont="1" applyBorder="1" applyAlignment="1">
      <alignment horizontal="center"/>
    </xf>
    <xf numFmtId="0" fontId="16" fillId="0" borderId="14" xfId="6" applyFont="1" applyBorder="1" applyAlignment="1">
      <alignment horizontal="center"/>
    </xf>
    <xf numFmtId="0" fontId="16" fillId="0" borderId="0" xfId="6" applyFont="1" applyAlignment="1">
      <alignment horizontal="center"/>
    </xf>
    <xf numFmtId="0" fontId="15" fillId="0" borderId="62" xfId="6" applyFont="1" applyBorder="1" applyAlignment="1">
      <alignment horizontal="center"/>
    </xf>
    <xf numFmtId="0" fontId="15" fillId="0" borderId="13" xfId="6" applyFont="1" applyBorder="1" applyAlignment="1">
      <alignment horizontal="center"/>
    </xf>
    <xf numFmtId="0" fontId="15" fillId="0" borderId="63" xfId="6" applyFont="1" applyBorder="1" applyAlignment="1">
      <alignment horizontal="center"/>
    </xf>
    <xf numFmtId="0" fontId="16" fillId="0" borderId="22" xfId="6" applyFont="1" applyBorder="1" applyAlignment="1">
      <alignment horizontal="center" wrapText="1"/>
    </xf>
    <xf numFmtId="0" fontId="16" fillId="0" borderId="0" xfId="6" applyFont="1" applyBorder="1" applyAlignment="1">
      <alignment horizontal="center" wrapText="1"/>
    </xf>
    <xf numFmtId="0" fontId="16" fillId="0" borderId="64" xfId="6" applyFont="1" applyBorder="1" applyAlignment="1">
      <alignment horizontal="center" wrapText="1"/>
    </xf>
    <xf numFmtId="0" fontId="15" fillId="0" borderId="7" xfId="6" applyFont="1" applyBorder="1" applyAlignment="1">
      <alignment horizontal="center"/>
    </xf>
    <xf numFmtId="0" fontId="15" fillId="0" borderId="12" xfId="6" applyFont="1" applyBorder="1" applyAlignment="1">
      <alignment horizontal="center"/>
    </xf>
    <xf numFmtId="0" fontId="15" fillId="0" borderId="25" xfId="6" applyFont="1" applyBorder="1" applyAlignment="1">
      <alignment horizontal="center"/>
    </xf>
    <xf numFmtId="0" fontId="15" fillId="0" borderId="0" xfId="6" applyFont="1" applyAlignment="1">
      <alignment horizontal="center"/>
    </xf>
    <xf numFmtId="0" fontId="44" fillId="0" borderId="0" xfId="6" applyFont="1" applyAlignment="1">
      <alignment horizontal="center"/>
    </xf>
    <xf numFmtId="0" fontId="15" fillId="0" borderId="46" xfId="6" applyFont="1" applyBorder="1" applyAlignment="1">
      <alignment horizontal="center"/>
    </xf>
    <xf numFmtId="0" fontId="15" fillId="0" borderId="47" xfId="6" applyFont="1" applyBorder="1" applyAlignment="1">
      <alignment horizontal="center"/>
    </xf>
    <xf numFmtId="0" fontId="15" fillId="0" borderId="48" xfId="6" applyFont="1" applyBorder="1" applyAlignment="1">
      <alignment horizontal="center"/>
    </xf>
    <xf numFmtId="0" fontId="19" fillId="0" borderId="0" xfId="0" applyFont="1" applyAlignment="1">
      <alignment horizontal="center"/>
    </xf>
    <xf numFmtId="0" fontId="46" fillId="0" borderId="0" xfId="0" applyFont="1" applyAlignment="1">
      <alignment horizontal="center"/>
    </xf>
    <xf numFmtId="0" fontId="17" fillId="0" borderId="0" xfId="0" applyFont="1" applyAlignment="1">
      <alignment horizontal="center"/>
    </xf>
    <xf numFmtId="0" fontId="22" fillId="0" borderId="0" xfId="0" applyFont="1" applyAlignment="1">
      <alignment horizontal="center"/>
    </xf>
    <xf numFmtId="0" fontId="13" fillId="0" borderId="0" xfId="0" applyFont="1" applyAlignment="1">
      <alignment horizontal="center"/>
    </xf>
    <xf numFmtId="0" fontId="5" fillId="0" borderId="0" xfId="0" applyFont="1" applyAlignment="1">
      <alignment horizontal="center"/>
    </xf>
    <xf numFmtId="43" fontId="32" fillId="0" borderId="0" xfId="0" quotePrefix="1" applyNumberFormat="1" applyFont="1" applyBorder="1" applyAlignment="1">
      <alignment horizontal="center"/>
    </xf>
    <xf numFmtId="0" fontId="14" fillId="0" borderId="0" xfId="0" applyFont="1" applyAlignment="1">
      <alignment horizontal="center"/>
    </xf>
    <xf numFmtId="0" fontId="21" fillId="0" borderId="0" xfId="0" applyFont="1" applyAlignment="1">
      <alignment horizontal="center"/>
    </xf>
    <xf numFmtId="0" fontId="65" fillId="0" borderId="0" xfId="14" applyFont="1" applyAlignment="1">
      <alignment horizontal="center"/>
    </xf>
    <xf numFmtId="0" fontId="65" fillId="0" borderId="0" xfId="14" applyFont="1" applyBorder="1" applyAlignment="1">
      <alignment horizontal="center"/>
    </xf>
    <xf numFmtId="0" fontId="24" fillId="0" borderId="5" xfId="14" applyFont="1" applyBorder="1" applyAlignment="1">
      <alignment horizontal="center"/>
    </xf>
    <xf numFmtId="0" fontId="24" fillId="0" borderId="0" xfId="14" applyFont="1" applyBorder="1" applyAlignment="1">
      <alignment horizontal="center"/>
    </xf>
    <xf numFmtId="0" fontId="24" fillId="0" borderId="6" xfId="14" applyFont="1" applyBorder="1" applyAlignment="1">
      <alignment horizontal="center"/>
    </xf>
    <xf numFmtId="43" fontId="59" fillId="0" borderId="0" xfId="13" applyNumberFormat="1" applyFont="1"/>
  </cellXfs>
  <cellStyles count="18">
    <cellStyle name="Comma" xfId="1" builtinId="3"/>
    <cellStyle name="Comma 2" xfId="2"/>
    <cellStyle name="Comma 2 2" xfId="7"/>
    <cellStyle name="Comma 3" xfId="3"/>
    <cellStyle name="Comma 4" xfId="9"/>
    <cellStyle name="Comma 4 2" xfId="15"/>
    <cellStyle name="Comma 5" xfId="12"/>
    <cellStyle name="Excel Built-in Normal" xfId="10"/>
    <cellStyle name="Normal" xfId="0" builtinId="0"/>
    <cellStyle name="Normal 2" xfId="4"/>
    <cellStyle name="Normal 2 2" xfId="6"/>
    <cellStyle name="Normal 2 3" xfId="13"/>
    <cellStyle name="Normal 2 3 2" xfId="16"/>
    <cellStyle name="Normal 3" xfId="5"/>
    <cellStyle name="Normal 4" xfId="8"/>
    <cellStyle name="Normal 4 2" xfId="17"/>
    <cellStyle name="Normal 5" xfId="11"/>
    <cellStyle name="Normal 6" xfId="1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19048</xdr:rowOff>
    </xdr:from>
    <xdr:to>
      <xdr:col>5</xdr:col>
      <xdr:colOff>704851</xdr:colOff>
      <xdr:row>6</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19048"/>
          <a:ext cx="1352552" cy="13525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352425</xdr:colOff>
      <xdr:row>0</xdr:row>
      <xdr:rowOff>0</xdr:rowOff>
    </xdr:from>
    <xdr:to>
      <xdr:col>4</xdr:col>
      <xdr:colOff>228599</xdr:colOff>
      <xdr:row>5</xdr:row>
      <xdr:rowOff>152399</xdr:rowOff>
    </xdr:to>
    <xdr:pic>
      <xdr:nvPicPr>
        <xdr:cNvPr id="3" name="Picture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100" y="0"/>
          <a:ext cx="1104899" cy="1104899"/>
        </a:xfrm>
        <a:prstGeom prst="rect">
          <a:avLst/>
        </a:prstGeom>
      </xdr:spPr>
    </xdr:pic>
    <xdr:clientData/>
  </xdr:twoCellAnchor>
  <xdr:twoCellAnchor editAs="oneCell">
    <xdr:from>
      <xdr:col>2</xdr:col>
      <xdr:colOff>123834</xdr:colOff>
      <xdr:row>199</xdr:row>
      <xdr:rowOff>76209</xdr:rowOff>
    </xdr:from>
    <xdr:to>
      <xdr:col>3</xdr:col>
      <xdr:colOff>742949</xdr:colOff>
      <xdr:row>205</xdr:row>
      <xdr:rowOff>9524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9" y="32594559"/>
          <a:ext cx="904865" cy="9048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466725</xdr:colOff>
      <xdr:row>4</xdr:row>
      <xdr:rowOff>219075</xdr:rowOff>
    </xdr:to>
    <xdr:pic>
      <xdr:nvPicPr>
        <xdr:cNvPr id="2" name="Picture 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3475"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5</xdr:col>
      <xdr:colOff>561975</xdr:colOff>
      <xdr:row>5</xdr:row>
      <xdr:rowOff>85725</xdr:rowOff>
    </xdr:to>
    <xdr:pic>
      <xdr:nvPicPr>
        <xdr:cNvPr id="2" name="Picture 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1209675" cy="1209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5</xdr:col>
      <xdr:colOff>575310</xdr:colOff>
      <xdr:row>6</xdr:row>
      <xdr:rowOff>72074</xdr:rowOff>
    </xdr:to>
    <xdr:pic>
      <xdr:nvPicPr>
        <xdr:cNvPr id="2"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1270635" cy="1205549"/>
        </a:xfrm>
        <a:prstGeom prst="rect">
          <a:avLst/>
        </a:prstGeom>
      </xdr:spPr>
    </xdr:pic>
    <xdr:clientData/>
  </xdr:twoCellAnchor>
  <xdr:twoCellAnchor editAs="oneCell">
    <xdr:from>
      <xdr:col>0</xdr:col>
      <xdr:colOff>28575</xdr:colOff>
      <xdr:row>76</xdr:row>
      <xdr:rowOff>9525</xdr:rowOff>
    </xdr:from>
    <xdr:to>
      <xdr:col>5</xdr:col>
      <xdr:colOff>575310</xdr:colOff>
      <xdr:row>82</xdr:row>
      <xdr:rowOff>72074</xdr:rowOff>
    </xdr:to>
    <xdr:pic>
      <xdr:nvPicPr>
        <xdr:cNvPr id="5" name="Picture 4">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6097250"/>
          <a:ext cx="1270635" cy="1205549"/>
        </a:xfrm>
        <a:prstGeom prst="rect">
          <a:avLst/>
        </a:prstGeom>
      </xdr:spPr>
    </xdr:pic>
    <xdr:clientData/>
  </xdr:twoCellAnchor>
  <xdr:twoCellAnchor editAs="oneCell">
    <xdr:from>
      <xdr:col>0</xdr:col>
      <xdr:colOff>38100</xdr:colOff>
      <xdr:row>494</xdr:row>
      <xdr:rowOff>9525</xdr:rowOff>
    </xdr:from>
    <xdr:to>
      <xdr:col>5</xdr:col>
      <xdr:colOff>593514</xdr:colOff>
      <xdr:row>500</xdr:row>
      <xdr:rowOff>64008</xdr:rowOff>
    </xdr:to>
    <xdr:pic>
      <xdr:nvPicPr>
        <xdr:cNvPr id="16" name="Picture 15">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08527850"/>
          <a:ext cx="1288839" cy="1187958"/>
        </a:xfrm>
        <a:prstGeom prst="rect">
          <a:avLst/>
        </a:prstGeom>
      </xdr:spPr>
    </xdr:pic>
    <xdr:clientData/>
  </xdr:twoCellAnchor>
  <xdr:twoCellAnchor editAs="oneCell">
    <xdr:from>
      <xdr:col>0</xdr:col>
      <xdr:colOff>9525</xdr:colOff>
      <xdr:row>764</xdr:row>
      <xdr:rowOff>238126</xdr:rowOff>
    </xdr:from>
    <xdr:to>
      <xdr:col>5</xdr:col>
      <xdr:colOff>556260</xdr:colOff>
      <xdr:row>770</xdr:row>
      <xdr:rowOff>151130</xdr:rowOff>
    </xdr:to>
    <xdr:pic>
      <xdr:nvPicPr>
        <xdr:cNvPr id="20" name="Picture 19">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168706801"/>
          <a:ext cx="1280160" cy="1141729"/>
        </a:xfrm>
        <a:prstGeom prst="rect">
          <a:avLst/>
        </a:prstGeom>
      </xdr:spPr>
    </xdr:pic>
    <xdr:clientData/>
  </xdr:twoCellAnchor>
  <xdr:twoCellAnchor editAs="oneCell">
    <xdr:from>
      <xdr:col>0</xdr:col>
      <xdr:colOff>0</xdr:colOff>
      <xdr:row>152</xdr:row>
      <xdr:rowOff>9525</xdr:rowOff>
    </xdr:from>
    <xdr:to>
      <xdr:col>5</xdr:col>
      <xdr:colOff>546735</xdr:colOff>
      <xdr:row>158</xdr:row>
      <xdr:rowOff>72074</xdr:rowOff>
    </xdr:to>
    <xdr:pic>
      <xdr:nvPicPr>
        <xdr:cNvPr id="24" name="Picture 2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889700"/>
          <a:ext cx="1270635" cy="1205549"/>
        </a:xfrm>
        <a:prstGeom prst="rect">
          <a:avLst/>
        </a:prstGeom>
      </xdr:spPr>
    </xdr:pic>
    <xdr:clientData/>
  </xdr:twoCellAnchor>
  <xdr:twoCellAnchor editAs="oneCell">
    <xdr:from>
      <xdr:col>0</xdr:col>
      <xdr:colOff>0</xdr:colOff>
      <xdr:row>222</xdr:row>
      <xdr:rowOff>0</xdr:rowOff>
    </xdr:from>
    <xdr:to>
      <xdr:col>5</xdr:col>
      <xdr:colOff>546735</xdr:colOff>
      <xdr:row>228</xdr:row>
      <xdr:rowOff>62549</xdr:rowOff>
    </xdr:to>
    <xdr:pic>
      <xdr:nvPicPr>
        <xdr:cNvPr id="25" name="Picture 24">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5796200"/>
          <a:ext cx="1270635" cy="1205549"/>
        </a:xfrm>
        <a:prstGeom prst="rect">
          <a:avLst/>
        </a:prstGeom>
      </xdr:spPr>
    </xdr:pic>
    <xdr:clientData/>
  </xdr:twoCellAnchor>
  <xdr:twoCellAnchor editAs="oneCell">
    <xdr:from>
      <xdr:col>0</xdr:col>
      <xdr:colOff>0</xdr:colOff>
      <xdr:row>291</xdr:row>
      <xdr:rowOff>0</xdr:rowOff>
    </xdr:from>
    <xdr:to>
      <xdr:col>5</xdr:col>
      <xdr:colOff>546735</xdr:colOff>
      <xdr:row>297</xdr:row>
      <xdr:rowOff>62549</xdr:rowOff>
    </xdr:to>
    <xdr:pic>
      <xdr:nvPicPr>
        <xdr:cNvPr id="26" name="Picture 25">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1607700"/>
          <a:ext cx="1270635" cy="1205549"/>
        </a:xfrm>
        <a:prstGeom prst="rect">
          <a:avLst/>
        </a:prstGeom>
      </xdr:spPr>
    </xdr:pic>
    <xdr:clientData/>
  </xdr:twoCellAnchor>
  <xdr:twoCellAnchor editAs="oneCell">
    <xdr:from>
      <xdr:col>0</xdr:col>
      <xdr:colOff>0</xdr:colOff>
      <xdr:row>359</xdr:row>
      <xdr:rowOff>0</xdr:rowOff>
    </xdr:from>
    <xdr:to>
      <xdr:col>5</xdr:col>
      <xdr:colOff>546735</xdr:colOff>
      <xdr:row>365</xdr:row>
      <xdr:rowOff>62549</xdr:rowOff>
    </xdr:to>
    <xdr:pic>
      <xdr:nvPicPr>
        <xdr:cNvPr id="27" name="Picture 26">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152375"/>
          <a:ext cx="1270635" cy="1205549"/>
        </a:xfrm>
        <a:prstGeom prst="rect">
          <a:avLst/>
        </a:prstGeom>
      </xdr:spPr>
    </xdr:pic>
    <xdr:clientData/>
  </xdr:twoCellAnchor>
  <xdr:twoCellAnchor editAs="oneCell">
    <xdr:from>
      <xdr:col>0</xdr:col>
      <xdr:colOff>57150</xdr:colOff>
      <xdr:row>426</xdr:row>
      <xdr:rowOff>219076</xdr:rowOff>
    </xdr:from>
    <xdr:to>
      <xdr:col>5</xdr:col>
      <xdr:colOff>537959</xdr:colOff>
      <xdr:row>432</xdr:row>
      <xdr:rowOff>180976</xdr:rowOff>
    </xdr:to>
    <xdr:pic>
      <xdr:nvPicPr>
        <xdr:cNvPr id="28" name="Picture 2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89830276"/>
          <a:ext cx="1204709" cy="1143000"/>
        </a:xfrm>
        <a:prstGeom prst="rect">
          <a:avLst/>
        </a:prstGeom>
      </xdr:spPr>
    </xdr:pic>
    <xdr:clientData/>
  </xdr:twoCellAnchor>
  <xdr:twoCellAnchor editAs="oneCell">
    <xdr:from>
      <xdr:col>0</xdr:col>
      <xdr:colOff>0</xdr:colOff>
      <xdr:row>558</xdr:row>
      <xdr:rowOff>0</xdr:rowOff>
    </xdr:from>
    <xdr:to>
      <xdr:col>5</xdr:col>
      <xdr:colOff>555414</xdr:colOff>
      <xdr:row>564</xdr:row>
      <xdr:rowOff>54483</xdr:rowOff>
    </xdr:to>
    <xdr:pic>
      <xdr:nvPicPr>
        <xdr:cNvPr id="29" name="Picture 28">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0862725"/>
          <a:ext cx="1279314" cy="1197483"/>
        </a:xfrm>
        <a:prstGeom prst="rect">
          <a:avLst/>
        </a:prstGeom>
      </xdr:spPr>
    </xdr:pic>
    <xdr:clientData/>
  </xdr:twoCellAnchor>
  <xdr:twoCellAnchor editAs="oneCell">
    <xdr:from>
      <xdr:col>0</xdr:col>
      <xdr:colOff>9525</xdr:colOff>
      <xdr:row>627</xdr:row>
      <xdr:rowOff>9525</xdr:rowOff>
    </xdr:from>
    <xdr:to>
      <xdr:col>5</xdr:col>
      <xdr:colOff>564939</xdr:colOff>
      <xdr:row>633</xdr:row>
      <xdr:rowOff>64008</xdr:rowOff>
    </xdr:to>
    <xdr:pic>
      <xdr:nvPicPr>
        <xdr:cNvPr id="31" name="Picture 3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134854950"/>
          <a:ext cx="1279314" cy="1197483"/>
        </a:xfrm>
        <a:prstGeom prst="rect">
          <a:avLst/>
        </a:prstGeom>
      </xdr:spPr>
    </xdr:pic>
    <xdr:clientData/>
  </xdr:twoCellAnchor>
  <xdr:twoCellAnchor editAs="oneCell">
    <xdr:from>
      <xdr:col>0</xdr:col>
      <xdr:colOff>0</xdr:colOff>
      <xdr:row>695</xdr:row>
      <xdr:rowOff>219075</xdr:rowOff>
    </xdr:from>
    <xdr:to>
      <xdr:col>5</xdr:col>
      <xdr:colOff>555414</xdr:colOff>
      <xdr:row>702</xdr:row>
      <xdr:rowOff>44958</xdr:rowOff>
    </xdr:to>
    <xdr:pic>
      <xdr:nvPicPr>
        <xdr:cNvPr id="32" name="Picture 31">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9847300"/>
          <a:ext cx="1279314" cy="1197483"/>
        </a:xfrm>
        <a:prstGeom prst="rect">
          <a:avLst/>
        </a:prstGeom>
      </xdr:spPr>
    </xdr:pic>
    <xdr:clientData/>
  </xdr:twoCellAnchor>
  <xdr:twoCellAnchor editAs="oneCell">
    <xdr:from>
      <xdr:col>0</xdr:col>
      <xdr:colOff>0</xdr:colOff>
      <xdr:row>833</xdr:row>
      <xdr:rowOff>0</xdr:rowOff>
    </xdr:from>
    <xdr:to>
      <xdr:col>5</xdr:col>
      <xdr:colOff>555414</xdr:colOff>
      <xdr:row>839</xdr:row>
      <xdr:rowOff>54483</xdr:rowOff>
    </xdr:to>
    <xdr:pic>
      <xdr:nvPicPr>
        <xdr:cNvPr id="33" name="Picture 3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9660550"/>
          <a:ext cx="1279314" cy="1197483"/>
        </a:xfrm>
        <a:prstGeom prst="rect">
          <a:avLst/>
        </a:prstGeom>
      </xdr:spPr>
    </xdr:pic>
    <xdr:clientData/>
  </xdr:twoCellAnchor>
  <xdr:twoCellAnchor editAs="oneCell">
    <xdr:from>
      <xdr:col>0</xdr:col>
      <xdr:colOff>0</xdr:colOff>
      <xdr:row>896</xdr:row>
      <xdr:rowOff>219075</xdr:rowOff>
    </xdr:from>
    <xdr:to>
      <xdr:col>5</xdr:col>
      <xdr:colOff>555414</xdr:colOff>
      <xdr:row>903</xdr:row>
      <xdr:rowOff>44958</xdr:rowOff>
    </xdr:to>
    <xdr:pic>
      <xdr:nvPicPr>
        <xdr:cNvPr id="34" name="Picture 33">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4691000"/>
          <a:ext cx="1279314" cy="1197483"/>
        </a:xfrm>
        <a:prstGeom prst="rect">
          <a:avLst/>
        </a:prstGeom>
      </xdr:spPr>
    </xdr:pic>
    <xdr:clientData/>
  </xdr:twoCellAnchor>
  <xdr:twoCellAnchor editAs="oneCell">
    <xdr:from>
      <xdr:col>0</xdr:col>
      <xdr:colOff>0</xdr:colOff>
      <xdr:row>960</xdr:row>
      <xdr:rowOff>209550</xdr:rowOff>
    </xdr:from>
    <xdr:to>
      <xdr:col>5</xdr:col>
      <xdr:colOff>555414</xdr:colOff>
      <xdr:row>967</xdr:row>
      <xdr:rowOff>35433</xdr:rowOff>
    </xdr:to>
    <xdr:pic>
      <xdr:nvPicPr>
        <xdr:cNvPr id="35" name="Picture 34">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9950050"/>
          <a:ext cx="1279314" cy="11974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xdr:row>
      <xdr:rowOff>19049</xdr:rowOff>
    </xdr:from>
    <xdr:to>
      <xdr:col>2</xdr:col>
      <xdr:colOff>193414</xdr:colOff>
      <xdr:row>7</xdr:row>
      <xdr:rowOff>213359</xdr:rowOff>
    </xdr:to>
    <xdr:pic>
      <xdr:nvPicPr>
        <xdr:cNvPr id="4" name="Picture 3">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4"/>
          <a:ext cx="1336414" cy="1280160"/>
        </a:xfrm>
        <a:prstGeom prst="rect">
          <a:avLst/>
        </a:prstGeom>
      </xdr:spPr>
    </xdr:pic>
    <xdr:clientData/>
  </xdr:twoCellAnchor>
  <xdr:twoCellAnchor editAs="oneCell">
    <xdr:from>
      <xdr:col>0</xdr:col>
      <xdr:colOff>28575</xdr:colOff>
      <xdr:row>82</xdr:row>
      <xdr:rowOff>9525</xdr:rowOff>
    </xdr:from>
    <xdr:to>
      <xdr:col>2</xdr:col>
      <xdr:colOff>202939</xdr:colOff>
      <xdr:row>89</xdr:row>
      <xdr:rowOff>13335</xdr:rowOff>
    </xdr:to>
    <xdr:pic>
      <xdr:nvPicPr>
        <xdr:cNvPr id="7" name="Picture 6">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297400"/>
          <a:ext cx="1336414" cy="1337310"/>
        </a:xfrm>
        <a:prstGeom prst="rect">
          <a:avLst/>
        </a:prstGeom>
      </xdr:spPr>
    </xdr:pic>
    <xdr:clientData/>
  </xdr:twoCellAnchor>
  <xdr:twoCellAnchor editAs="oneCell">
    <xdr:from>
      <xdr:col>0</xdr:col>
      <xdr:colOff>28575</xdr:colOff>
      <xdr:row>154</xdr:row>
      <xdr:rowOff>9525</xdr:rowOff>
    </xdr:from>
    <xdr:to>
      <xdr:col>2</xdr:col>
      <xdr:colOff>202939</xdr:colOff>
      <xdr:row>160</xdr:row>
      <xdr:rowOff>194310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297400"/>
          <a:ext cx="1336414" cy="13373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28576</xdr:rowOff>
    </xdr:from>
    <xdr:to>
      <xdr:col>3</xdr:col>
      <xdr:colOff>105537</xdr:colOff>
      <xdr:row>6</xdr:row>
      <xdr:rowOff>95813</xdr:rowOff>
    </xdr:to>
    <xdr:pic>
      <xdr:nvPicPr>
        <xdr:cNvPr id="2" name="Picture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6"/>
          <a:ext cx="1353312" cy="12673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67437</xdr:colOff>
      <xdr:row>7</xdr:row>
      <xdr:rowOff>562</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3312" cy="12673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xdr:colOff>
      <xdr:row>10</xdr:row>
      <xdr:rowOff>76200</xdr:rowOff>
    </xdr:from>
    <xdr:to>
      <xdr:col>9</xdr:col>
      <xdr:colOff>133350</xdr:colOff>
      <xdr:row>29</xdr:row>
      <xdr:rowOff>19050</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9791700" y="2038350"/>
          <a:ext cx="114300" cy="5076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10</xdr:row>
      <xdr:rowOff>44450</xdr:rowOff>
    </xdr:from>
    <xdr:to>
      <xdr:col>10</xdr:col>
      <xdr:colOff>107950</xdr:colOff>
      <xdr:row>29</xdr:row>
      <xdr:rowOff>15875</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10804525" y="2006600"/>
          <a:ext cx="95250" cy="5105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10</xdr:row>
      <xdr:rowOff>66675</xdr:rowOff>
    </xdr:from>
    <xdr:to>
      <xdr:col>11</xdr:col>
      <xdr:colOff>139699</xdr:colOff>
      <xdr:row>29</xdr:row>
      <xdr:rowOff>22225</xdr:rowOff>
    </xdr:to>
    <xdr:sp macro="" textlink="">
      <xdr:nvSpPr>
        <xdr:cNvPr id="4" name="Right Brace 3">
          <a:extLst>
            <a:ext uri="{FF2B5EF4-FFF2-40B4-BE49-F238E27FC236}">
              <a16:creationId xmlns:a16="http://schemas.microsoft.com/office/drawing/2014/main" id="{00000000-0008-0000-0000-000004000000}"/>
            </a:ext>
          </a:extLst>
        </xdr:cNvPr>
        <xdr:cNvSpPr/>
      </xdr:nvSpPr>
      <xdr:spPr>
        <a:xfrm>
          <a:off x="11744325" y="2028825"/>
          <a:ext cx="120649" cy="5089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10</xdr:row>
      <xdr:rowOff>76200</xdr:rowOff>
    </xdr:from>
    <xdr:to>
      <xdr:col>12</xdr:col>
      <xdr:colOff>114299</xdr:colOff>
      <xdr:row>29</xdr:row>
      <xdr:rowOff>15875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12652375" y="2038350"/>
          <a:ext cx="101599" cy="50736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49</xdr:row>
      <xdr:rowOff>171450</xdr:rowOff>
    </xdr:from>
    <xdr:to>
      <xdr:col>9</xdr:col>
      <xdr:colOff>133350</xdr:colOff>
      <xdr:row>62</xdr:row>
      <xdr:rowOff>123825</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9791700" y="11087100"/>
          <a:ext cx="114300" cy="2609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49</xdr:row>
      <xdr:rowOff>158750</xdr:rowOff>
    </xdr:from>
    <xdr:to>
      <xdr:col>10</xdr:col>
      <xdr:colOff>107950</xdr:colOff>
      <xdr:row>62</xdr:row>
      <xdr:rowOff>149225</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10804525" y="11074400"/>
          <a:ext cx="95250" cy="26479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49</xdr:row>
      <xdr:rowOff>171450</xdr:rowOff>
    </xdr:from>
    <xdr:to>
      <xdr:col>11</xdr:col>
      <xdr:colOff>139699</xdr:colOff>
      <xdr:row>62</xdr:row>
      <xdr:rowOff>165100</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11744325" y="11087100"/>
          <a:ext cx="120649" cy="2651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50</xdr:row>
      <xdr:rowOff>0</xdr:rowOff>
    </xdr:from>
    <xdr:to>
      <xdr:col>12</xdr:col>
      <xdr:colOff>114299</xdr:colOff>
      <xdr:row>62</xdr:row>
      <xdr:rowOff>158750</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12652375" y="11096625"/>
          <a:ext cx="101599" cy="26352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22225</xdr:colOff>
      <xdr:row>93</xdr:row>
      <xdr:rowOff>41276</xdr:rowOff>
    </xdr:from>
    <xdr:to>
      <xdr:col>10</xdr:col>
      <xdr:colOff>133350</xdr:colOff>
      <xdr:row>100</xdr:row>
      <xdr:rowOff>933451</xdr:rowOff>
    </xdr:to>
    <xdr:sp macro="" textlink="">
      <xdr:nvSpPr>
        <xdr:cNvPr id="11" name="Right Brace 10">
          <a:extLst>
            <a:ext uri="{FF2B5EF4-FFF2-40B4-BE49-F238E27FC236}">
              <a16:creationId xmlns:a16="http://schemas.microsoft.com/office/drawing/2014/main" id="{00000000-0008-0000-0000-00000B000000}"/>
            </a:ext>
          </a:extLst>
        </xdr:cNvPr>
        <xdr:cNvSpPr/>
      </xdr:nvSpPr>
      <xdr:spPr>
        <a:xfrm>
          <a:off x="10814050" y="19500851"/>
          <a:ext cx="111125" cy="3835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28576</xdr:colOff>
      <xdr:row>93</xdr:row>
      <xdr:rowOff>19050</xdr:rowOff>
    </xdr:from>
    <xdr:to>
      <xdr:col>11</xdr:col>
      <xdr:colOff>142875</xdr:colOff>
      <xdr:row>100</xdr:row>
      <xdr:rowOff>952501</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a:off x="11753851" y="19478625"/>
          <a:ext cx="114299" cy="38766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12700</xdr:colOff>
      <xdr:row>124</xdr:row>
      <xdr:rowOff>44450</xdr:rowOff>
    </xdr:from>
    <xdr:to>
      <xdr:col>9</xdr:col>
      <xdr:colOff>133350</xdr:colOff>
      <xdr:row>137</xdr:row>
      <xdr:rowOff>0</xdr:rowOff>
    </xdr:to>
    <xdr:sp macro="" textlink="">
      <xdr:nvSpPr>
        <xdr:cNvPr id="14" name="Right Brace 13">
          <a:extLst>
            <a:ext uri="{FF2B5EF4-FFF2-40B4-BE49-F238E27FC236}">
              <a16:creationId xmlns:a16="http://schemas.microsoft.com/office/drawing/2014/main" id="{00000000-0008-0000-0000-000016000000}"/>
            </a:ext>
          </a:extLst>
        </xdr:cNvPr>
        <xdr:cNvSpPr/>
      </xdr:nvSpPr>
      <xdr:spPr>
        <a:xfrm>
          <a:off x="9785350" y="29286200"/>
          <a:ext cx="120650" cy="4613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12700</xdr:colOff>
      <xdr:row>124</xdr:row>
      <xdr:rowOff>50800</xdr:rowOff>
    </xdr:from>
    <xdr:to>
      <xdr:col>10</xdr:col>
      <xdr:colOff>133350</xdr:colOff>
      <xdr:row>137</xdr:row>
      <xdr:rowOff>0</xdr:rowOff>
    </xdr:to>
    <xdr:sp macro="" textlink="">
      <xdr:nvSpPr>
        <xdr:cNvPr id="15" name="Right Brace 14">
          <a:extLst>
            <a:ext uri="{FF2B5EF4-FFF2-40B4-BE49-F238E27FC236}">
              <a16:creationId xmlns:a16="http://schemas.microsoft.com/office/drawing/2014/main" id="{00000000-0008-0000-0000-000017000000}"/>
            </a:ext>
          </a:extLst>
        </xdr:cNvPr>
        <xdr:cNvSpPr/>
      </xdr:nvSpPr>
      <xdr:spPr>
        <a:xfrm>
          <a:off x="10804525" y="29292550"/>
          <a:ext cx="120650" cy="46069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124</xdr:row>
      <xdr:rowOff>38100</xdr:rowOff>
    </xdr:from>
    <xdr:to>
      <xdr:col>11</xdr:col>
      <xdr:colOff>120650</xdr:colOff>
      <xdr:row>137</xdr:row>
      <xdr:rowOff>0</xdr:rowOff>
    </xdr:to>
    <xdr:sp macro="" textlink="">
      <xdr:nvSpPr>
        <xdr:cNvPr id="16" name="Right Brace 15">
          <a:extLst>
            <a:ext uri="{FF2B5EF4-FFF2-40B4-BE49-F238E27FC236}">
              <a16:creationId xmlns:a16="http://schemas.microsoft.com/office/drawing/2014/main" id="{00000000-0008-0000-0000-000018000000}"/>
            </a:ext>
          </a:extLst>
        </xdr:cNvPr>
        <xdr:cNvSpPr/>
      </xdr:nvSpPr>
      <xdr:spPr>
        <a:xfrm>
          <a:off x="11725275" y="29279850"/>
          <a:ext cx="120650" cy="46196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0</xdr:colOff>
      <xdr:row>124</xdr:row>
      <xdr:rowOff>38100</xdr:rowOff>
    </xdr:from>
    <xdr:to>
      <xdr:col>12</xdr:col>
      <xdr:colOff>120650</xdr:colOff>
      <xdr:row>137</xdr:row>
      <xdr:rowOff>0</xdr:rowOff>
    </xdr:to>
    <xdr:sp macro="" textlink="">
      <xdr:nvSpPr>
        <xdr:cNvPr id="17" name="Right Brace 16">
          <a:extLst>
            <a:ext uri="{FF2B5EF4-FFF2-40B4-BE49-F238E27FC236}">
              <a16:creationId xmlns:a16="http://schemas.microsoft.com/office/drawing/2014/main" id="{00000000-0008-0000-0000-000019000000}"/>
            </a:ext>
          </a:extLst>
        </xdr:cNvPr>
        <xdr:cNvSpPr/>
      </xdr:nvSpPr>
      <xdr:spPr>
        <a:xfrm>
          <a:off x="12639675" y="29279850"/>
          <a:ext cx="120650" cy="46196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38099</xdr:colOff>
      <xdr:row>157</xdr:row>
      <xdr:rowOff>41275</xdr:rowOff>
    </xdr:from>
    <xdr:to>
      <xdr:col>9</xdr:col>
      <xdr:colOff>180974</xdr:colOff>
      <xdr:row>183</xdr:row>
      <xdr:rowOff>533400</xdr:rowOff>
    </xdr:to>
    <xdr:sp macro="" textlink="">
      <xdr:nvSpPr>
        <xdr:cNvPr id="18" name="Right Brace 17">
          <a:extLst>
            <a:ext uri="{FF2B5EF4-FFF2-40B4-BE49-F238E27FC236}">
              <a16:creationId xmlns:a16="http://schemas.microsoft.com/office/drawing/2014/main" id="{00000000-0008-0000-0000-000012000000}"/>
            </a:ext>
          </a:extLst>
        </xdr:cNvPr>
        <xdr:cNvSpPr/>
      </xdr:nvSpPr>
      <xdr:spPr>
        <a:xfrm>
          <a:off x="9810749" y="37817425"/>
          <a:ext cx="142875" cy="1069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44450</xdr:colOff>
      <xdr:row>157</xdr:row>
      <xdr:rowOff>34925</xdr:rowOff>
    </xdr:from>
    <xdr:to>
      <xdr:col>10</xdr:col>
      <xdr:colOff>152400</xdr:colOff>
      <xdr:row>183</xdr:row>
      <xdr:rowOff>533400</xdr:rowOff>
    </xdr:to>
    <xdr:sp macro="" textlink="">
      <xdr:nvSpPr>
        <xdr:cNvPr id="19" name="Right Brace 18">
          <a:extLst>
            <a:ext uri="{FF2B5EF4-FFF2-40B4-BE49-F238E27FC236}">
              <a16:creationId xmlns:a16="http://schemas.microsoft.com/office/drawing/2014/main" id="{00000000-0008-0000-0000-000013000000}"/>
            </a:ext>
          </a:extLst>
        </xdr:cNvPr>
        <xdr:cNvSpPr/>
      </xdr:nvSpPr>
      <xdr:spPr>
        <a:xfrm>
          <a:off x="10836275" y="37811075"/>
          <a:ext cx="107950" cy="10699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36831</xdr:colOff>
      <xdr:row>157</xdr:row>
      <xdr:rowOff>31751</xdr:rowOff>
    </xdr:from>
    <xdr:to>
      <xdr:col>11</xdr:col>
      <xdr:colOff>161925</xdr:colOff>
      <xdr:row>183</xdr:row>
      <xdr:rowOff>523875</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a:off x="11762106" y="37807901"/>
          <a:ext cx="125094" cy="1069339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15874</xdr:colOff>
      <xdr:row>157</xdr:row>
      <xdr:rowOff>38100</xdr:rowOff>
    </xdr:from>
    <xdr:to>
      <xdr:col>12</xdr:col>
      <xdr:colOff>190499</xdr:colOff>
      <xdr:row>183</xdr:row>
      <xdr:rowOff>523875</xdr:rowOff>
    </xdr:to>
    <xdr:sp macro="" textlink="">
      <xdr:nvSpPr>
        <xdr:cNvPr id="21" name="Right Brace 20">
          <a:extLst>
            <a:ext uri="{FF2B5EF4-FFF2-40B4-BE49-F238E27FC236}">
              <a16:creationId xmlns:a16="http://schemas.microsoft.com/office/drawing/2014/main" id="{00000000-0008-0000-0000-000015000000}"/>
            </a:ext>
          </a:extLst>
        </xdr:cNvPr>
        <xdr:cNvSpPr/>
      </xdr:nvSpPr>
      <xdr:spPr>
        <a:xfrm>
          <a:off x="12655549" y="37814250"/>
          <a:ext cx="174625" cy="10687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215</xdr:row>
      <xdr:rowOff>123825</xdr:rowOff>
    </xdr:from>
    <xdr:to>
      <xdr:col>9</xdr:col>
      <xdr:colOff>133350</xdr:colOff>
      <xdr:row>231</xdr:row>
      <xdr:rowOff>76200</xdr:rowOff>
    </xdr:to>
    <xdr:sp macro="" textlink="">
      <xdr:nvSpPr>
        <xdr:cNvPr id="22" name="Right Brace 21">
          <a:extLst>
            <a:ext uri="{FF2B5EF4-FFF2-40B4-BE49-F238E27FC236}">
              <a16:creationId xmlns:a16="http://schemas.microsoft.com/office/drawing/2014/main" id="{00000000-0008-0000-0000-00001A000000}"/>
            </a:ext>
          </a:extLst>
        </xdr:cNvPr>
        <xdr:cNvSpPr/>
      </xdr:nvSpPr>
      <xdr:spPr>
        <a:xfrm>
          <a:off x="9791700" y="54768750"/>
          <a:ext cx="114300" cy="3895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215</xdr:row>
      <xdr:rowOff>92075</xdr:rowOff>
    </xdr:from>
    <xdr:to>
      <xdr:col>10</xdr:col>
      <xdr:colOff>107950</xdr:colOff>
      <xdr:row>231</xdr:row>
      <xdr:rowOff>82550</xdr:rowOff>
    </xdr:to>
    <xdr:sp macro="" textlink="">
      <xdr:nvSpPr>
        <xdr:cNvPr id="23" name="Right Brace 22">
          <a:extLst>
            <a:ext uri="{FF2B5EF4-FFF2-40B4-BE49-F238E27FC236}">
              <a16:creationId xmlns:a16="http://schemas.microsoft.com/office/drawing/2014/main" id="{00000000-0008-0000-0000-00001B000000}"/>
            </a:ext>
          </a:extLst>
        </xdr:cNvPr>
        <xdr:cNvSpPr/>
      </xdr:nvSpPr>
      <xdr:spPr>
        <a:xfrm>
          <a:off x="10804525" y="54737000"/>
          <a:ext cx="95250" cy="3933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215</xdr:row>
      <xdr:rowOff>114300</xdr:rowOff>
    </xdr:from>
    <xdr:to>
      <xdr:col>11</xdr:col>
      <xdr:colOff>139699</xdr:colOff>
      <xdr:row>231</xdr:row>
      <xdr:rowOff>107950</xdr:rowOff>
    </xdr:to>
    <xdr:sp macro="" textlink="">
      <xdr:nvSpPr>
        <xdr:cNvPr id="24" name="Right Brace 23">
          <a:extLst>
            <a:ext uri="{FF2B5EF4-FFF2-40B4-BE49-F238E27FC236}">
              <a16:creationId xmlns:a16="http://schemas.microsoft.com/office/drawing/2014/main" id="{00000000-0008-0000-0000-00001C000000}"/>
            </a:ext>
          </a:extLst>
        </xdr:cNvPr>
        <xdr:cNvSpPr/>
      </xdr:nvSpPr>
      <xdr:spPr>
        <a:xfrm>
          <a:off x="11744325" y="54759225"/>
          <a:ext cx="120649" cy="39370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215</xdr:row>
      <xdr:rowOff>123825</xdr:rowOff>
    </xdr:from>
    <xdr:to>
      <xdr:col>12</xdr:col>
      <xdr:colOff>114299</xdr:colOff>
      <xdr:row>231</xdr:row>
      <xdr:rowOff>101600</xdr:rowOff>
    </xdr:to>
    <xdr:sp macro="" textlink="">
      <xdr:nvSpPr>
        <xdr:cNvPr id="25" name="Right Brace 24">
          <a:extLst>
            <a:ext uri="{FF2B5EF4-FFF2-40B4-BE49-F238E27FC236}">
              <a16:creationId xmlns:a16="http://schemas.microsoft.com/office/drawing/2014/main" id="{00000000-0008-0000-0000-00001D000000}"/>
            </a:ext>
          </a:extLst>
        </xdr:cNvPr>
        <xdr:cNvSpPr/>
      </xdr:nvSpPr>
      <xdr:spPr>
        <a:xfrm>
          <a:off x="12652375" y="54768750"/>
          <a:ext cx="101599" cy="3921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260</xdr:row>
      <xdr:rowOff>123825</xdr:rowOff>
    </xdr:from>
    <xdr:to>
      <xdr:col>9</xdr:col>
      <xdr:colOff>133350</xdr:colOff>
      <xdr:row>275</xdr:row>
      <xdr:rowOff>76200</xdr:rowOff>
    </xdr:to>
    <xdr:sp macro="" textlink="">
      <xdr:nvSpPr>
        <xdr:cNvPr id="26" name="Right Brace 25">
          <a:extLst>
            <a:ext uri="{FF2B5EF4-FFF2-40B4-BE49-F238E27FC236}">
              <a16:creationId xmlns:a16="http://schemas.microsoft.com/office/drawing/2014/main" id="{00000000-0008-0000-0000-00001E000000}"/>
            </a:ext>
          </a:extLst>
        </xdr:cNvPr>
        <xdr:cNvSpPr/>
      </xdr:nvSpPr>
      <xdr:spPr>
        <a:xfrm>
          <a:off x="9791700" y="64065150"/>
          <a:ext cx="114300" cy="44386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260</xdr:row>
      <xdr:rowOff>92075</xdr:rowOff>
    </xdr:from>
    <xdr:to>
      <xdr:col>10</xdr:col>
      <xdr:colOff>107950</xdr:colOff>
      <xdr:row>275</xdr:row>
      <xdr:rowOff>82550</xdr:rowOff>
    </xdr:to>
    <xdr:sp macro="" textlink="">
      <xdr:nvSpPr>
        <xdr:cNvPr id="27" name="Right Brace 26">
          <a:extLst>
            <a:ext uri="{FF2B5EF4-FFF2-40B4-BE49-F238E27FC236}">
              <a16:creationId xmlns:a16="http://schemas.microsoft.com/office/drawing/2014/main" id="{00000000-0008-0000-0000-00001F000000}"/>
            </a:ext>
          </a:extLst>
        </xdr:cNvPr>
        <xdr:cNvSpPr/>
      </xdr:nvSpPr>
      <xdr:spPr>
        <a:xfrm>
          <a:off x="10804525" y="64033400"/>
          <a:ext cx="95250" cy="4476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260</xdr:row>
      <xdr:rowOff>114300</xdr:rowOff>
    </xdr:from>
    <xdr:to>
      <xdr:col>11</xdr:col>
      <xdr:colOff>139699</xdr:colOff>
      <xdr:row>275</xdr:row>
      <xdr:rowOff>107950</xdr:rowOff>
    </xdr:to>
    <xdr:sp macro="" textlink="">
      <xdr:nvSpPr>
        <xdr:cNvPr id="28" name="Right Brace 27">
          <a:extLst>
            <a:ext uri="{FF2B5EF4-FFF2-40B4-BE49-F238E27FC236}">
              <a16:creationId xmlns:a16="http://schemas.microsoft.com/office/drawing/2014/main" id="{00000000-0008-0000-0000-000020000000}"/>
            </a:ext>
          </a:extLst>
        </xdr:cNvPr>
        <xdr:cNvSpPr/>
      </xdr:nvSpPr>
      <xdr:spPr>
        <a:xfrm>
          <a:off x="11744325" y="64055625"/>
          <a:ext cx="120649" cy="44799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260</xdr:row>
      <xdr:rowOff>123825</xdr:rowOff>
    </xdr:from>
    <xdr:to>
      <xdr:col>12</xdr:col>
      <xdr:colOff>114299</xdr:colOff>
      <xdr:row>275</xdr:row>
      <xdr:rowOff>101600</xdr:rowOff>
    </xdr:to>
    <xdr:sp macro="" textlink="">
      <xdr:nvSpPr>
        <xdr:cNvPr id="29" name="Right Brace 28">
          <a:extLst>
            <a:ext uri="{FF2B5EF4-FFF2-40B4-BE49-F238E27FC236}">
              <a16:creationId xmlns:a16="http://schemas.microsoft.com/office/drawing/2014/main" id="{00000000-0008-0000-0000-000021000000}"/>
            </a:ext>
          </a:extLst>
        </xdr:cNvPr>
        <xdr:cNvSpPr/>
      </xdr:nvSpPr>
      <xdr:spPr>
        <a:xfrm>
          <a:off x="12652375" y="64065150"/>
          <a:ext cx="101599" cy="4464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301</xdr:row>
      <xdr:rowOff>123825</xdr:rowOff>
    </xdr:from>
    <xdr:to>
      <xdr:col>9</xdr:col>
      <xdr:colOff>133350</xdr:colOff>
      <xdr:row>317</xdr:row>
      <xdr:rowOff>76200</xdr:rowOff>
    </xdr:to>
    <xdr:sp macro="" textlink="">
      <xdr:nvSpPr>
        <xdr:cNvPr id="30" name="Right Brace 29">
          <a:extLst>
            <a:ext uri="{FF2B5EF4-FFF2-40B4-BE49-F238E27FC236}">
              <a16:creationId xmlns:a16="http://schemas.microsoft.com/office/drawing/2014/main" id="{00000000-0008-0000-0000-000022000000}"/>
            </a:ext>
          </a:extLst>
        </xdr:cNvPr>
        <xdr:cNvSpPr/>
      </xdr:nvSpPr>
      <xdr:spPr>
        <a:xfrm>
          <a:off x="9791700" y="72980550"/>
          <a:ext cx="114300" cy="36861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301</xdr:row>
      <xdr:rowOff>92075</xdr:rowOff>
    </xdr:from>
    <xdr:to>
      <xdr:col>10</xdr:col>
      <xdr:colOff>107950</xdr:colOff>
      <xdr:row>317</xdr:row>
      <xdr:rowOff>82550</xdr:rowOff>
    </xdr:to>
    <xdr:sp macro="" textlink="">
      <xdr:nvSpPr>
        <xdr:cNvPr id="31" name="Right Brace 30">
          <a:extLst>
            <a:ext uri="{FF2B5EF4-FFF2-40B4-BE49-F238E27FC236}">
              <a16:creationId xmlns:a16="http://schemas.microsoft.com/office/drawing/2014/main" id="{00000000-0008-0000-0000-000023000000}"/>
            </a:ext>
          </a:extLst>
        </xdr:cNvPr>
        <xdr:cNvSpPr/>
      </xdr:nvSpPr>
      <xdr:spPr>
        <a:xfrm>
          <a:off x="10804525" y="72948800"/>
          <a:ext cx="95250" cy="3724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301</xdr:row>
      <xdr:rowOff>114300</xdr:rowOff>
    </xdr:from>
    <xdr:to>
      <xdr:col>11</xdr:col>
      <xdr:colOff>139699</xdr:colOff>
      <xdr:row>317</xdr:row>
      <xdr:rowOff>107950</xdr:rowOff>
    </xdr:to>
    <xdr:sp macro="" textlink="">
      <xdr:nvSpPr>
        <xdr:cNvPr id="32" name="Right Brace 31">
          <a:extLst>
            <a:ext uri="{FF2B5EF4-FFF2-40B4-BE49-F238E27FC236}">
              <a16:creationId xmlns:a16="http://schemas.microsoft.com/office/drawing/2014/main" id="{00000000-0008-0000-0000-000024000000}"/>
            </a:ext>
          </a:extLst>
        </xdr:cNvPr>
        <xdr:cNvSpPr/>
      </xdr:nvSpPr>
      <xdr:spPr>
        <a:xfrm>
          <a:off x="11744325" y="72971025"/>
          <a:ext cx="120649" cy="3727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301</xdr:row>
      <xdr:rowOff>123825</xdr:rowOff>
    </xdr:from>
    <xdr:to>
      <xdr:col>12</xdr:col>
      <xdr:colOff>114299</xdr:colOff>
      <xdr:row>317</xdr:row>
      <xdr:rowOff>101600</xdr:rowOff>
    </xdr:to>
    <xdr:sp macro="" textlink="">
      <xdr:nvSpPr>
        <xdr:cNvPr id="33" name="Right Brace 32">
          <a:extLst>
            <a:ext uri="{FF2B5EF4-FFF2-40B4-BE49-F238E27FC236}">
              <a16:creationId xmlns:a16="http://schemas.microsoft.com/office/drawing/2014/main" id="{00000000-0008-0000-0000-000025000000}"/>
            </a:ext>
          </a:extLst>
        </xdr:cNvPr>
        <xdr:cNvSpPr/>
      </xdr:nvSpPr>
      <xdr:spPr>
        <a:xfrm>
          <a:off x="12652375" y="72980550"/>
          <a:ext cx="101599" cy="37115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344</xdr:row>
      <xdr:rowOff>123825</xdr:rowOff>
    </xdr:from>
    <xdr:to>
      <xdr:col>9</xdr:col>
      <xdr:colOff>133350</xdr:colOff>
      <xdr:row>358</xdr:row>
      <xdr:rowOff>76200</xdr:rowOff>
    </xdr:to>
    <xdr:sp macro="" textlink="">
      <xdr:nvSpPr>
        <xdr:cNvPr id="34" name="Right Brace 33">
          <a:extLst>
            <a:ext uri="{FF2B5EF4-FFF2-40B4-BE49-F238E27FC236}">
              <a16:creationId xmlns:a16="http://schemas.microsoft.com/office/drawing/2014/main" id="{00000000-0008-0000-0000-000026000000}"/>
            </a:ext>
          </a:extLst>
        </xdr:cNvPr>
        <xdr:cNvSpPr/>
      </xdr:nvSpPr>
      <xdr:spPr>
        <a:xfrm>
          <a:off x="9791700" y="81638775"/>
          <a:ext cx="114300"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344</xdr:row>
      <xdr:rowOff>92075</xdr:rowOff>
    </xdr:from>
    <xdr:to>
      <xdr:col>10</xdr:col>
      <xdr:colOff>107950</xdr:colOff>
      <xdr:row>358</xdr:row>
      <xdr:rowOff>82550</xdr:rowOff>
    </xdr:to>
    <xdr:sp macro="" textlink="">
      <xdr:nvSpPr>
        <xdr:cNvPr id="35" name="Right Brace 34">
          <a:extLst>
            <a:ext uri="{FF2B5EF4-FFF2-40B4-BE49-F238E27FC236}">
              <a16:creationId xmlns:a16="http://schemas.microsoft.com/office/drawing/2014/main" id="{00000000-0008-0000-0000-000027000000}"/>
            </a:ext>
          </a:extLst>
        </xdr:cNvPr>
        <xdr:cNvSpPr/>
      </xdr:nvSpPr>
      <xdr:spPr>
        <a:xfrm>
          <a:off x="10804525" y="81607025"/>
          <a:ext cx="95250" cy="3638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19050</xdr:colOff>
      <xdr:row>344</xdr:row>
      <xdr:rowOff>114300</xdr:rowOff>
    </xdr:from>
    <xdr:to>
      <xdr:col>11</xdr:col>
      <xdr:colOff>139699</xdr:colOff>
      <xdr:row>358</xdr:row>
      <xdr:rowOff>107950</xdr:rowOff>
    </xdr:to>
    <xdr:sp macro="" textlink="">
      <xdr:nvSpPr>
        <xdr:cNvPr id="36" name="Right Brace 35">
          <a:extLst>
            <a:ext uri="{FF2B5EF4-FFF2-40B4-BE49-F238E27FC236}">
              <a16:creationId xmlns:a16="http://schemas.microsoft.com/office/drawing/2014/main" id="{00000000-0008-0000-0000-000028000000}"/>
            </a:ext>
          </a:extLst>
        </xdr:cNvPr>
        <xdr:cNvSpPr/>
      </xdr:nvSpPr>
      <xdr:spPr>
        <a:xfrm>
          <a:off x="11744325" y="81629250"/>
          <a:ext cx="120649" cy="3641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344</xdr:row>
      <xdr:rowOff>123825</xdr:rowOff>
    </xdr:from>
    <xdr:to>
      <xdr:col>12</xdr:col>
      <xdr:colOff>114299</xdr:colOff>
      <xdr:row>358</xdr:row>
      <xdr:rowOff>101600</xdr:rowOff>
    </xdr:to>
    <xdr:sp macro="" textlink="">
      <xdr:nvSpPr>
        <xdr:cNvPr id="37" name="Right Brace 36">
          <a:extLst>
            <a:ext uri="{FF2B5EF4-FFF2-40B4-BE49-F238E27FC236}">
              <a16:creationId xmlns:a16="http://schemas.microsoft.com/office/drawing/2014/main" id="{00000000-0008-0000-0000-000029000000}"/>
            </a:ext>
          </a:extLst>
        </xdr:cNvPr>
        <xdr:cNvSpPr/>
      </xdr:nvSpPr>
      <xdr:spPr>
        <a:xfrm>
          <a:off x="12652375" y="81638775"/>
          <a:ext cx="101599" cy="3625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85725</xdr:colOff>
      <xdr:row>393</xdr:row>
      <xdr:rowOff>38100</xdr:rowOff>
    </xdr:from>
    <xdr:to>
      <xdr:col>9</xdr:col>
      <xdr:colOff>333375</xdr:colOff>
      <xdr:row>413</xdr:row>
      <xdr:rowOff>0</xdr:rowOff>
    </xdr:to>
    <xdr:sp macro="" textlink="">
      <xdr:nvSpPr>
        <xdr:cNvPr id="38" name="Right Brace 37">
          <a:extLst>
            <a:ext uri="{FF2B5EF4-FFF2-40B4-BE49-F238E27FC236}">
              <a16:creationId xmlns:a16="http://schemas.microsoft.com/office/drawing/2014/main" id="{00000000-0008-0000-0000-00002A000000}"/>
            </a:ext>
          </a:extLst>
        </xdr:cNvPr>
        <xdr:cNvSpPr/>
      </xdr:nvSpPr>
      <xdr:spPr>
        <a:xfrm>
          <a:off x="9858375" y="91297125"/>
          <a:ext cx="247650" cy="24079200"/>
        </a:xfrm>
        <a:prstGeom prst="rightBrace">
          <a:avLst>
            <a:gd name="adj1" fmla="val 8333"/>
            <a:gd name="adj2" fmla="val 501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12698</xdr:colOff>
      <xdr:row>468</xdr:row>
      <xdr:rowOff>25400</xdr:rowOff>
    </xdr:from>
    <xdr:to>
      <xdr:col>9</xdr:col>
      <xdr:colOff>238125</xdr:colOff>
      <xdr:row>494</xdr:row>
      <xdr:rowOff>466725</xdr:rowOff>
    </xdr:to>
    <xdr:sp macro="" textlink="">
      <xdr:nvSpPr>
        <xdr:cNvPr id="42" name="Right Brace 41">
          <a:extLst>
            <a:ext uri="{FF2B5EF4-FFF2-40B4-BE49-F238E27FC236}">
              <a16:creationId xmlns:a16="http://schemas.microsoft.com/office/drawing/2014/main" id="{00000000-0008-0000-0000-00002E000000}"/>
            </a:ext>
          </a:extLst>
        </xdr:cNvPr>
        <xdr:cNvSpPr/>
      </xdr:nvSpPr>
      <xdr:spPr>
        <a:xfrm>
          <a:off x="9785348" y="111486950"/>
          <a:ext cx="225427" cy="144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12700</xdr:colOff>
      <xdr:row>468</xdr:row>
      <xdr:rowOff>31750</xdr:rowOff>
    </xdr:from>
    <xdr:to>
      <xdr:col>10</xdr:col>
      <xdr:colOff>161925</xdr:colOff>
      <xdr:row>495</xdr:row>
      <xdr:rowOff>9525</xdr:rowOff>
    </xdr:to>
    <xdr:sp macro="" textlink="">
      <xdr:nvSpPr>
        <xdr:cNvPr id="43" name="Right Brace 42">
          <a:extLst>
            <a:ext uri="{FF2B5EF4-FFF2-40B4-BE49-F238E27FC236}">
              <a16:creationId xmlns:a16="http://schemas.microsoft.com/office/drawing/2014/main" id="{00000000-0008-0000-0000-00002F000000}"/>
            </a:ext>
          </a:extLst>
        </xdr:cNvPr>
        <xdr:cNvSpPr/>
      </xdr:nvSpPr>
      <xdr:spPr>
        <a:xfrm>
          <a:off x="10804525" y="111493300"/>
          <a:ext cx="149225" cy="144272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xdr:colOff>
      <xdr:row>468</xdr:row>
      <xdr:rowOff>28575</xdr:rowOff>
    </xdr:from>
    <xdr:to>
      <xdr:col>11</xdr:col>
      <xdr:colOff>171451</xdr:colOff>
      <xdr:row>495</xdr:row>
      <xdr:rowOff>9524</xdr:rowOff>
    </xdr:to>
    <xdr:sp macro="" textlink="">
      <xdr:nvSpPr>
        <xdr:cNvPr id="44" name="Right Brace 43">
          <a:extLst>
            <a:ext uri="{FF2B5EF4-FFF2-40B4-BE49-F238E27FC236}">
              <a16:creationId xmlns:a16="http://schemas.microsoft.com/office/drawing/2014/main" id="{00000000-0008-0000-0000-000030000000}"/>
            </a:ext>
          </a:extLst>
        </xdr:cNvPr>
        <xdr:cNvSpPr/>
      </xdr:nvSpPr>
      <xdr:spPr>
        <a:xfrm>
          <a:off x="11725276" y="111490125"/>
          <a:ext cx="171450" cy="1443037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1906</xdr:colOff>
      <xdr:row>552</xdr:row>
      <xdr:rowOff>28575</xdr:rowOff>
    </xdr:from>
    <xdr:to>
      <xdr:col>9</xdr:col>
      <xdr:colOff>114300</xdr:colOff>
      <xdr:row>584</xdr:row>
      <xdr:rowOff>409575</xdr:rowOff>
    </xdr:to>
    <xdr:sp macro="" textlink="">
      <xdr:nvSpPr>
        <xdr:cNvPr id="45" name="Right Brace 44">
          <a:extLst>
            <a:ext uri="{FF2B5EF4-FFF2-40B4-BE49-F238E27FC236}">
              <a16:creationId xmlns:a16="http://schemas.microsoft.com/office/drawing/2014/main" id="{00000000-0008-0000-0000-000032000000}"/>
            </a:ext>
          </a:extLst>
        </xdr:cNvPr>
        <xdr:cNvSpPr/>
      </xdr:nvSpPr>
      <xdr:spPr>
        <a:xfrm>
          <a:off x="9774556" y="137064750"/>
          <a:ext cx="112394" cy="12858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0</xdr:colOff>
      <xdr:row>552</xdr:row>
      <xdr:rowOff>0</xdr:rowOff>
    </xdr:from>
    <xdr:to>
      <xdr:col>10</xdr:col>
      <xdr:colOff>112394</xdr:colOff>
      <xdr:row>584</xdr:row>
      <xdr:rowOff>381000</xdr:rowOff>
    </xdr:to>
    <xdr:sp macro="" textlink="">
      <xdr:nvSpPr>
        <xdr:cNvPr id="46" name="Right Brace 45">
          <a:extLst>
            <a:ext uri="{FF2B5EF4-FFF2-40B4-BE49-F238E27FC236}">
              <a16:creationId xmlns:a16="http://schemas.microsoft.com/office/drawing/2014/main" id="{00000000-0008-0000-0000-000033000000}"/>
            </a:ext>
          </a:extLst>
        </xdr:cNvPr>
        <xdr:cNvSpPr/>
      </xdr:nvSpPr>
      <xdr:spPr>
        <a:xfrm>
          <a:off x="10791825" y="137036175"/>
          <a:ext cx="112394" cy="12858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552</xdr:row>
      <xdr:rowOff>0</xdr:rowOff>
    </xdr:from>
    <xdr:to>
      <xdr:col>11</xdr:col>
      <xdr:colOff>112394</xdr:colOff>
      <xdr:row>584</xdr:row>
      <xdr:rowOff>381000</xdr:rowOff>
    </xdr:to>
    <xdr:sp macro="" textlink="">
      <xdr:nvSpPr>
        <xdr:cNvPr id="47" name="Right Brace 46">
          <a:extLst>
            <a:ext uri="{FF2B5EF4-FFF2-40B4-BE49-F238E27FC236}">
              <a16:creationId xmlns:a16="http://schemas.microsoft.com/office/drawing/2014/main" id="{00000000-0008-0000-0000-000034000000}"/>
            </a:ext>
          </a:extLst>
        </xdr:cNvPr>
        <xdr:cNvSpPr/>
      </xdr:nvSpPr>
      <xdr:spPr>
        <a:xfrm>
          <a:off x="11725275" y="137036175"/>
          <a:ext cx="112394" cy="12858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904875</xdr:colOff>
      <xdr:row>552</xdr:row>
      <xdr:rowOff>0</xdr:rowOff>
    </xdr:from>
    <xdr:to>
      <xdr:col>12</xdr:col>
      <xdr:colOff>102869</xdr:colOff>
      <xdr:row>584</xdr:row>
      <xdr:rowOff>381000</xdr:rowOff>
    </xdr:to>
    <xdr:sp macro="" textlink="">
      <xdr:nvSpPr>
        <xdr:cNvPr id="48" name="Right Brace 47">
          <a:extLst>
            <a:ext uri="{FF2B5EF4-FFF2-40B4-BE49-F238E27FC236}">
              <a16:creationId xmlns:a16="http://schemas.microsoft.com/office/drawing/2014/main" id="{00000000-0008-0000-0000-000035000000}"/>
            </a:ext>
          </a:extLst>
        </xdr:cNvPr>
        <xdr:cNvSpPr/>
      </xdr:nvSpPr>
      <xdr:spPr>
        <a:xfrm>
          <a:off x="12630150" y="137036175"/>
          <a:ext cx="112394" cy="128587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914399</xdr:colOff>
      <xdr:row>468</xdr:row>
      <xdr:rowOff>0</xdr:rowOff>
    </xdr:from>
    <xdr:to>
      <xdr:col>12</xdr:col>
      <xdr:colOff>228600</xdr:colOff>
      <xdr:row>494</xdr:row>
      <xdr:rowOff>466725</xdr:rowOff>
    </xdr:to>
    <xdr:sp macro="" textlink="">
      <xdr:nvSpPr>
        <xdr:cNvPr id="49" name="Right Brace 48">
          <a:extLst>
            <a:ext uri="{FF2B5EF4-FFF2-40B4-BE49-F238E27FC236}">
              <a16:creationId xmlns:a16="http://schemas.microsoft.com/office/drawing/2014/main" id="{00000000-0008-0000-0000-000036000000}"/>
            </a:ext>
          </a:extLst>
        </xdr:cNvPr>
        <xdr:cNvSpPr/>
      </xdr:nvSpPr>
      <xdr:spPr>
        <a:xfrm>
          <a:off x="12639674" y="111461550"/>
          <a:ext cx="228601" cy="1443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19049</xdr:colOff>
      <xdr:row>611</xdr:row>
      <xdr:rowOff>76200</xdr:rowOff>
    </xdr:from>
    <xdr:to>
      <xdr:col>9</xdr:col>
      <xdr:colOff>152400</xdr:colOff>
      <xdr:row>672</xdr:row>
      <xdr:rowOff>9524</xdr:rowOff>
    </xdr:to>
    <xdr:sp macro="" textlink="">
      <xdr:nvSpPr>
        <xdr:cNvPr id="50" name="Right Brace 49">
          <a:extLst>
            <a:ext uri="{FF2B5EF4-FFF2-40B4-BE49-F238E27FC236}">
              <a16:creationId xmlns:a16="http://schemas.microsoft.com/office/drawing/2014/main" id="{00000000-0008-0000-0000-000037000000}"/>
            </a:ext>
          </a:extLst>
        </xdr:cNvPr>
        <xdr:cNvSpPr/>
      </xdr:nvSpPr>
      <xdr:spPr>
        <a:xfrm>
          <a:off x="9791699" y="154933650"/>
          <a:ext cx="133351" cy="97250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12700</xdr:colOff>
      <xdr:row>611</xdr:row>
      <xdr:rowOff>63500</xdr:rowOff>
    </xdr:from>
    <xdr:to>
      <xdr:col>10</xdr:col>
      <xdr:colOff>180975</xdr:colOff>
      <xdr:row>671</xdr:row>
      <xdr:rowOff>457200</xdr:rowOff>
    </xdr:to>
    <xdr:sp macro="" textlink="">
      <xdr:nvSpPr>
        <xdr:cNvPr id="51" name="Right Brace 50">
          <a:extLst>
            <a:ext uri="{FF2B5EF4-FFF2-40B4-BE49-F238E27FC236}">
              <a16:creationId xmlns:a16="http://schemas.microsoft.com/office/drawing/2014/main" id="{00000000-0008-0000-0000-000038000000}"/>
            </a:ext>
          </a:extLst>
        </xdr:cNvPr>
        <xdr:cNvSpPr/>
      </xdr:nvSpPr>
      <xdr:spPr>
        <a:xfrm>
          <a:off x="10804525" y="154920950"/>
          <a:ext cx="168275" cy="97186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19051</xdr:colOff>
      <xdr:row>611</xdr:row>
      <xdr:rowOff>85724</xdr:rowOff>
    </xdr:from>
    <xdr:to>
      <xdr:col>11</xdr:col>
      <xdr:colOff>190501</xdr:colOff>
      <xdr:row>671</xdr:row>
      <xdr:rowOff>457199</xdr:rowOff>
    </xdr:to>
    <xdr:sp macro="" textlink="">
      <xdr:nvSpPr>
        <xdr:cNvPr id="52" name="Right Brace 51">
          <a:extLst>
            <a:ext uri="{FF2B5EF4-FFF2-40B4-BE49-F238E27FC236}">
              <a16:creationId xmlns:a16="http://schemas.microsoft.com/office/drawing/2014/main" id="{00000000-0008-0000-0000-000039000000}"/>
            </a:ext>
          </a:extLst>
        </xdr:cNvPr>
        <xdr:cNvSpPr/>
      </xdr:nvSpPr>
      <xdr:spPr>
        <a:xfrm>
          <a:off x="11744326" y="154943174"/>
          <a:ext cx="171450" cy="9696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12700</xdr:colOff>
      <xdr:row>611</xdr:row>
      <xdr:rowOff>95250</xdr:rowOff>
    </xdr:from>
    <xdr:to>
      <xdr:col>12</xdr:col>
      <xdr:colOff>161925</xdr:colOff>
      <xdr:row>672</xdr:row>
      <xdr:rowOff>0</xdr:rowOff>
    </xdr:to>
    <xdr:sp macro="" textlink="">
      <xdr:nvSpPr>
        <xdr:cNvPr id="53" name="Right Brace 52">
          <a:extLst>
            <a:ext uri="{FF2B5EF4-FFF2-40B4-BE49-F238E27FC236}">
              <a16:creationId xmlns:a16="http://schemas.microsoft.com/office/drawing/2014/main" id="{00000000-0008-0000-0000-00003A000000}"/>
            </a:ext>
          </a:extLst>
        </xdr:cNvPr>
        <xdr:cNvSpPr/>
      </xdr:nvSpPr>
      <xdr:spPr>
        <a:xfrm>
          <a:off x="12652375" y="154952700"/>
          <a:ext cx="149225" cy="9696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19050</xdr:colOff>
      <xdr:row>716</xdr:row>
      <xdr:rowOff>76200</xdr:rowOff>
    </xdr:from>
    <xdr:to>
      <xdr:col>9</xdr:col>
      <xdr:colOff>133350</xdr:colOff>
      <xdr:row>737</xdr:row>
      <xdr:rowOff>228600</xdr:rowOff>
    </xdr:to>
    <xdr:sp macro="" textlink="">
      <xdr:nvSpPr>
        <xdr:cNvPr id="54" name="Right Brace 53">
          <a:extLst>
            <a:ext uri="{FF2B5EF4-FFF2-40B4-BE49-F238E27FC236}">
              <a16:creationId xmlns:a16="http://schemas.microsoft.com/office/drawing/2014/main" id="{00000000-0008-0000-0000-00003B000000}"/>
            </a:ext>
          </a:extLst>
        </xdr:cNvPr>
        <xdr:cNvSpPr/>
      </xdr:nvSpPr>
      <xdr:spPr>
        <a:xfrm>
          <a:off x="9791700" y="173116875"/>
          <a:ext cx="114300" cy="5934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10</xdr:col>
      <xdr:colOff>0</xdr:colOff>
      <xdr:row>716</xdr:row>
      <xdr:rowOff>57150</xdr:rowOff>
    </xdr:from>
    <xdr:to>
      <xdr:col>10</xdr:col>
      <xdr:colOff>114300</xdr:colOff>
      <xdr:row>737</xdr:row>
      <xdr:rowOff>209550</xdr:rowOff>
    </xdr:to>
    <xdr:sp macro="" textlink="">
      <xdr:nvSpPr>
        <xdr:cNvPr id="55" name="Right Brace 54">
          <a:extLst>
            <a:ext uri="{FF2B5EF4-FFF2-40B4-BE49-F238E27FC236}">
              <a16:creationId xmlns:a16="http://schemas.microsoft.com/office/drawing/2014/main" id="{00000000-0008-0000-0000-00003C000000}"/>
            </a:ext>
          </a:extLst>
        </xdr:cNvPr>
        <xdr:cNvSpPr/>
      </xdr:nvSpPr>
      <xdr:spPr>
        <a:xfrm>
          <a:off x="10791825" y="173097825"/>
          <a:ext cx="114300" cy="59436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11</xdr:col>
      <xdr:colOff>0</xdr:colOff>
      <xdr:row>716</xdr:row>
      <xdr:rowOff>57150</xdr:rowOff>
    </xdr:from>
    <xdr:to>
      <xdr:col>11</xdr:col>
      <xdr:colOff>114300</xdr:colOff>
      <xdr:row>737</xdr:row>
      <xdr:rowOff>209550</xdr:rowOff>
    </xdr:to>
    <xdr:sp macro="" textlink="">
      <xdr:nvSpPr>
        <xdr:cNvPr id="56" name="Right Brace 55">
          <a:extLst>
            <a:ext uri="{FF2B5EF4-FFF2-40B4-BE49-F238E27FC236}">
              <a16:creationId xmlns:a16="http://schemas.microsoft.com/office/drawing/2014/main" id="{00000000-0008-0000-0000-00003D000000}"/>
            </a:ext>
          </a:extLst>
        </xdr:cNvPr>
        <xdr:cNvSpPr/>
      </xdr:nvSpPr>
      <xdr:spPr>
        <a:xfrm>
          <a:off x="11725275" y="173097825"/>
          <a:ext cx="114300" cy="59436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12</xdr:col>
      <xdr:colOff>0</xdr:colOff>
      <xdr:row>716</xdr:row>
      <xdr:rowOff>76200</xdr:rowOff>
    </xdr:from>
    <xdr:to>
      <xdr:col>12</xdr:col>
      <xdr:colOff>114300</xdr:colOff>
      <xdr:row>737</xdr:row>
      <xdr:rowOff>228600</xdr:rowOff>
    </xdr:to>
    <xdr:sp macro="" textlink="">
      <xdr:nvSpPr>
        <xdr:cNvPr id="57" name="Right Brace 56">
          <a:extLst>
            <a:ext uri="{FF2B5EF4-FFF2-40B4-BE49-F238E27FC236}">
              <a16:creationId xmlns:a16="http://schemas.microsoft.com/office/drawing/2014/main" id="{00000000-0008-0000-0000-00003E000000}"/>
            </a:ext>
          </a:extLst>
        </xdr:cNvPr>
        <xdr:cNvSpPr/>
      </xdr:nvSpPr>
      <xdr:spPr>
        <a:xfrm>
          <a:off x="12639675" y="173116875"/>
          <a:ext cx="114300" cy="5934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twoCellAnchor>
    <xdr:from>
      <xdr:col>9</xdr:col>
      <xdr:colOff>28575</xdr:colOff>
      <xdr:row>93</xdr:row>
      <xdr:rowOff>38100</xdr:rowOff>
    </xdr:from>
    <xdr:to>
      <xdr:col>9</xdr:col>
      <xdr:colOff>139700</xdr:colOff>
      <xdr:row>100</xdr:row>
      <xdr:rowOff>930275</xdr:rowOff>
    </xdr:to>
    <xdr:sp macro="" textlink="">
      <xdr:nvSpPr>
        <xdr:cNvPr id="58" name="Right Brace 57">
          <a:extLst>
            <a:ext uri="{FF2B5EF4-FFF2-40B4-BE49-F238E27FC236}">
              <a16:creationId xmlns:a16="http://schemas.microsoft.com/office/drawing/2014/main" id="{00000000-0008-0000-0000-00000B000000}"/>
            </a:ext>
          </a:extLst>
        </xdr:cNvPr>
        <xdr:cNvSpPr/>
      </xdr:nvSpPr>
      <xdr:spPr>
        <a:xfrm>
          <a:off x="9801225" y="19497675"/>
          <a:ext cx="111125" cy="3835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28575</xdr:colOff>
      <xdr:row>93</xdr:row>
      <xdr:rowOff>9525</xdr:rowOff>
    </xdr:from>
    <xdr:to>
      <xdr:col>12</xdr:col>
      <xdr:colOff>142874</xdr:colOff>
      <xdr:row>100</xdr:row>
      <xdr:rowOff>942976</xdr:rowOff>
    </xdr:to>
    <xdr:sp macro="" textlink="">
      <xdr:nvSpPr>
        <xdr:cNvPr id="59" name="Right Brace 58">
          <a:extLst>
            <a:ext uri="{FF2B5EF4-FFF2-40B4-BE49-F238E27FC236}">
              <a16:creationId xmlns:a16="http://schemas.microsoft.com/office/drawing/2014/main" id="{00000000-0008-0000-0000-00000C000000}"/>
            </a:ext>
          </a:extLst>
        </xdr:cNvPr>
        <xdr:cNvSpPr/>
      </xdr:nvSpPr>
      <xdr:spPr>
        <a:xfrm>
          <a:off x="12668250" y="19469100"/>
          <a:ext cx="114299" cy="38766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962025</xdr:colOff>
      <xdr:row>393</xdr:row>
      <xdr:rowOff>38100</xdr:rowOff>
    </xdr:from>
    <xdr:to>
      <xdr:col>10</xdr:col>
      <xdr:colOff>190500</xdr:colOff>
      <xdr:row>413</xdr:row>
      <xdr:rowOff>0</xdr:rowOff>
    </xdr:to>
    <xdr:sp macro="" textlink="">
      <xdr:nvSpPr>
        <xdr:cNvPr id="61" name="Right Brace 60">
          <a:extLst>
            <a:ext uri="{FF2B5EF4-FFF2-40B4-BE49-F238E27FC236}">
              <a16:creationId xmlns:a16="http://schemas.microsoft.com/office/drawing/2014/main" id="{00000000-0008-0000-0000-00002A000000}"/>
            </a:ext>
          </a:extLst>
        </xdr:cNvPr>
        <xdr:cNvSpPr/>
      </xdr:nvSpPr>
      <xdr:spPr>
        <a:xfrm>
          <a:off x="10734675" y="91297125"/>
          <a:ext cx="247650" cy="24079200"/>
        </a:xfrm>
        <a:prstGeom prst="rightBrace">
          <a:avLst>
            <a:gd name="adj1" fmla="val 8333"/>
            <a:gd name="adj2" fmla="val 501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885825</xdr:colOff>
      <xdr:row>393</xdr:row>
      <xdr:rowOff>28575</xdr:rowOff>
    </xdr:from>
    <xdr:to>
      <xdr:col>12</xdr:col>
      <xdr:colOff>219075</xdr:colOff>
      <xdr:row>413</xdr:row>
      <xdr:rowOff>0</xdr:rowOff>
    </xdr:to>
    <xdr:sp macro="" textlink="">
      <xdr:nvSpPr>
        <xdr:cNvPr id="62" name="Right Brace 61">
          <a:extLst>
            <a:ext uri="{FF2B5EF4-FFF2-40B4-BE49-F238E27FC236}">
              <a16:creationId xmlns:a16="http://schemas.microsoft.com/office/drawing/2014/main" id="{00000000-0008-0000-0000-00002A000000}"/>
            </a:ext>
          </a:extLst>
        </xdr:cNvPr>
        <xdr:cNvSpPr/>
      </xdr:nvSpPr>
      <xdr:spPr>
        <a:xfrm>
          <a:off x="12611100" y="91287600"/>
          <a:ext cx="247650" cy="24079200"/>
        </a:xfrm>
        <a:prstGeom prst="rightBrace">
          <a:avLst>
            <a:gd name="adj1" fmla="val 8333"/>
            <a:gd name="adj2" fmla="val 501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393</xdr:row>
      <xdr:rowOff>19050</xdr:rowOff>
    </xdr:from>
    <xdr:to>
      <xdr:col>11</xdr:col>
      <xdr:colOff>247650</xdr:colOff>
      <xdr:row>413</xdr:row>
      <xdr:rowOff>0</xdr:rowOff>
    </xdr:to>
    <xdr:sp macro="" textlink="">
      <xdr:nvSpPr>
        <xdr:cNvPr id="65" name="Right Brace 64">
          <a:extLst>
            <a:ext uri="{FF2B5EF4-FFF2-40B4-BE49-F238E27FC236}">
              <a16:creationId xmlns:a16="http://schemas.microsoft.com/office/drawing/2014/main" id="{00000000-0008-0000-0000-00002A000000}"/>
            </a:ext>
          </a:extLst>
        </xdr:cNvPr>
        <xdr:cNvSpPr/>
      </xdr:nvSpPr>
      <xdr:spPr>
        <a:xfrm>
          <a:off x="11725275" y="91278075"/>
          <a:ext cx="247650" cy="24079200"/>
        </a:xfrm>
        <a:prstGeom prst="rightBrace">
          <a:avLst>
            <a:gd name="adj1" fmla="val 8333"/>
            <a:gd name="adj2" fmla="val 501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12700</xdr:colOff>
      <xdr:row>10</xdr:row>
      <xdr:rowOff>44450</xdr:rowOff>
    </xdr:from>
    <xdr:to>
      <xdr:col>11</xdr:col>
      <xdr:colOff>107950</xdr:colOff>
      <xdr:row>29</xdr:row>
      <xdr:rowOff>15875</xdr:rowOff>
    </xdr:to>
    <xdr:sp macro="" textlink="">
      <xdr:nvSpPr>
        <xdr:cNvPr id="60" name="Right Brace 59">
          <a:extLst>
            <a:ext uri="{FF2B5EF4-FFF2-40B4-BE49-F238E27FC236}">
              <a16:creationId xmlns:a16="http://schemas.microsoft.com/office/drawing/2014/main" id="{00000000-0008-0000-0000-000003000000}"/>
            </a:ext>
          </a:extLst>
        </xdr:cNvPr>
        <xdr:cNvSpPr/>
      </xdr:nvSpPr>
      <xdr:spPr>
        <a:xfrm>
          <a:off x="10804525" y="2006600"/>
          <a:ext cx="95250" cy="5105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104776</xdr:colOff>
      <xdr:row>0</xdr:row>
      <xdr:rowOff>0</xdr:rowOff>
    </xdr:from>
    <xdr:to>
      <xdr:col>2</xdr:col>
      <xdr:colOff>1209675</xdr:colOff>
      <xdr:row>6</xdr:row>
      <xdr:rowOff>38099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1" y="0"/>
          <a:ext cx="1104899" cy="1104899"/>
        </a:xfrm>
        <a:prstGeom prst="rect">
          <a:avLst/>
        </a:prstGeom>
      </xdr:spPr>
    </xdr:pic>
    <xdr:clientData/>
  </xdr:twoCellAnchor>
  <xdr:twoCellAnchor editAs="oneCell">
    <xdr:from>
      <xdr:col>2</xdr:col>
      <xdr:colOff>104776</xdr:colOff>
      <xdr:row>130</xdr:row>
      <xdr:rowOff>0</xdr:rowOff>
    </xdr:from>
    <xdr:to>
      <xdr:col>2</xdr:col>
      <xdr:colOff>1209675</xdr:colOff>
      <xdr:row>136</xdr:row>
      <xdr:rowOff>38099</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1" y="0"/>
          <a:ext cx="1104899" cy="11048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Budget-2023-FINAL%20COPY%20LBP%20No.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ver%20PC/Desktop/Budget%20Office%20Files/Budget%20Office%20Files/BUDGET%202019/5%20Plantilla%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U-Asingan%20Plantilla%20of%20Personn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ver%20PC/Desktop/Budget%20Office%20Files/Budget%20Office%20Files/BUDGET%202021/Annual%20Budget%202021-Consolidated-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ver%20PC/Desktop/Budget%20Office%20Files/Budget%20Office%20Files/BUDGET%202022/Annual%20Budget%202022-Final%20Copy/Annual-Budget-2022-FINAL%20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ver%20PC/Desktop/Budget%20Office%20Files/Budget%20Office%20Files/BUDGET%202022/Annual%20Budget%202022-Consolidated-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NNUAL%20BUDGET%202018/DRAFT%20LBP%20Forms%201%20-%20without%20page%20numb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7%20BUDGET%20year%202017%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1"/>
      <sheetName val="LBP NO. 2"/>
      <sheetName val="LBP NO. 2a"/>
      <sheetName val="LBP NO. 5"/>
      <sheetName val="LBP NO. 6"/>
      <sheetName val="PROPOSED BUDGET"/>
      <sheetName val="2023 Annual Budget"/>
    </sheetNames>
    <sheetDataSet>
      <sheetData sheetId="0"/>
      <sheetData sheetId="1">
        <row r="14">
          <cell r="I14">
            <v>3319412</v>
          </cell>
          <cell r="J14">
            <v>2030600.64</v>
          </cell>
          <cell r="K14">
            <v>3489672.3600000003</v>
          </cell>
          <cell r="L14">
            <v>5520273</v>
          </cell>
          <cell r="M14">
            <v>5722908</v>
          </cell>
        </row>
        <row r="15">
          <cell r="I15">
            <v>317523.32</v>
          </cell>
          <cell r="J15">
            <v>802760.91</v>
          </cell>
          <cell r="K15">
            <v>856923.09</v>
          </cell>
          <cell r="L15">
            <v>1659684</v>
          </cell>
          <cell r="M15">
            <v>1723800</v>
          </cell>
        </row>
        <row r="17">
          <cell r="I17">
            <v>312000</v>
          </cell>
          <cell r="J17">
            <v>301000</v>
          </cell>
          <cell r="K17">
            <v>443000</v>
          </cell>
          <cell r="L17">
            <v>744000</v>
          </cell>
          <cell r="M17">
            <v>744000</v>
          </cell>
        </row>
        <row r="18">
          <cell r="I18">
            <v>91800</v>
          </cell>
          <cell r="J18">
            <v>45900</v>
          </cell>
          <cell r="K18">
            <v>45900</v>
          </cell>
          <cell r="L18">
            <v>91800</v>
          </cell>
          <cell r="M18">
            <v>91800</v>
          </cell>
        </row>
        <row r="19">
          <cell r="I19">
            <v>0</v>
          </cell>
          <cell r="J19">
            <v>0</v>
          </cell>
          <cell r="K19">
            <v>91800</v>
          </cell>
          <cell r="L19">
            <v>91800</v>
          </cell>
          <cell r="M19">
            <v>91800</v>
          </cell>
        </row>
        <row r="20">
          <cell r="I20">
            <v>84000</v>
          </cell>
          <cell r="J20">
            <v>144000</v>
          </cell>
          <cell r="K20">
            <v>42000</v>
          </cell>
          <cell r="L20">
            <v>186000</v>
          </cell>
          <cell r="M20">
            <v>186000</v>
          </cell>
        </row>
        <row r="21">
          <cell r="I21">
            <v>70000</v>
          </cell>
          <cell r="J21">
            <v>0</v>
          </cell>
          <cell r="K21">
            <v>155000</v>
          </cell>
          <cell r="L21">
            <v>155000</v>
          </cell>
          <cell r="M21">
            <v>155000</v>
          </cell>
        </row>
        <row r="22">
          <cell r="I22">
            <v>0</v>
          </cell>
          <cell r="J22">
            <v>0</v>
          </cell>
          <cell r="K22">
            <v>0</v>
          </cell>
          <cell r="L22">
            <v>0</v>
          </cell>
          <cell r="M22">
            <v>10000</v>
          </cell>
        </row>
        <row r="23">
          <cell r="I23">
            <v>2000000</v>
          </cell>
          <cell r="J23">
            <v>0</v>
          </cell>
          <cell r="K23">
            <v>0</v>
          </cell>
          <cell r="L23">
            <v>0</v>
          </cell>
          <cell r="M23">
            <v>0</v>
          </cell>
        </row>
        <row r="24">
          <cell r="I24">
            <v>67500</v>
          </cell>
          <cell r="J24">
            <v>0</v>
          </cell>
          <cell r="K24">
            <v>155000</v>
          </cell>
          <cell r="L24">
            <v>155000</v>
          </cell>
          <cell r="M24">
            <v>155000</v>
          </cell>
        </row>
        <row r="25">
          <cell r="I25">
            <v>264168</v>
          </cell>
          <cell r="J25">
            <v>447391</v>
          </cell>
          <cell r="K25">
            <v>149786</v>
          </cell>
          <cell r="L25">
            <v>597177</v>
          </cell>
          <cell r="M25">
            <v>620587</v>
          </cell>
        </row>
        <row r="26">
          <cell r="I26">
            <v>33000</v>
          </cell>
          <cell r="J26">
            <v>0</v>
          </cell>
          <cell r="K26">
            <v>0</v>
          </cell>
          <cell r="L26">
            <v>0</v>
          </cell>
          <cell r="M26">
            <v>0</v>
          </cell>
        </row>
        <row r="27">
          <cell r="I27">
            <v>0</v>
          </cell>
          <cell r="J27">
            <v>12704.93</v>
          </cell>
          <cell r="K27">
            <v>2295.0699999999997</v>
          </cell>
          <cell r="L27">
            <v>15000</v>
          </cell>
          <cell r="M27">
            <v>50000</v>
          </cell>
        </row>
        <row r="28">
          <cell r="I28">
            <v>306149</v>
          </cell>
          <cell r="J28">
            <v>0</v>
          </cell>
          <cell r="K28">
            <v>599807</v>
          </cell>
          <cell r="L28">
            <v>599807</v>
          </cell>
          <cell r="M28">
            <v>620587</v>
          </cell>
        </row>
        <row r="29">
          <cell r="I29">
            <v>401987.76</v>
          </cell>
          <cell r="J29">
            <v>232747.08</v>
          </cell>
          <cell r="K29">
            <v>633752.92000000004</v>
          </cell>
          <cell r="L29">
            <v>866500</v>
          </cell>
          <cell r="M29">
            <v>894000</v>
          </cell>
        </row>
        <row r="30">
          <cell r="I30">
            <v>15500</v>
          </cell>
          <cell r="J30">
            <v>12200</v>
          </cell>
          <cell r="K30">
            <v>43600</v>
          </cell>
          <cell r="L30">
            <v>55800</v>
          </cell>
          <cell r="M30">
            <v>55800</v>
          </cell>
        </row>
        <row r="31">
          <cell r="I31">
            <v>44340</v>
          </cell>
          <cell r="J31">
            <v>29550</v>
          </cell>
          <cell r="K31">
            <v>117350</v>
          </cell>
          <cell r="L31">
            <v>146900</v>
          </cell>
          <cell r="M31">
            <v>168000</v>
          </cell>
        </row>
        <row r="32">
          <cell r="I32">
            <v>16394.54</v>
          </cell>
          <cell r="J32">
            <v>11000</v>
          </cell>
          <cell r="K32">
            <v>26200</v>
          </cell>
          <cell r="L32">
            <v>37200</v>
          </cell>
          <cell r="M32">
            <v>37200</v>
          </cell>
        </row>
        <row r="33">
          <cell r="I33">
            <v>195993.71</v>
          </cell>
          <cell r="J33">
            <v>59163.3</v>
          </cell>
          <cell r="K33">
            <v>1240836.7</v>
          </cell>
          <cell r="L33">
            <v>1300000</v>
          </cell>
          <cell r="M33">
            <v>0</v>
          </cell>
        </row>
        <row r="34">
          <cell r="I34">
            <v>159055.29</v>
          </cell>
          <cell r="J34">
            <v>0</v>
          </cell>
          <cell r="K34">
            <v>0</v>
          </cell>
          <cell r="L34">
            <v>0</v>
          </cell>
          <cell r="M34">
            <v>0</v>
          </cell>
        </row>
        <row r="35">
          <cell r="I35">
            <v>480000</v>
          </cell>
          <cell r="J35">
            <v>0</v>
          </cell>
          <cell r="K35">
            <v>0</v>
          </cell>
          <cell r="L35">
            <v>0</v>
          </cell>
          <cell r="M35">
            <v>0</v>
          </cell>
        </row>
        <row r="38">
          <cell r="I38">
            <v>490969.36</v>
          </cell>
          <cell r="J38">
            <v>464419</v>
          </cell>
          <cell r="K38">
            <v>185581</v>
          </cell>
          <cell r="L38">
            <v>650000</v>
          </cell>
          <cell r="M38">
            <v>650000</v>
          </cell>
        </row>
        <row r="39">
          <cell r="I39">
            <v>161391</v>
          </cell>
          <cell r="J39">
            <v>30700</v>
          </cell>
          <cell r="K39">
            <v>419300</v>
          </cell>
          <cell r="L39">
            <v>450000</v>
          </cell>
          <cell r="M39">
            <v>450000</v>
          </cell>
        </row>
        <row r="40">
          <cell r="I40">
            <v>1197205.49</v>
          </cell>
          <cell r="J40">
            <v>626877.52</v>
          </cell>
          <cell r="K40">
            <v>673122.48</v>
          </cell>
          <cell r="L40">
            <v>1300000</v>
          </cell>
          <cell r="M40">
            <v>1300000</v>
          </cell>
        </row>
        <row r="41">
          <cell r="I41">
            <v>0</v>
          </cell>
          <cell r="J41">
            <v>0</v>
          </cell>
          <cell r="K41">
            <v>10000</v>
          </cell>
          <cell r="L41">
            <v>10000</v>
          </cell>
          <cell r="M41">
            <v>10000</v>
          </cell>
        </row>
        <row r="42">
          <cell r="I42">
            <v>72000</v>
          </cell>
          <cell r="J42">
            <v>36000</v>
          </cell>
          <cell r="K42">
            <v>36000</v>
          </cell>
          <cell r="L42">
            <v>72000</v>
          </cell>
          <cell r="M42">
            <v>108000</v>
          </cell>
        </row>
        <row r="43">
          <cell r="I43">
            <v>275818.61</v>
          </cell>
          <cell r="J43">
            <v>64768</v>
          </cell>
          <cell r="K43">
            <v>235232</v>
          </cell>
          <cell r="L43">
            <v>300000</v>
          </cell>
          <cell r="M43">
            <v>300000</v>
          </cell>
        </row>
        <row r="44">
          <cell r="I44">
            <v>9975</v>
          </cell>
          <cell r="J44">
            <v>22500</v>
          </cell>
          <cell r="K44">
            <v>33255</v>
          </cell>
          <cell r="L44">
            <v>55755</v>
          </cell>
          <cell r="M44">
            <v>82601</v>
          </cell>
        </row>
        <row r="45">
          <cell r="I45">
            <v>249972</v>
          </cell>
          <cell r="J45">
            <v>166479</v>
          </cell>
          <cell r="K45">
            <v>133521</v>
          </cell>
          <cell r="L45">
            <v>300000</v>
          </cell>
          <cell r="M45">
            <v>300000</v>
          </cell>
        </row>
        <row r="46">
          <cell r="I46">
            <v>272500</v>
          </cell>
          <cell r="J46">
            <v>0</v>
          </cell>
          <cell r="K46">
            <v>0</v>
          </cell>
          <cell r="L46">
            <v>0</v>
          </cell>
          <cell r="M46">
            <v>0</v>
          </cell>
        </row>
        <row r="47">
          <cell r="I47">
            <v>325000</v>
          </cell>
          <cell r="J47">
            <v>0</v>
          </cell>
          <cell r="K47">
            <v>0</v>
          </cell>
          <cell r="L47">
            <v>0</v>
          </cell>
          <cell r="M47">
            <v>0</v>
          </cell>
        </row>
        <row r="48">
          <cell r="I48">
            <v>990000</v>
          </cell>
          <cell r="J48">
            <v>0</v>
          </cell>
          <cell r="K48">
            <v>0</v>
          </cell>
          <cell r="L48">
            <v>0</v>
          </cell>
          <cell r="M48">
            <v>0</v>
          </cell>
        </row>
        <row r="59">
          <cell r="I59">
            <v>4744441.55</v>
          </cell>
          <cell r="J59">
            <v>315884</v>
          </cell>
          <cell r="K59">
            <v>9784116</v>
          </cell>
          <cell r="L59">
            <v>10100000</v>
          </cell>
          <cell r="M59">
            <v>1900000</v>
          </cell>
        </row>
        <row r="90">
          <cell r="I90">
            <v>11902846.359999999</v>
          </cell>
          <cell r="J90">
            <v>6118697.5</v>
          </cell>
          <cell r="K90">
            <v>6498604.5</v>
          </cell>
          <cell r="L90">
            <v>12617302</v>
          </cell>
          <cell r="M90">
            <v>12965788</v>
          </cell>
        </row>
        <row r="92">
          <cell r="I92">
            <v>432000</v>
          </cell>
          <cell r="J92">
            <v>222000</v>
          </cell>
          <cell r="K92">
            <v>258000</v>
          </cell>
          <cell r="L92">
            <v>480000</v>
          </cell>
          <cell r="M92">
            <v>480000</v>
          </cell>
        </row>
        <row r="93">
          <cell r="I93">
            <v>920975</v>
          </cell>
          <cell r="J93">
            <v>464100</v>
          </cell>
          <cell r="K93">
            <v>464100</v>
          </cell>
          <cell r="L93">
            <v>928200</v>
          </cell>
          <cell r="M93">
            <v>928200</v>
          </cell>
        </row>
        <row r="94">
          <cell r="I94">
            <v>848725</v>
          </cell>
          <cell r="J94">
            <v>420750</v>
          </cell>
          <cell r="K94">
            <v>507450</v>
          </cell>
          <cell r="L94">
            <v>928200</v>
          </cell>
          <cell r="M94">
            <v>928200</v>
          </cell>
        </row>
        <row r="95">
          <cell r="I95">
            <v>108000</v>
          </cell>
          <cell r="J95">
            <v>108000</v>
          </cell>
          <cell r="K95">
            <v>12000</v>
          </cell>
          <cell r="L95">
            <v>120000</v>
          </cell>
          <cell r="M95">
            <v>120000</v>
          </cell>
        </row>
        <row r="96">
          <cell r="I96">
            <v>90000</v>
          </cell>
          <cell r="J96">
            <v>0</v>
          </cell>
          <cell r="K96">
            <v>100000</v>
          </cell>
          <cell r="L96">
            <v>100000</v>
          </cell>
          <cell r="M96">
            <v>100000</v>
          </cell>
        </row>
        <row r="97">
          <cell r="I97">
            <v>0</v>
          </cell>
          <cell r="J97">
            <v>5000</v>
          </cell>
          <cell r="K97">
            <v>5000</v>
          </cell>
          <cell r="L97">
            <v>10000</v>
          </cell>
          <cell r="M97">
            <v>5000</v>
          </cell>
        </row>
        <row r="98">
          <cell r="I98">
            <v>54000</v>
          </cell>
          <cell r="J98">
            <v>0</v>
          </cell>
          <cell r="K98">
            <v>0</v>
          </cell>
          <cell r="L98">
            <v>0</v>
          </cell>
          <cell r="M98">
            <v>0</v>
          </cell>
        </row>
        <row r="99">
          <cell r="I99">
            <v>0</v>
          </cell>
          <cell r="J99">
            <v>0</v>
          </cell>
          <cell r="K99">
            <v>0</v>
          </cell>
          <cell r="L99">
            <v>0</v>
          </cell>
          <cell r="M99">
            <v>0</v>
          </cell>
        </row>
        <row r="100">
          <cell r="I100">
            <v>90000</v>
          </cell>
          <cell r="J100">
            <v>0</v>
          </cell>
          <cell r="K100">
            <v>100000</v>
          </cell>
          <cell r="L100">
            <v>100000</v>
          </cell>
          <cell r="M100">
            <v>100000</v>
          </cell>
        </row>
        <row r="101">
          <cell r="I101">
            <v>991822</v>
          </cell>
          <cell r="J101">
            <v>1025687</v>
          </cell>
          <cell r="K101">
            <v>18862</v>
          </cell>
          <cell r="L101">
            <v>1044549</v>
          </cell>
          <cell r="M101">
            <v>1080448</v>
          </cell>
        </row>
        <row r="102">
          <cell r="I102">
            <v>992048</v>
          </cell>
          <cell r="J102">
            <v>0</v>
          </cell>
          <cell r="K102">
            <v>1058617</v>
          </cell>
          <cell r="L102">
            <v>1058617</v>
          </cell>
          <cell r="M102">
            <v>1080551</v>
          </cell>
        </row>
        <row r="103">
          <cell r="I103">
            <v>1437864.84</v>
          </cell>
          <cell r="J103">
            <v>549947.4</v>
          </cell>
          <cell r="K103">
            <v>994752.6</v>
          </cell>
          <cell r="L103">
            <v>1544700</v>
          </cell>
          <cell r="M103">
            <v>1560000</v>
          </cell>
        </row>
        <row r="104">
          <cell r="I104">
            <v>21600</v>
          </cell>
          <cell r="J104">
            <v>9200</v>
          </cell>
          <cell r="K104">
            <v>26800</v>
          </cell>
          <cell r="L104">
            <v>36000</v>
          </cell>
          <cell r="M104">
            <v>36000</v>
          </cell>
        </row>
        <row r="105">
          <cell r="I105">
            <v>144285</v>
          </cell>
          <cell r="J105">
            <v>60690</v>
          </cell>
          <cell r="K105">
            <v>196910</v>
          </cell>
          <cell r="L105">
            <v>257600</v>
          </cell>
          <cell r="M105">
            <v>293000</v>
          </cell>
        </row>
        <row r="106">
          <cell r="I106">
            <v>20382.240000000002</v>
          </cell>
          <cell r="J106">
            <v>8500</v>
          </cell>
          <cell r="K106">
            <v>15500</v>
          </cell>
          <cell r="L106">
            <v>24000</v>
          </cell>
          <cell r="M106">
            <v>24000</v>
          </cell>
        </row>
        <row r="107">
          <cell r="I107">
            <v>0</v>
          </cell>
          <cell r="J107">
            <v>0</v>
          </cell>
          <cell r="K107">
            <v>1900000</v>
          </cell>
          <cell r="L107">
            <v>1900000</v>
          </cell>
          <cell r="M107">
            <v>0</v>
          </cell>
        </row>
        <row r="108">
          <cell r="I108">
            <v>819547.12</v>
          </cell>
          <cell r="J108">
            <v>964774.43</v>
          </cell>
          <cell r="K108">
            <v>35225.569999999949</v>
          </cell>
          <cell r="L108">
            <v>1000000</v>
          </cell>
          <cell r="M108">
            <v>0</v>
          </cell>
        </row>
        <row r="109">
          <cell r="I109">
            <v>180000</v>
          </cell>
          <cell r="J109">
            <v>0</v>
          </cell>
          <cell r="K109">
            <v>0</v>
          </cell>
          <cell r="L109">
            <v>0</v>
          </cell>
          <cell r="M109">
            <v>0</v>
          </cell>
        </row>
        <row r="112">
          <cell r="I112">
            <v>32100</v>
          </cell>
          <cell r="J112">
            <v>138996.39000000001</v>
          </cell>
          <cell r="K112">
            <v>1207003.6099999999</v>
          </cell>
          <cell r="L112">
            <v>1346000</v>
          </cell>
          <cell r="M112">
            <v>1346000</v>
          </cell>
        </row>
        <row r="113">
          <cell r="I113">
            <v>443800</v>
          </cell>
          <cell r="J113">
            <v>260600</v>
          </cell>
          <cell r="K113">
            <v>703400</v>
          </cell>
          <cell r="L113">
            <v>964000</v>
          </cell>
          <cell r="M113">
            <v>964000</v>
          </cell>
        </row>
        <row r="114">
          <cell r="I114">
            <v>577292</v>
          </cell>
          <cell r="J114">
            <v>252539</v>
          </cell>
          <cell r="K114">
            <v>497461</v>
          </cell>
          <cell r="L114">
            <v>750000</v>
          </cell>
          <cell r="M114">
            <v>750000</v>
          </cell>
        </row>
        <row r="115">
          <cell r="I115">
            <v>141032.81</v>
          </cell>
          <cell r="J115">
            <v>74947.850000000006</v>
          </cell>
          <cell r="K115">
            <v>675052.15</v>
          </cell>
          <cell r="L115">
            <v>750000</v>
          </cell>
          <cell r="M115">
            <v>750000</v>
          </cell>
        </row>
        <row r="116">
          <cell r="I116">
            <v>0</v>
          </cell>
          <cell r="J116">
            <v>0</v>
          </cell>
          <cell r="K116">
            <v>10000</v>
          </cell>
          <cell r="L116">
            <v>10000</v>
          </cell>
          <cell r="M116">
            <v>10000</v>
          </cell>
        </row>
        <row r="117">
          <cell r="I117">
            <v>84887.16</v>
          </cell>
          <cell r="J117">
            <v>30575.09</v>
          </cell>
          <cell r="K117">
            <v>65424.91</v>
          </cell>
          <cell r="L117">
            <v>96000</v>
          </cell>
          <cell r="M117">
            <v>96000</v>
          </cell>
        </row>
        <row r="118">
          <cell r="I118">
            <v>432000</v>
          </cell>
          <cell r="J118">
            <v>220200</v>
          </cell>
          <cell r="K118">
            <v>220200</v>
          </cell>
          <cell r="L118">
            <v>440400</v>
          </cell>
          <cell r="M118">
            <v>440400</v>
          </cell>
        </row>
        <row r="119">
          <cell r="I119">
            <v>630000</v>
          </cell>
          <cell r="J119">
            <v>0</v>
          </cell>
          <cell r="K119">
            <v>1300000</v>
          </cell>
          <cell r="L119">
            <v>1300000</v>
          </cell>
          <cell r="M119">
            <v>1300000</v>
          </cell>
        </row>
        <row r="120">
          <cell r="I120">
            <v>249630</v>
          </cell>
          <cell r="J120">
            <v>111033</v>
          </cell>
          <cell r="K120">
            <v>138967</v>
          </cell>
          <cell r="L120">
            <v>250000</v>
          </cell>
          <cell r="M120">
            <v>250000</v>
          </cell>
        </row>
        <row r="121">
          <cell r="I121">
            <v>42639.06</v>
          </cell>
          <cell r="J121">
            <v>57354.82</v>
          </cell>
          <cell r="K121">
            <v>242645.18</v>
          </cell>
          <cell r="L121">
            <v>300000</v>
          </cell>
          <cell r="M121">
            <v>300000</v>
          </cell>
        </row>
        <row r="122">
          <cell r="I122">
            <v>92822</v>
          </cell>
          <cell r="J122">
            <v>0</v>
          </cell>
          <cell r="K122">
            <v>300000</v>
          </cell>
          <cell r="L122">
            <v>300000</v>
          </cell>
          <cell r="M122">
            <v>300000</v>
          </cell>
        </row>
        <row r="123">
          <cell r="I123">
            <v>149952.87</v>
          </cell>
          <cell r="J123">
            <v>0</v>
          </cell>
          <cell r="K123">
            <v>300000</v>
          </cell>
          <cell r="L123">
            <v>300000</v>
          </cell>
          <cell r="M123">
            <v>300000</v>
          </cell>
        </row>
        <row r="124">
          <cell r="I124">
            <v>0</v>
          </cell>
          <cell r="J124">
            <v>0</v>
          </cell>
          <cell r="K124">
            <v>0</v>
          </cell>
          <cell r="L124">
            <v>0</v>
          </cell>
        </row>
        <row r="125">
          <cell r="I125">
            <v>450000</v>
          </cell>
          <cell r="J125">
            <v>0</v>
          </cell>
          <cell r="K125">
            <v>0</v>
          </cell>
          <cell r="L125">
            <v>0</v>
          </cell>
        </row>
        <row r="134">
          <cell r="I134">
            <v>360390</v>
          </cell>
          <cell r="J134">
            <v>0</v>
          </cell>
          <cell r="K134">
            <v>1350000</v>
          </cell>
          <cell r="L134">
            <v>1350000</v>
          </cell>
          <cell r="M134">
            <v>0</v>
          </cell>
        </row>
        <row r="161">
          <cell r="I161">
            <v>1152639</v>
          </cell>
          <cell r="J161">
            <v>671840</v>
          </cell>
          <cell r="K161">
            <v>673216</v>
          </cell>
          <cell r="L161">
            <v>1345056</v>
          </cell>
          <cell r="M161">
            <v>1397621</v>
          </cell>
        </row>
        <row r="163">
          <cell r="I163">
            <v>52000</v>
          </cell>
          <cell r="J163">
            <v>36000</v>
          </cell>
          <cell r="K163">
            <v>36000</v>
          </cell>
          <cell r="L163">
            <v>72000</v>
          </cell>
          <cell r="M163">
            <v>72000</v>
          </cell>
        </row>
        <row r="164">
          <cell r="I164">
            <v>76500</v>
          </cell>
          <cell r="J164">
            <v>38250</v>
          </cell>
          <cell r="K164">
            <v>38250</v>
          </cell>
          <cell r="L164">
            <v>76500</v>
          </cell>
          <cell r="M164">
            <v>76500</v>
          </cell>
        </row>
        <row r="165">
          <cell r="I165">
            <v>76500</v>
          </cell>
          <cell r="J165">
            <v>38250</v>
          </cell>
          <cell r="K165">
            <v>38250</v>
          </cell>
          <cell r="L165">
            <v>76500</v>
          </cell>
          <cell r="M165">
            <v>76500</v>
          </cell>
        </row>
        <row r="166">
          <cell r="I166">
            <v>12000</v>
          </cell>
          <cell r="J166">
            <v>12000</v>
          </cell>
          <cell r="K166">
            <v>6000</v>
          </cell>
          <cell r="L166">
            <v>18000</v>
          </cell>
          <cell r="M166">
            <v>18000</v>
          </cell>
        </row>
        <row r="167">
          <cell r="I167">
            <v>10000</v>
          </cell>
          <cell r="J167">
            <v>0</v>
          </cell>
          <cell r="K167">
            <v>15000</v>
          </cell>
          <cell r="L167">
            <v>15000</v>
          </cell>
          <cell r="M167">
            <v>15000</v>
          </cell>
        </row>
        <row r="168">
          <cell r="I168">
            <v>0</v>
          </cell>
          <cell r="J168">
            <v>0</v>
          </cell>
          <cell r="K168">
            <v>0</v>
          </cell>
          <cell r="L168">
            <v>0</v>
          </cell>
          <cell r="M168">
            <v>0</v>
          </cell>
        </row>
        <row r="169">
          <cell r="I169">
            <v>6000</v>
          </cell>
          <cell r="J169">
            <v>0</v>
          </cell>
          <cell r="K169">
            <v>0</v>
          </cell>
          <cell r="L169">
            <v>0</v>
          </cell>
          <cell r="M169">
            <v>0</v>
          </cell>
        </row>
        <row r="170">
          <cell r="I170">
            <v>0</v>
          </cell>
          <cell r="J170">
            <v>0</v>
          </cell>
          <cell r="K170">
            <v>0</v>
          </cell>
          <cell r="L170">
            <v>0</v>
          </cell>
          <cell r="M170">
            <v>0</v>
          </cell>
        </row>
        <row r="171">
          <cell r="I171">
            <v>10000</v>
          </cell>
          <cell r="J171">
            <v>0</v>
          </cell>
          <cell r="K171">
            <v>15000</v>
          </cell>
          <cell r="L171">
            <v>15000</v>
          </cell>
          <cell r="M171">
            <v>15000</v>
          </cell>
        </row>
        <row r="172">
          <cell r="I172">
            <v>108786</v>
          </cell>
          <cell r="J172">
            <v>111989</v>
          </cell>
          <cell r="K172">
            <v>99</v>
          </cell>
          <cell r="L172">
            <v>112088</v>
          </cell>
          <cell r="M172">
            <v>116576</v>
          </cell>
        </row>
        <row r="173">
          <cell r="I173">
            <v>96452</v>
          </cell>
          <cell r="J173">
            <v>0</v>
          </cell>
          <cell r="K173">
            <v>112088</v>
          </cell>
          <cell r="L173">
            <v>112088</v>
          </cell>
          <cell r="M173">
            <v>116576</v>
          </cell>
        </row>
        <row r="174">
          <cell r="I174">
            <v>134176.79999999999</v>
          </cell>
          <cell r="J174">
            <v>56470.8</v>
          </cell>
          <cell r="K174">
            <v>105529.2</v>
          </cell>
          <cell r="L174">
            <v>162000</v>
          </cell>
          <cell r="M174">
            <v>168000</v>
          </cell>
        </row>
        <row r="175">
          <cell r="I175">
            <v>2600</v>
          </cell>
          <cell r="J175">
            <v>1500</v>
          </cell>
          <cell r="K175">
            <v>3900</v>
          </cell>
          <cell r="L175">
            <v>5400</v>
          </cell>
          <cell r="M175">
            <v>5400</v>
          </cell>
        </row>
        <row r="176">
          <cell r="I176">
            <v>14340</v>
          </cell>
          <cell r="J176">
            <v>6960</v>
          </cell>
          <cell r="K176">
            <v>20540</v>
          </cell>
          <cell r="L176">
            <v>27500</v>
          </cell>
          <cell r="M176">
            <v>31500</v>
          </cell>
        </row>
        <row r="177">
          <cell r="I177">
            <v>2700</v>
          </cell>
          <cell r="J177">
            <v>1100</v>
          </cell>
          <cell r="K177">
            <v>2500</v>
          </cell>
          <cell r="L177">
            <v>3600</v>
          </cell>
          <cell r="M177">
            <v>3600</v>
          </cell>
        </row>
        <row r="178">
          <cell r="I178">
            <v>205531.84</v>
          </cell>
          <cell r="J178">
            <v>0</v>
          </cell>
          <cell r="K178">
            <v>0</v>
          </cell>
          <cell r="L178">
            <v>0</v>
          </cell>
          <cell r="M178">
            <v>0</v>
          </cell>
        </row>
        <row r="179">
          <cell r="I179">
            <v>20000</v>
          </cell>
          <cell r="J179">
            <v>0</v>
          </cell>
          <cell r="K179">
            <v>0</v>
          </cell>
          <cell r="L179">
            <v>0</v>
          </cell>
          <cell r="M179">
            <v>0</v>
          </cell>
        </row>
        <row r="182">
          <cell r="I182">
            <v>10050</v>
          </cell>
          <cell r="J182">
            <v>11400</v>
          </cell>
          <cell r="K182">
            <v>88600</v>
          </cell>
          <cell r="L182">
            <v>100000</v>
          </cell>
          <cell r="M182">
            <v>100000</v>
          </cell>
        </row>
        <row r="183">
          <cell r="I183">
            <v>0</v>
          </cell>
          <cell r="J183">
            <v>0</v>
          </cell>
          <cell r="K183">
            <v>100000</v>
          </cell>
          <cell r="L183">
            <v>100000</v>
          </cell>
          <cell r="M183">
            <v>100000</v>
          </cell>
        </row>
        <row r="184">
          <cell r="I184">
            <v>188652</v>
          </cell>
          <cell r="J184">
            <v>79000</v>
          </cell>
          <cell r="K184">
            <v>131587</v>
          </cell>
          <cell r="L184">
            <v>210587</v>
          </cell>
          <cell r="M184">
            <v>210587</v>
          </cell>
        </row>
        <row r="185">
          <cell r="I185">
            <v>36000</v>
          </cell>
          <cell r="J185">
            <v>0</v>
          </cell>
          <cell r="K185">
            <v>36000</v>
          </cell>
          <cell r="L185">
            <v>36000</v>
          </cell>
          <cell r="M185">
            <v>36000</v>
          </cell>
        </row>
        <row r="186">
          <cell r="I186">
            <v>0</v>
          </cell>
          <cell r="J186">
            <v>18000</v>
          </cell>
          <cell r="K186">
            <v>32000</v>
          </cell>
          <cell r="L186">
            <v>50000</v>
          </cell>
          <cell r="M186">
            <v>50000</v>
          </cell>
        </row>
        <row r="187">
          <cell r="I187">
            <v>20750</v>
          </cell>
          <cell r="J187">
            <v>0</v>
          </cell>
          <cell r="K187">
            <v>30000</v>
          </cell>
          <cell r="L187">
            <v>30000</v>
          </cell>
          <cell r="M187">
            <v>30000</v>
          </cell>
        </row>
        <row r="188">
          <cell r="I188">
            <v>50000</v>
          </cell>
          <cell r="J188">
            <v>0</v>
          </cell>
          <cell r="K188">
            <v>0</v>
          </cell>
          <cell r="L188">
            <v>0</v>
          </cell>
          <cell r="M188">
            <v>0</v>
          </cell>
        </row>
        <row r="194">
          <cell r="I194">
            <v>29484</v>
          </cell>
          <cell r="J194">
            <v>0</v>
          </cell>
          <cell r="K194">
            <v>55000</v>
          </cell>
          <cell r="L194">
            <v>55000</v>
          </cell>
          <cell r="M194">
            <v>0</v>
          </cell>
        </row>
        <row r="230">
          <cell r="I230">
            <v>1326804</v>
          </cell>
          <cell r="J230">
            <v>679830</v>
          </cell>
          <cell r="K230">
            <v>679830</v>
          </cell>
          <cell r="L230">
            <v>1359660</v>
          </cell>
          <cell r="M230">
            <v>1394425</v>
          </cell>
        </row>
        <row r="232">
          <cell r="I232">
            <v>72000</v>
          </cell>
          <cell r="J232">
            <v>36000</v>
          </cell>
          <cell r="K232">
            <v>36000</v>
          </cell>
          <cell r="L232">
            <v>72000</v>
          </cell>
          <cell r="M232">
            <v>72000</v>
          </cell>
        </row>
        <row r="233">
          <cell r="I233">
            <v>76500</v>
          </cell>
          <cell r="J233">
            <v>38250</v>
          </cell>
          <cell r="K233">
            <v>38250</v>
          </cell>
          <cell r="L233">
            <v>76500</v>
          </cell>
          <cell r="M233">
            <v>76500</v>
          </cell>
        </row>
        <row r="234">
          <cell r="I234">
            <v>76500</v>
          </cell>
          <cell r="J234">
            <v>38250</v>
          </cell>
          <cell r="K234">
            <v>38250</v>
          </cell>
          <cell r="L234">
            <v>76500</v>
          </cell>
          <cell r="M234">
            <v>76500</v>
          </cell>
        </row>
        <row r="235">
          <cell r="I235">
            <v>18000</v>
          </cell>
          <cell r="J235">
            <v>18000</v>
          </cell>
          <cell r="K235">
            <v>0</v>
          </cell>
          <cell r="L235">
            <v>18000</v>
          </cell>
          <cell r="M235">
            <v>18000</v>
          </cell>
        </row>
        <row r="236">
          <cell r="I236">
            <v>15000</v>
          </cell>
          <cell r="J236">
            <v>0</v>
          </cell>
          <cell r="K236">
            <v>15000</v>
          </cell>
          <cell r="L236">
            <v>15000</v>
          </cell>
          <cell r="M236">
            <v>15000</v>
          </cell>
        </row>
        <row r="237">
          <cell r="I237">
            <v>0</v>
          </cell>
          <cell r="J237">
            <v>0</v>
          </cell>
          <cell r="K237">
            <v>0</v>
          </cell>
          <cell r="L237">
            <v>0</v>
          </cell>
          <cell r="M237">
            <v>5000</v>
          </cell>
        </row>
        <row r="238">
          <cell r="I238">
            <v>9000</v>
          </cell>
          <cell r="J238">
            <v>0</v>
          </cell>
          <cell r="K238">
            <v>0</v>
          </cell>
          <cell r="L238">
            <v>0</v>
          </cell>
          <cell r="M238">
            <v>0</v>
          </cell>
        </row>
        <row r="239">
          <cell r="I239">
            <v>0</v>
          </cell>
          <cell r="J239">
            <v>0</v>
          </cell>
          <cell r="K239">
            <v>0</v>
          </cell>
          <cell r="L239">
            <v>0</v>
          </cell>
          <cell r="M239">
            <v>0</v>
          </cell>
        </row>
        <row r="240">
          <cell r="I240">
            <v>15000</v>
          </cell>
          <cell r="J240">
            <v>0</v>
          </cell>
          <cell r="K240">
            <v>15000</v>
          </cell>
          <cell r="L240">
            <v>15000</v>
          </cell>
          <cell r="M240">
            <v>15000</v>
          </cell>
        </row>
        <row r="241">
          <cell r="I241">
            <v>110567</v>
          </cell>
          <cell r="J241">
            <v>113305</v>
          </cell>
          <cell r="K241">
            <v>0</v>
          </cell>
          <cell r="L241">
            <v>113305</v>
          </cell>
          <cell r="M241">
            <v>116040</v>
          </cell>
        </row>
        <row r="242">
          <cell r="I242">
            <v>110567</v>
          </cell>
          <cell r="J242">
            <v>0</v>
          </cell>
          <cell r="K242">
            <v>113305</v>
          </cell>
          <cell r="L242">
            <v>113305</v>
          </cell>
          <cell r="M242">
            <v>116296</v>
          </cell>
        </row>
        <row r="243">
          <cell r="I243">
            <v>159046.68</v>
          </cell>
          <cell r="J243">
            <v>66340.2</v>
          </cell>
          <cell r="K243">
            <v>97659.8</v>
          </cell>
          <cell r="L243">
            <v>164000</v>
          </cell>
          <cell r="M243">
            <v>168000</v>
          </cell>
        </row>
        <row r="244">
          <cell r="I244">
            <v>3600</v>
          </cell>
          <cell r="J244">
            <v>1500</v>
          </cell>
          <cell r="K244">
            <v>3900</v>
          </cell>
          <cell r="L244">
            <v>5400</v>
          </cell>
          <cell r="M244">
            <v>5400</v>
          </cell>
        </row>
        <row r="245">
          <cell r="I245">
            <v>15645</v>
          </cell>
          <cell r="J245">
            <v>6585</v>
          </cell>
          <cell r="K245">
            <v>21915</v>
          </cell>
          <cell r="L245">
            <v>28500</v>
          </cell>
          <cell r="M245">
            <v>31500</v>
          </cell>
        </row>
        <row r="246">
          <cell r="I246">
            <v>3600</v>
          </cell>
          <cell r="J246">
            <v>1500</v>
          </cell>
          <cell r="K246">
            <v>2100</v>
          </cell>
          <cell r="L246">
            <v>3600</v>
          </cell>
          <cell r="M246">
            <v>3600</v>
          </cell>
        </row>
        <row r="247">
          <cell r="I247">
            <v>0</v>
          </cell>
          <cell r="J247">
            <v>0</v>
          </cell>
          <cell r="K247">
            <v>0</v>
          </cell>
          <cell r="L247">
            <v>0</v>
          </cell>
          <cell r="M247">
            <v>450000</v>
          </cell>
        </row>
        <row r="248">
          <cell r="I248">
            <v>304222.98</v>
          </cell>
          <cell r="J248">
            <v>0</v>
          </cell>
          <cell r="K248">
            <v>0</v>
          </cell>
          <cell r="L248">
            <v>0</v>
          </cell>
          <cell r="M248">
            <v>0</v>
          </cell>
        </row>
        <row r="249">
          <cell r="I249">
            <v>30000</v>
          </cell>
          <cell r="J249">
            <v>0</v>
          </cell>
          <cell r="K249">
            <v>0</v>
          </cell>
          <cell r="L249">
            <v>0</v>
          </cell>
          <cell r="M249">
            <v>0</v>
          </cell>
        </row>
        <row r="252">
          <cell r="I252">
            <v>5060</v>
          </cell>
          <cell r="J252">
            <v>29750</v>
          </cell>
          <cell r="K252">
            <v>13250</v>
          </cell>
          <cell r="L252">
            <v>43000</v>
          </cell>
          <cell r="M252">
            <v>43000</v>
          </cell>
        </row>
        <row r="253">
          <cell r="I253">
            <v>18975</v>
          </cell>
          <cell r="J253">
            <v>26000</v>
          </cell>
          <cell r="K253">
            <v>9000</v>
          </cell>
          <cell r="L253">
            <v>35000</v>
          </cell>
          <cell r="M253">
            <v>35000</v>
          </cell>
        </row>
        <row r="254">
          <cell r="I254">
            <v>56730</v>
          </cell>
          <cell r="J254">
            <v>22820</v>
          </cell>
          <cell r="K254">
            <v>62180</v>
          </cell>
          <cell r="L254">
            <v>85000</v>
          </cell>
          <cell r="M254">
            <v>85000</v>
          </cell>
        </row>
        <row r="255">
          <cell r="I255">
            <v>0</v>
          </cell>
          <cell r="J255">
            <v>0</v>
          </cell>
          <cell r="K255">
            <v>250</v>
          </cell>
          <cell r="L255">
            <v>250</v>
          </cell>
          <cell r="M255">
            <v>250</v>
          </cell>
        </row>
        <row r="256">
          <cell r="I256">
            <v>36000</v>
          </cell>
          <cell r="J256">
            <v>18000</v>
          </cell>
          <cell r="K256">
            <v>18000</v>
          </cell>
          <cell r="L256">
            <v>36000</v>
          </cell>
          <cell r="M256">
            <v>36000</v>
          </cell>
        </row>
        <row r="257">
          <cell r="I257">
            <v>1500</v>
          </cell>
          <cell r="J257">
            <v>0</v>
          </cell>
          <cell r="K257">
            <v>14000</v>
          </cell>
          <cell r="L257">
            <v>14000</v>
          </cell>
          <cell r="M257">
            <v>14000</v>
          </cell>
        </row>
        <row r="258">
          <cell r="I258">
            <v>0</v>
          </cell>
          <cell r="J258">
            <v>0</v>
          </cell>
          <cell r="K258">
            <v>6000</v>
          </cell>
          <cell r="L258">
            <v>6000</v>
          </cell>
          <cell r="M258">
            <v>6000</v>
          </cell>
        </row>
        <row r="259">
          <cell r="I259">
            <v>75000</v>
          </cell>
          <cell r="J259">
            <v>0</v>
          </cell>
          <cell r="K259">
            <v>0</v>
          </cell>
          <cell r="L259">
            <v>0</v>
          </cell>
          <cell r="M259">
            <v>0</v>
          </cell>
        </row>
        <row r="265">
          <cell r="I265">
            <v>68890</v>
          </cell>
          <cell r="J265">
            <v>16990</v>
          </cell>
          <cell r="K265">
            <v>53010</v>
          </cell>
          <cell r="L265">
            <v>70000</v>
          </cell>
          <cell r="M265">
            <v>0</v>
          </cell>
        </row>
        <row r="303">
          <cell r="I303">
            <v>1423548</v>
          </cell>
          <cell r="J303">
            <v>733080</v>
          </cell>
          <cell r="K303">
            <v>733080</v>
          </cell>
          <cell r="L303">
            <v>1466160</v>
          </cell>
          <cell r="M303">
            <v>1511841</v>
          </cell>
        </row>
        <row r="305">
          <cell r="I305">
            <v>72000</v>
          </cell>
          <cell r="J305">
            <v>36000</v>
          </cell>
          <cell r="K305">
            <v>36000</v>
          </cell>
          <cell r="L305">
            <v>72000</v>
          </cell>
          <cell r="M305">
            <v>72000</v>
          </cell>
        </row>
        <row r="306">
          <cell r="I306">
            <v>76500</v>
          </cell>
          <cell r="J306">
            <v>38250</v>
          </cell>
          <cell r="K306">
            <v>38250</v>
          </cell>
          <cell r="L306">
            <v>76500</v>
          </cell>
          <cell r="M306">
            <v>76500</v>
          </cell>
        </row>
        <row r="307">
          <cell r="I307">
            <v>76500</v>
          </cell>
          <cell r="J307">
            <v>38250</v>
          </cell>
          <cell r="K307">
            <v>38250</v>
          </cell>
          <cell r="L307">
            <v>76500</v>
          </cell>
          <cell r="M307">
            <v>76500</v>
          </cell>
        </row>
        <row r="308">
          <cell r="I308">
            <v>18000</v>
          </cell>
          <cell r="J308">
            <v>18000</v>
          </cell>
          <cell r="K308">
            <v>0</v>
          </cell>
          <cell r="L308">
            <v>18000</v>
          </cell>
          <cell r="M308">
            <v>18000</v>
          </cell>
        </row>
        <row r="309">
          <cell r="I309">
            <v>15000</v>
          </cell>
          <cell r="J309">
            <v>0</v>
          </cell>
          <cell r="K309">
            <v>15000</v>
          </cell>
          <cell r="L309">
            <v>15000</v>
          </cell>
          <cell r="M309">
            <v>15000</v>
          </cell>
        </row>
        <row r="310">
          <cell r="I310">
            <v>5000</v>
          </cell>
          <cell r="J310">
            <v>0</v>
          </cell>
          <cell r="K310">
            <v>0</v>
          </cell>
          <cell r="L310">
            <v>0</v>
          </cell>
          <cell r="M310">
            <v>0</v>
          </cell>
        </row>
        <row r="311">
          <cell r="I311">
            <v>9000</v>
          </cell>
          <cell r="J311">
            <v>0</v>
          </cell>
          <cell r="K311">
            <v>0</v>
          </cell>
          <cell r="L311">
            <v>0</v>
          </cell>
          <cell r="M311">
            <v>0</v>
          </cell>
        </row>
        <row r="312">
          <cell r="I312">
            <v>0</v>
          </cell>
          <cell r="J312">
            <v>0</v>
          </cell>
          <cell r="K312">
            <v>0</v>
          </cell>
          <cell r="L312">
            <v>0</v>
          </cell>
          <cell r="M312">
            <v>0</v>
          </cell>
        </row>
        <row r="313">
          <cell r="I313">
            <v>14282.83</v>
          </cell>
          <cell r="J313">
            <v>0</v>
          </cell>
          <cell r="K313">
            <v>15000</v>
          </cell>
          <cell r="L313">
            <v>15000</v>
          </cell>
          <cell r="M313">
            <v>20000</v>
          </cell>
        </row>
        <row r="314">
          <cell r="I314">
            <v>15000</v>
          </cell>
          <cell r="J314">
            <v>0</v>
          </cell>
          <cell r="K314">
            <v>15000</v>
          </cell>
          <cell r="L314">
            <v>15000</v>
          </cell>
          <cell r="M314">
            <v>15000</v>
          </cell>
        </row>
        <row r="315">
          <cell r="I315">
            <v>118629</v>
          </cell>
          <cell r="J315">
            <v>122180</v>
          </cell>
          <cell r="K315">
            <v>0</v>
          </cell>
          <cell r="L315">
            <v>122180</v>
          </cell>
          <cell r="M315">
            <v>125974</v>
          </cell>
        </row>
        <row r="316">
          <cell r="I316">
            <v>118629</v>
          </cell>
          <cell r="J316">
            <v>0</v>
          </cell>
          <cell r="K316">
            <v>122180</v>
          </cell>
          <cell r="L316">
            <v>122180</v>
          </cell>
          <cell r="M316">
            <v>125974</v>
          </cell>
        </row>
        <row r="317">
          <cell r="I317">
            <v>168741</v>
          </cell>
          <cell r="J317">
            <v>71177.399999999994</v>
          </cell>
          <cell r="K317">
            <v>105822.6</v>
          </cell>
          <cell r="L317">
            <v>177000</v>
          </cell>
          <cell r="M317">
            <v>182000</v>
          </cell>
        </row>
        <row r="318">
          <cell r="I318">
            <v>3600</v>
          </cell>
          <cell r="J318">
            <v>1500</v>
          </cell>
          <cell r="K318">
            <v>3900</v>
          </cell>
          <cell r="L318">
            <v>5400</v>
          </cell>
          <cell r="M318">
            <v>5400</v>
          </cell>
        </row>
        <row r="319">
          <cell r="I319">
            <v>17070</v>
          </cell>
          <cell r="J319">
            <v>7245</v>
          </cell>
          <cell r="K319">
            <v>22755</v>
          </cell>
          <cell r="L319">
            <v>30000</v>
          </cell>
          <cell r="M319">
            <v>35000</v>
          </cell>
        </row>
        <row r="320">
          <cell r="I320">
            <v>3600</v>
          </cell>
          <cell r="J320">
            <v>1500</v>
          </cell>
          <cell r="K320">
            <v>2100</v>
          </cell>
          <cell r="L320">
            <v>3600</v>
          </cell>
          <cell r="M320">
            <v>3600</v>
          </cell>
        </row>
        <row r="321">
          <cell r="I321">
            <v>159188.20000000001</v>
          </cell>
          <cell r="J321">
            <v>0</v>
          </cell>
          <cell r="K321">
            <v>0</v>
          </cell>
          <cell r="L321">
            <v>0</v>
          </cell>
          <cell r="M321">
            <v>0</v>
          </cell>
        </row>
        <row r="322">
          <cell r="I322">
            <v>30000</v>
          </cell>
          <cell r="J322">
            <v>0</v>
          </cell>
          <cell r="K322">
            <v>0</v>
          </cell>
          <cell r="L322">
            <v>0</v>
          </cell>
          <cell r="M322">
            <v>0</v>
          </cell>
        </row>
        <row r="325">
          <cell r="I325">
            <v>4850</v>
          </cell>
          <cell r="J325">
            <v>45544</v>
          </cell>
          <cell r="K325">
            <v>54456</v>
          </cell>
          <cell r="L325">
            <v>100000</v>
          </cell>
          <cell r="M325">
            <v>100000</v>
          </cell>
        </row>
        <row r="326">
          <cell r="I326">
            <v>4000</v>
          </cell>
          <cell r="J326">
            <v>42825.39</v>
          </cell>
          <cell r="K326">
            <v>57174.61</v>
          </cell>
          <cell r="L326">
            <v>100000</v>
          </cell>
          <cell r="M326">
            <v>100000</v>
          </cell>
        </row>
        <row r="327">
          <cell r="I327">
            <v>68826.7</v>
          </cell>
          <cell r="J327">
            <v>18162</v>
          </cell>
          <cell r="K327">
            <v>51838</v>
          </cell>
          <cell r="L327">
            <v>70000</v>
          </cell>
          <cell r="M327">
            <v>70000</v>
          </cell>
        </row>
        <row r="328">
          <cell r="I328">
            <v>42000</v>
          </cell>
          <cell r="J328">
            <v>24000</v>
          </cell>
          <cell r="K328">
            <v>24000</v>
          </cell>
          <cell r="L328">
            <v>48000</v>
          </cell>
          <cell r="M328">
            <v>48000</v>
          </cell>
        </row>
        <row r="329">
          <cell r="I329">
            <v>4500</v>
          </cell>
          <cell r="J329">
            <v>350</v>
          </cell>
          <cell r="K329">
            <v>9650</v>
          </cell>
          <cell r="L329">
            <v>10000</v>
          </cell>
          <cell r="M329">
            <v>10000</v>
          </cell>
        </row>
        <row r="330">
          <cell r="I330">
            <v>0</v>
          </cell>
          <cell r="J330">
            <v>0</v>
          </cell>
          <cell r="K330">
            <v>0</v>
          </cell>
          <cell r="L330">
            <v>0</v>
          </cell>
          <cell r="M330">
            <v>0</v>
          </cell>
        </row>
        <row r="331">
          <cell r="I331">
            <v>75000</v>
          </cell>
          <cell r="J331">
            <v>0</v>
          </cell>
          <cell r="K331">
            <v>0</v>
          </cell>
          <cell r="L331">
            <v>0</v>
          </cell>
          <cell r="M331">
            <v>0</v>
          </cell>
        </row>
        <row r="337">
          <cell r="I337">
            <v>18990</v>
          </cell>
          <cell r="J337">
            <v>0</v>
          </cell>
          <cell r="K337">
            <v>0</v>
          </cell>
          <cell r="L337">
            <v>0</v>
          </cell>
          <cell r="M337">
            <v>0</v>
          </cell>
        </row>
        <row r="374">
          <cell r="I374">
            <v>1694855</v>
          </cell>
          <cell r="J374">
            <v>911221.51</v>
          </cell>
          <cell r="K374">
            <v>1237630.49</v>
          </cell>
          <cell r="L374">
            <v>2148852</v>
          </cell>
          <cell r="M374">
            <v>2220180</v>
          </cell>
        </row>
        <row r="376">
          <cell r="I376">
            <v>120000</v>
          </cell>
          <cell r="J376">
            <v>60000</v>
          </cell>
          <cell r="K376">
            <v>84000</v>
          </cell>
          <cell r="L376">
            <v>144000</v>
          </cell>
          <cell r="M376">
            <v>144000</v>
          </cell>
        </row>
        <row r="377">
          <cell r="I377">
            <v>76500</v>
          </cell>
          <cell r="J377">
            <v>38250</v>
          </cell>
          <cell r="K377">
            <v>38250</v>
          </cell>
          <cell r="L377">
            <v>76500</v>
          </cell>
          <cell r="M377">
            <v>76500</v>
          </cell>
        </row>
        <row r="378">
          <cell r="I378">
            <v>76500</v>
          </cell>
          <cell r="J378">
            <v>38250</v>
          </cell>
          <cell r="K378">
            <v>38250</v>
          </cell>
          <cell r="L378">
            <v>76500</v>
          </cell>
          <cell r="M378">
            <v>76500</v>
          </cell>
        </row>
        <row r="379">
          <cell r="I379">
            <v>30000</v>
          </cell>
          <cell r="J379">
            <v>30000</v>
          </cell>
          <cell r="K379">
            <v>6000</v>
          </cell>
          <cell r="L379">
            <v>36000</v>
          </cell>
          <cell r="M379">
            <v>36000</v>
          </cell>
        </row>
        <row r="380">
          <cell r="I380">
            <v>25000</v>
          </cell>
          <cell r="J380">
            <v>0</v>
          </cell>
          <cell r="K380">
            <v>30000</v>
          </cell>
          <cell r="L380">
            <v>30000</v>
          </cell>
          <cell r="M380">
            <v>30000</v>
          </cell>
        </row>
        <row r="381">
          <cell r="I381">
            <v>0</v>
          </cell>
          <cell r="J381">
            <v>0</v>
          </cell>
          <cell r="K381">
            <v>10000</v>
          </cell>
          <cell r="L381">
            <v>10000</v>
          </cell>
          <cell r="M381">
            <v>5000</v>
          </cell>
        </row>
        <row r="382">
          <cell r="I382">
            <v>9000</v>
          </cell>
          <cell r="J382">
            <v>0</v>
          </cell>
          <cell r="K382">
            <v>0</v>
          </cell>
          <cell r="L382">
            <v>0</v>
          </cell>
          <cell r="M382">
            <v>0</v>
          </cell>
        </row>
        <row r="383">
          <cell r="I383">
            <v>0</v>
          </cell>
          <cell r="J383">
            <v>0</v>
          </cell>
          <cell r="K383">
            <v>0</v>
          </cell>
          <cell r="L383">
            <v>0</v>
          </cell>
          <cell r="M383">
            <v>0</v>
          </cell>
        </row>
        <row r="384">
          <cell r="I384">
            <v>14445.94</v>
          </cell>
          <cell r="J384">
            <v>7848.77</v>
          </cell>
          <cell r="K384">
            <v>14151.23</v>
          </cell>
          <cell r="L384">
            <v>22000</v>
          </cell>
          <cell r="M384">
            <v>25000</v>
          </cell>
        </row>
        <row r="385">
          <cell r="I385">
            <v>25000</v>
          </cell>
          <cell r="J385">
            <v>0</v>
          </cell>
          <cell r="K385">
            <v>30000</v>
          </cell>
          <cell r="L385">
            <v>30000</v>
          </cell>
          <cell r="M385">
            <v>30000</v>
          </cell>
        </row>
        <row r="386">
          <cell r="I386">
            <v>140833</v>
          </cell>
          <cell r="J386">
            <v>155604</v>
          </cell>
          <cell r="K386">
            <v>23467</v>
          </cell>
          <cell r="L386">
            <v>179071</v>
          </cell>
          <cell r="M386">
            <v>184932</v>
          </cell>
        </row>
        <row r="387">
          <cell r="I387">
            <v>142076</v>
          </cell>
          <cell r="J387">
            <v>0</v>
          </cell>
          <cell r="K387">
            <v>179071</v>
          </cell>
          <cell r="L387">
            <v>179071</v>
          </cell>
          <cell r="M387">
            <v>185149</v>
          </cell>
        </row>
        <row r="388">
          <cell r="I388">
            <v>199583.52</v>
          </cell>
          <cell r="J388">
            <v>84501</v>
          </cell>
          <cell r="K388">
            <v>174299</v>
          </cell>
          <cell r="L388">
            <v>258800</v>
          </cell>
          <cell r="M388">
            <v>267000</v>
          </cell>
        </row>
        <row r="389">
          <cell r="I389">
            <v>6000</v>
          </cell>
          <cell r="J389">
            <v>2500</v>
          </cell>
          <cell r="K389">
            <v>8300</v>
          </cell>
          <cell r="L389">
            <v>10800</v>
          </cell>
          <cell r="M389">
            <v>10800</v>
          </cell>
        </row>
        <row r="390">
          <cell r="I390">
            <v>22080</v>
          </cell>
          <cell r="J390">
            <v>9675</v>
          </cell>
          <cell r="K390">
            <v>34125</v>
          </cell>
          <cell r="L390">
            <v>43800</v>
          </cell>
          <cell r="M390">
            <v>50000</v>
          </cell>
        </row>
        <row r="391">
          <cell r="I391">
            <v>5900</v>
          </cell>
          <cell r="J391">
            <v>2500</v>
          </cell>
          <cell r="K391">
            <v>4700</v>
          </cell>
          <cell r="L391">
            <v>7200</v>
          </cell>
          <cell r="M391">
            <v>7200</v>
          </cell>
        </row>
        <row r="392">
          <cell r="I392">
            <v>0</v>
          </cell>
          <cell r="J392">
            <v>0</v>
          </cell>
          <cell r="K392">
            <v>0</v>
          </cell>
          <cell r="L392">
            <v>0</v>
          </cell>
          <cell r="M392">
            <v>79000</v>
          </cell>
        </row>
        <row r="393">
          <cell r="I393">
            <v>138422.45000000001</v>
          </cell>
          <cell r="J393">
            <v>0</v>
          </cell>
          <cell r="K393">
            <v>0</v>
          </cell>
          <cell r="L393">
            <v>0</v>
          </cell>
          <cell r="M393">
            <v>0</v>
          </cell>
        </row>
        <row r="394">
          <cell r="I394">
            <v>50000</v>
          </cell>
          <cell r="J394">
            <v>0</v>
          </cell>
          <cell r="K394">
            <v>0</v>
          </cell>
          <cell r="L394">
            <v>0</v>
          </cell>
          <cell r="M394">
            <v>0</v>
          </cell>
        </row>
        <row r="397">
          <cell r="I397">
            <v>1200</v>
          </cell>
          <cell r="J397">
            <v>95081.71</v>
          </cell>
          <cell r="K397">
            <v>14918.289999999994</v>
          </cell>
          <cell r="L397">
            <v>110000</v>
          </cell>
          <cell r="M397">
            <v>110000</v>
          </cell>
        </row>
        <row r="398">
          <cell r="I398">
            <v>0</v>
          </cell>
          <cell r="J398">
            <v>124334.88</v>
          </cell>
          <cell r="K398">
            <v>5665.1199999999953</v>
          </cell>
          <cell r="L398">
            <v>130000</v>
          </cell>
          <cell r="M398">
            <v>130000</v>
          </cell>
        </row>
        <row r="399">
          <cell r="I399">
            <v>162561.75</v>
          </cell>
          <cell r="J399">
            <v>57224</v>
          </cell>
          <cell r="K399">
            <v>193591</v>
          </cell>
          <cell r="L399">
            <v>250815</v>
          </cell>
          <cell r="M399">
            <v>250815</v>
          </cell>
        </row>
        <row r="400">
          <cell r="I400">
            <v>42000</v>
          </cell>
          <cell r="J400">
            <v>24000</v>
          </cell>
          <cell r="K400">
            <v>24000</v>
          </cell>
          <cell r="L400">
            <v>48000</v>
          </cell>
          <cell r="M400">
            <v>48000</v>
          </cell>
        </row>
        <row r="401">
          <cell r="I401">
            <v>34750</v>
          </cell>
          <cell r="J401">
            <v>13350</v>
          </cell>
          <cell r="K401">
            <v>21650</v>
          </cell>
          <cell r="L401">
            <v>35000</v>
          </cell>
          <cell r="M401">
            <v>35000</v>
          </cell>
        </row>
        <row r="402">
          <cell r="I402">
            <v>0</v>
          </cell>
          <cell r="J402">
            <v>0</v>
          </cell>
          <cell r="K402">
            <v>0</v>
          </cell>
          <cell r="L402">
            <v>0</v>
          </cell>
        </row>
        <row r="403">
          <cell r="I403">
            <v>125000</v>
          </cell>
          <cell r="J403">
            <v>0</v>
          </cell>
          <cell r="K403">
            <v>0</v>
          </cell>
          <cell r="L403">
            <v>0</v>
          </cell>
        </row>
        <row r="410">
          <cell r="I410">
            <v>103990</v>
          </cell>
          <cell r="J410">
            <v>59881</v>
          </cell>
          <cell r="K410">
            <v>120119</v>
          </cell>
          <cell r="L410">
            <v>180000</v>
          </cell>
          <cell r="M410">
            <v>0</v>
          </cell>
        </row>
        <row r="446">
          <cell r="I446">
            <v>2788609.5</v>
          </cell>
          <cell r="J446">
            <v>1375380.51</v>
          </cell>
          <cell r="K446">
            <v>1928380.49</v>
          </cell>
          <cell r="L446">
            <v>3303761</v>
          </cell>
          <cell r="M446">
            <v>3418163</v>
          </cell>
        </row>
        <row r="448">
          <cell r="I448">
            <v>274000</v>
          </cell>
          <cell r="J448">
            <v>132000</v>
          </cell>
          <cell r="K448">
            <v>180000</v>
          </cell>
          <cell r="L448">
            <v>312000</v>
          </cell>
          <cell r="M448">
            <v>312000</v>
          </cell>
        </row>
        <row r="449">
          <cell r="I449">
            <v>76500</v>
          </cell>
          <cell r="J449">
            <v>38250</v>
          </cell>
          <cell r="K449">
            <v>38250</v>
          </cell>
          <cell r="L449">
            <v>76500</v>
          </cell>
          <cell r="M449">
            <v>76500</v>
          </cell>
        </row>
        <row r="450">
          <cell r="I450">
            <v>76500</v>
          </cell>
          <cell r="J450">
            <v>38250</v>
          </cell>
          <cell r="K450">
            <v>38250</v>
          </cell>
          <cell r="L450">
            <v>76500</v>
          </cell>
          <cell r="M450">
            <v>76500</v>
          </cell>
        </row>
        <row r="451">
          <cell r="I451">
            <v>66000</v>
          </cell>
          <cell r="J451">
            <v>66000</v>
          </cell>
          <cell r="K451">
            <v>12000</v>
          </cell>
          <cell r="L451">
            <v>78000</v>
          </cell>
          <cell r="M451">
            <v>78000</v>
          </cell>
        </row>
        <row r="452">
          <cell r="I452">
            <v>55000</v>
          </cell>
          <cell r="J452">
            <v>0</v>
          </cell>
          <cell r="K452">
            <v>65000</v>
          </cell>
          <cell r="L452">
            <v>65000</v>
          </cell>
          <cell r="M452">
            <v>65000</v>
          </cell>
        </row>
        <row r="453">
          <cell r="I453">
            <v>5000</v>
          </cell>
          <cell r="J453">
            <v>0</v>
          </cell>
          <cell r="K453">
            <v>5000</v>
          </cell>
          <cell r="L453">
            <v>5000</v>
          </cell>
          <cell r="M453">
            <v>15000</v>
          </cell>
        </row>
        <row r="454">
          <cell r="I454">
            <v>33000</v>
          </cell>
          <cell r="J454">
            <v>0</v>
          </cell>
          <cell r="K454">
            <v>0</v>
          </cell>
          <cell r="L454">
            <v>0</v>
          </cell>
          <cell r="M454">
            <v>0</v>
          </cell>
        </row>
        <row r="455">
          <cell r="I455">
            <v>0</v>
          </cell>
          <cell r="J455">
            <v>0</v>
          </cell>
          <cell r="K455">
            <v>0</v>
          </cell>
          <cell r="L455">
            <v>0</v>
          </cell>
          <cell r="M455">
            <v>0</v>
          </cell>
        </row>
        <row r="456">
          <cell r="I456">
            <v>0</v>
          </cell>
          <cell r="J456">
            <v>89125.15</v>
          </cell>
          <cell r="K456">
            <v>10874.850000000006</v>
          </cell>
          <cell r="L456">
            <v>100000</v>
          </cell>
          <cell r="M456">
            <v>100000</v>
          </cell>
        </row>
        <row r="457">
          <cell r="I457">
            <v>59500</v>
          </cell>
          <cell r="J457">
            <v>0</v>
          </cell>
          <cell r="K457">
            <v>65000</v>
          </cell>
          <cell r="L457">
            <v>65000</v>
          </cell>
          <cell r="M457">
            <v>65000</v>
          </cell>
        </row>
        <row r="458">
          <cell r="I458">
            <v>242863</v>
          </cell>
          <cell r="J458">
            <v>232518</v>
          </cell>
          <cell r="K458">
            <v>42703</v>
          </cell>
          <cell r="L458">
            <v>275221</v>
          </cell>
          <cell r="M458">
            <v>284855</v>
          </cell>
        </row>
        <row r="459">
          <cell r="I459">
            <v>241444</v>
          </cell>
          <cell r="J459">
            <v>0</v>
          </cell>
          <cell r="K459">
            <v>275325</v>
          </cell>
          <cell r="L459">
            <v>275325</v>
          </cell>
          <cell r="M459">
            <v>284855</v>
          </cell>
        </row>
        <row r="460">
          <cell r="I460">
            <v>329776.32</v>
          </cell>
          <cell r="J460">
            <v>128480.4</v>
          </cell>
          <cell r="K460">
            <v>268669.59999999998</v>
          </cell>
          <cell r="L460">
            <v>397150</v>
          </cell>
          <cell r="M460">
            <v>410500</v>
          </cell>
        </row>
        <row r="461">
          <cell r="I461">
            <v>13700</v>
          </cell>
          <cell r="J461">
            <v>5500</v>
          </cell>
          <cell r="K461">
            <v>17900</v>
          </cell>
          <cell r="L461">
            <v>23400</v>
          </cell>
          <cell r="M461">
            <v>23400</v>
          </cell>
        </row>
        <row r="462">
          <cell r="I462">
            <v>38145</v>
          </cell>
          <cell r="J462">
            <v>15135</v>
          </cell>
          <cell r="K462">
            <v>52065</v>
          </cell>
          <cell r="L462">
            <v>67200</v>
          </cell>
          <cell r="M462">
            <v>77000</v>
          </cell>
        </row>
        <row r="463">
          <cell r="I463">
            <v>13800</v>
          </cell>
          <cell r="J463">
            <v>5500</v>
          </cell>
          <cell r="K463">
            <v>10100</v>
          </cell>
          <cell r="L463">
            <v>15600</v>
          </cell>
          <cell r="M463">
            <v>15600</v>
          </cell>
        </row>
        <row r="464">
          <cell r="I464">
            <v>280796.07</v>
          </cell>
          <cell r="J464">
            <v>0</v>
          </cell>
          <cell r="K464">
            <v>0</v>
          </cell>
          <cell r="L464">
            <v>0</v>
          </cell>
          <cell r="M464">
            <v>0</v>
          </cell>
        </row>
        <row r="465">
          <cell r="I465">
            <v>342244.41</v>
          </cell>
          <cell r="J465">
            <v>0</v>
          </cell>
          <cell r="K465">
            <v>0</v>
          </cell>
          <cell r="L465">
            <v>0</v>
          </cell>
          <cell r="M465">
            <v>0</v>
          </cell>
        </row>
        <row r="466">
          <cell r="I466">
            <v>110000</v>
          </cell>
          <cell r="J466">
            <v>0</v>
          </cell>
          <cell r="K466">
            <v>0</v>
          </cell>
          <cell r="L466">
            <v>0</v>
          </cell>
          <cell r="M466">
            <v>0</v>
          </cell>
        </row>
        <row r="469">
          <cell r="I469">
            <v>6000</v>
          </cell>
          <cell r="J469">
            <v>55900</v>
          </cell>
          <cell r="K469">
            <v>74100</v>
          </cell>
          <cell r="L469">
            <v>130000</v>
          </cell>
          <cell r="M469">
            <v>130000</v>
          </cell>
        </row>
        <row r="470">
          <cell r="I470">
            <v>8086</v>
          </cell>
          <cell r="J470">
            <v>13500</v>
          </cell>
          <cell r="K470">
            <v>86500</v>
          </cell>
          <cell r="L470">
            <v>100000</v>
          </cell>
          <cell r="M470">
            <v>100000</v>
          </cell>
        </row>
        <row r="471">
          <cell r="I471">
            <v>192904</v>
          </cell>
          <cell r="J471">
            <v>88120</v>
          </cell>
          <cell r="K471">
            <v>141880</v>
          </cell>
          <cell r="L471">
            <v>230000</v>
          </cell>
          <cell r="M471">
            <v>230000</v>
          </cell>
        </row>
        <row r="472">
          <cell r="I472">
            <v>200000</v>
          </cell>
          <cell r="J472">
            <v>119985</v>
          </cell>
          <cell r="K472">
            <v>80015</v>
          </cell>
          <cell r="L472">
            <v>200000</v>
          </cell>
          <cell r="M472">
            <v>200000</v>
          </cell>
        </row>
        <row r="473">
          <cell r="I473">
            <v>0</v>
          </cell>
          <cell r="J473">
            <v>0</v>
          </cell>
          <cell r="K473">
            <v>5000</v>
          </cell>
          <cell r="L473">
            <v>5000</v>
          </cell>
          <cell r="M473">
            <v>5000</v>
          </cell>
        </row>
        <row r="474">
          <cell r="I474">
            <v>36000</v>
          </cell>
          <cell r="J474">
            <v>18000</v>
          </cell>
          <cell r="K474">
            <v>18000</v>
          </cell>
          <cell r="L474">
            <v>36000</v>
          </cell>
          <cell r="M474">
            <v>36000</v>
          </cell>
        </row>
        <row r="475">
          <cell r="I475">
            <v>48857.19</v>
          </cell>
          <cell r="J475">
            <v>8475</v>
          </cell>
          <cell r="K475">
            <v>41525</v>
          </cell>
          <cell r="L475">
            <v>50000</v>
          </cell>
          <cell r="M475">
            <v>50000</v>
          </cell>
        </row>
        <row r="476">
          <cell r="I476">
            <v>120000</v>
          </cell>
          <cell r="J476">
            <v>10125</v>
          </cell>
          <cell r="K476">
            <v>289875</v>
          </cell>
          <cell r="L476">
            <v>300000</v>
          </cell>
          <cell r="M476">
            <v>300000</v>
          </cell>
        </row>
        <row r="477">
          <cell r="I477">
            <v>20500</v>
          </cell>
          <cell r="J477">
            <v>0</v>
          </cell>
          <cell r="K477">
            <v>25000</v>
          </cell>
          <cell r="L477">
            <v>25000</v>
          </cell>
          <cell r="M477">
            <v>25000</v>
          </cell>
        </row>
        <row r="478">
          <cell r="I478">
            <v>300000</v>
          </cell>
          <cell r="J478">
            <v>0</v>
          </cell>
          <cell r="K478">
            <v>0</v>
          </cell>
          <cell r="L478">
            <v>0</v>
          </cell>
          <cell r="M478">
            <v>0</v>
          </cell>
        </row>
        <row r="485">
          <cell r="I485">
            <v>154800</v>
          </cell>
          <cell r="J485">
            <v>386395</v>
          </cell>
          <cell r="K485">
            <v>43605</v>
          </cell>
          <cell r="L485">
            <v>430000</v>
          </cell>
          <cell r="M485">
            <v>0</v>
          </cell>
        </row>
        <row r="517">
          <cell r="I517">
            <v>1814037</v>
          </cell>
          <cell r="J517">
            <v>942978</v>
          </cell>
          <cell r="K517">
            <v>943946</v>
          </cell>
          <cell r="L517">
            <v>1886924</v>
          </cell>
          <cell r="M517">
            <v>1952421</v>
          </cell>
        </row>
        <row r="519">
          <cell r="I519">
            <v>144000</v>
          </cell>
          <cell r="J519">
            <v>72000</v>
          </cell>
          <cell r="K519">
            <v>72000</v>
          </cell>
          <cell r="L519">
            <v>144000</v>
          </cell>
          <cell r="M519">
            <v>144000</v>
          </cell>
        </row>
        <row r="520">
          <cell r="I520">
            <v>76500</v>
          </cell>
          <cell r="J520">
            <v>38250</v>
          </cell>
          <cell r="K520">
            <v>38250</v>
          </cell>
          <cell r="L520">
            <v>76500</v>
          </cell>
          <cell r="M520">
            <v>76500</v>
          </cell>
        </row>
        <row r="521">
          <cell r="I521">
            <v>76500</v>
          </cell>
          <cell r="J521">
            <v>38250</v>
          </cell>
          <cell r="K521">
            <v>38250</v>
          </cell>
          <cell r="L521">
            <v>76500</v>
          </cell>
          <cell r="M521">
            <v>76500</v>
          </cell>
        </row>
        <row r="522">
          <cell r="I522">
            <v>36000</v>
          </cell>
          <cell r="J522">
            <v>36000</v>
          </cell>
          <cell r="K522">
            <v>0</v>
          </cell>
          <cell r="L522">
            <v>36000</v>
          </cell>
          <cell r="M522">
            <v>36000</v>
          </cell>
        </row>
        <row r="523">
          <cell r="I523">
            <v>30000</v>
          </cell>
          <cell r="J523">
            <v>0</v>
          </cell>
          <cell r="K523">
            <v>30000</v>
          </cell>
          <cell r="L523">
            <v>30000</v>
          </cell>
          <cell r="M523">
            <v>30000</v>
          </cell>
        </row>
        <row r="524">
          <cell r="I524">
            <v>0</v>
          </cell>
          <cell r="J524">
            <v>5000</v>
          </cell>
          <cell r="K524">
            <v>0</v>
          </cell>
          <cell r="L524">
            <v>5000</v>
          </cell>
          <cell r="M524">
            <v>0</v>
          </cell>
        </row>
        <row r="525">
          <cell r="I525">
            <v>15000</v>
          </cell>
          <cell r="J525">
            <v>0</v>
          </cell>
          <cell r="K525">
            <v>0</v>
          </cell>
          <cell r="L525">
            <v>0</v>
          </cell>
          <cell r="M525">
            <v>0</v>
          </cell>
        </row>
        <row r="526">
          <cell r="I526">
            <v>0</v>
          </cell>
          <cell r="J526">
            <v>0</v>
          </cell>
          <cell r="K526">
            <v>0</v>
          </cell>
          <cell r="L526">
            <v>0</v>
          </cell>
          <cell r="M526">
            <v>0</v>
          </cell>
        </row>
        <row r="527">
          <cell r="I527">
            <v>30000</v>
          </cell>
          <cell r="J527">
            <v>0</v>
          </cell>
          <cell r="K527">
            <v>30000</v>
          </cell>
          <cell r="L527">
            <v>30000</v>
          </cell>
          <cell r="M527">
            <v>30000</v>
          </cell>
        </row>
        <row r="528">
          <cell r="I528">
            <v>150854</v>
          </cell>
          <cell r="J528">
            <v>157163</v>
          </cell>
          <cell r="K528">
            <v>0</v>
          </cell>
          <cell r="L528">
            <v>157163</v>
          </cell>
          <cell r="M528">
            <v>162669</v>
          </cell>
        </row>
        <row r="529">
          <cell r="I529">
            <v>152117</v>
          </cell>
          <cell r="J529">
            <v>0</v>
          </cell>
          <cell r="K529">
            <v>157405</v>
          </cell>
          <cell r="L529">
            <v>157405</v>
          </cell>
          <cell r="M529">
            <v>162771</v>
          </cell>
        </row>
        <row r="530">
          <cell r="I530">
            <v>214930.08</v>
          </cell>
          <cell r="J530">
            <v>90512.4</v>
          </cell>
          <cell r="K530">
            <v>136487.6</v>
          </cell>
          <cell r="L530">
            <v>227000</v>
          </cell>
          <cell r="M530">
            <v>235000</v>
          </cell>
        </row>
        <row r="531">
          <cell r="I531">
            <v>7200</v>
          </cell>
          <cell r="J531">
            <v>3000</v>
          </cell>
          <cell r="K531">
            <v>7800</v>
          </cell>
          <cell r="L531">
            <v>10800</v>
          </cell>
          <cell r="M531">
            <v>10800</v>
          </cell>
        </row>
        <row r="532">
          <cell r="I532">
            <v>23520</v>
          </cell>
          <cell r="J532">
            <v>10065</v>
          </cell>
          <cell r="K532">
            <v>28935</v>
          </cell>
          <cell r="L532">
            <v>39000</v>
          </cell>
          <cell r="M532">
            <v>44000</v>
          </cell>
        </row>
        <row r="533">
          <cell r="I533">
            <v>7200</v>
          </cell>
          <cell r="J533">
            <v>3000</v>
          </cell>
          <cell r="K533">
            <v>4200</v>
          </cell>
          <cell r="L533">
            <v>7200</v>
          </cell>
          <cell r="M533">
            <v>7200</v>
          </cell>
        </row>
        <row r="534">
          <cell r="I534">
            <v>24505.02</v>
          </cell>
          <cell r="J534">
            <v>0</v>
          </cell>
          <cell r="K534">
            <v>0</v>
          </cell>
          <cell r="L534">
            <v>0</v>
          </cell>
          <cell r="M534">
            <v>0</v>
          </cell>
        </row>
        <row r="535">
          <cell r="I535">
            <v>60000</v>
          </cell>
          <cell r="J535">
            <v>0</v>
          </cell>
          <cell r="K535">
            <v>0</v>
          </cell>
          <cell r="L535">
            <v>0</v>
          </cell>
          <cell r="M535">
            <v>0</v>
          </cell>
        </row>
        <row r="538">
          <cell r="I538">
            <v>34500</v>
          </cell>
          <cell r="J538">
            <v>41212</v>
          </cell>
          <cell r="K538">
            <v>98788</v>
          </cell>
          <cell r="L538">
            <v>140000</v>
          </cell>
          <cell r="M538">
            <v>140000</v>
          </cell>
        </row>
        <row r="539">
          <cell r="I539">
            <v>14000</v>
          </cell>
          <cell r="J539">
            <v>0</v>
          </cell>
          <cell r="K539">
            <v>100000</v>
          </cell>
          <cell r="L539">
            <v>100000</v>
          </cell>
          <cell r="M539">
            <v>100000</v>
          </cell>
        </row>
        <row r="540">
          <cell r="I540">
            <v>105368.57</v>
          </cell>
          <cell r="J540">
            <v>42223.75</v>
          </cell>
          <cell r="K540">
            <v>77776.25</v>
          </cell>
          <cell r="L540">
            <v>120000</v>
          </cell>
          <cell r="M540">
            <v>120000</v>
          </cell>
        </row>
        <row r="541">
          <cell r="I541">
            <v>0</v>
          </cell>
          <cell r="J541">
            <v>0</v>
          </cell>
          <cell r="K541">
            <v>500</v>
          </cell>
          <cell r="L541">
            <v>500</v>
          </cell>
          <cell r="M541">
            <v>500</v>
          </cell>
        </row>
        <row r="542">
          <cell r="I542">
            <v>36000</v>
          </cell>
          <cell r="J542">
            <v>18000</v>
          </cell>
          <cell r="K542">
            <v>18000</v>
          </cell>
          <cell r="L542">
            <v>36000</v>
          </cell>
          <cell r="M542">
            <v>36000</v>
          </cell>
        </row>
        <row r="543">
          <cell r="I543">
            <v>6000</v>
          </cell>
          <cell r="J543">
            <v>1500</v>
          </cell>
          <cell r="K543">
            <v>23500</v>
          </cell>
          <cell r="L543">
            <v>25000</v>
          </cell>
          <cell r="M543">
            <v>25000</v>
          </cell>
        </row>
        <row r="544">
          <cell r="I544">
            <v>2000</v>
          </cell>
          <cell r="J544">
            <v>0</v>
          </cell>
          <cell r="K544">
            <v>22000</v>
          </cell>
          <cell r="L544">
            <v>22000</v>
          </cell>
          <cell r="M544">
            <v>22000</v>
          </cell>
        </row>
        <row r="545">
          <cell r="I545">
            <v>150000</v>
          </cell>
          <cell r="J545">
            <v>0</v>
          </cell>
          <cell r="K545">
            <v>0</v>
          </cell>
          <cell r="L545">
            <v>0</v>
          </cell>
          <cell r="M545">
            <v>0</v>
          </cell>
        </row>
        <row r="552">
          <cell r="I552">
            <v>31099</v>
          </cell>
          <cell r="J552">
            <v>0</v>
          </cell>
          <cell r="K552">
            <v>65000</v>
          </cell>
          <cell r="L552">
            <v>65000</v>
          </cell>
          <cell r="M552">
            <v>0</v>
          </cell>
        </row>
        <row r="588">
          <cell r="I588">
            <v>953386.05</v>
          </cell>
          <cell r="J588">
            <v>741300</v>
          </cell>
          <cell r="K588">
            <v>741300</v>
          </cell>
          <cell r="L588">
            <v>1482600</v>
          </cell>
          <cell r="M588">
            <v>1531656</v>
          </cell>
        </row>
        <row r="590">
          <cell r="I590">
            <v>59545.45</v>
          </cell>
          <cell r="J590">
            <v>36000</v>
          </cell>
          <cell r="K590">
            <v>36000</v>
          </cell>
          <cell r="L590">
            <v>72000</v>
          </cell>
          <cell r="M590">
            <v>72000</v>
          </cell>
        </row>
        <row r="591">
          <cell r="I591">
            <v>76500</v>
          </cell>
          <cell r="J591">
            <v>38250</v>
          </cell>
          <cell r="K591">
            <v>38250</v>
          </cell>
          <cell r="L591">
            <v>76500</v>
          </cell>
          <cell r="M591">
            <v>76500</v>
          </cell>
        </row>
        <row r="592">
          <cell r="I592">
            <v>76500</v>
          </cell>
          <cell r="J592">
            <v>38250</v>
          </cell>
          <cell r="K592">
            <v>38250</v>
          </cell>
          <cell r="L592">
            <v>76500</v>
          </cell>
          <cell r="M592">
            <v>76500</v>
          </cell>
        </row>
        <row r="593">
          <cell r="I593">
            <v>18000</v>
          </cell>
          <cell r="J593">
            <v>18000</v>
          </cell>
          <cell r="K593">
            <v>0</v>
          </cell>
          <cell r="L593">
            <v>18000</v>
          </cell>
          <cell r="M593">
            <v>18000</v>
          </cell>
        </row>
        <row r="594">
          <cell r="I594">
            <v>15000</v>
          </cell>
          <cell r="J594">
            <v>0</v>
          </cell>
          <cell r="K594">
            <v>15000</v>
          </cell>
          <cell r="L594">
            <v>15000</v>
          </cell>
          <cell r="M594">
            <v>15000</v>
          </cell>
        </row>
        <row r="595">
          <cell r="I595">
            <v>0</v>
          </cell>
          <cell r="J595">
            <v>0</v>
          </cell>
          <cell r="K595">
            <v>0</v>
          </cell>
          <cell r="L595">
            <v>0</v>
          </cell>
          <cell r="M595">
            <v>0</v>
          </cell>
        </row>
        <row r="596">
          <cell r="I596">
            <v>6000</v>
          </cell>
          <cell r="J596">
            <v>0</v>
          </cell>
          <cell r="K596">
            <v>0</v>
          </cell>
          <cell r="L596">
            <v>0</v>
          </cell>
          <cell r="M596">
            <v>0</v>
          </cell>
        </row>
        <row r="597">
          <cell r="I597">
            <v>0</v>
          </cell>
          <cell r="J597">
            <v>0</v>
          </cell>
          <cell r="K597">
            <v>0</v>
          </cell>
          <cell r="L597">
            <v>0</v>
          </cell>
          <cell r="M597">
            <v>0</v>
          </cell>
        </row>
        <row r="598">
          <cell r="I598">
            <v>15000</v>
          </cell>
          <cell r="J598">
            <v>0</v>
          </cell>
          <cell r="K598">
            <v>15000</v>
          </cell>
          <cell r="L598">
            <v>15000</v>
          </cell>
          <cell r="M598">
            <v>15000</v>
          </cell>
        </row>
        <row r="599">
          <cell r="I599">
            <v>44288</v>
          </cell>
          <cell r="J599">
            <v>123550</v>
          </cell>
          <cell r="K599">
            <v>0</v>
          </cell>
          <cell r="L599">
            <v>123550</v>
          </cell>
          <cell r="M599">
            <v>127638</v>
          </cell>
        </row>
        <row r="600">
          <cell r="I600">
            <v>119222</v>
          </cell>
          <cell r="J600">
            <v>0</v>
          </cell>
          <cell r="K600">
            <v>123550</v>
          </cell>
          <cell r="L600">
            <v>123550</v>
          </cell>
          <cell r="M600">
            <v>127638</v>
          </cell>
        </row>
        <row r="601">
          <cell r="I601">
            <v>88513.68</v>
          </cell>
          <cell r="J601">
            <v>66832.800000000003</v>
          </cell>
          <cell r="K601">
            <v>112167.2</v>
          </cell>
          <cell r="L601">
            <v>179000</v>
          </cell>
          <cell r="M601">
            <v>184000</v>
          </cell>
        </row>
        <row r="602">
          <cell r="I602">
            <v>3000</v>
          </cell>
          <cell r="J602">
            <v>1500</v>
          </cell>
          <cell r="K602">
            <v>3900</v>
          </cell>
          <cell r="L602">
            <v>5400</v>
          </cell>
          <cell r="M602">
            <v>5400</v>
          </cell>
        </row>
        <row r="603">
          <cell r="I603">
            <v>12855</v>
          </cell>
          <cell r="J603">
            <v>7920</v>
          </cell>
          <cell r="K603">
            <v>22080</v>
          </cell>
          <cell r="L603">
            <v>30000</v>
          </cell>
          <cell r="M603">
            <v>35000</v>
          </cell>
        </row>
        <row r="604">
          <cell r="I604">
            <v>2800</v>
          </cell>
          <cell r="J604">
            <v>1500</v>
          </cell>
          <cell r="K604">
            <v>2100</v>
          </cell>
          <cell r="L604">
            <v>3600</v>
          </cell>
          <cell r="M604">
            <v>3600</v>
          </cell>
        </row>
        <row r="605">
          <cell r="I605">
            <v>0</v>
          </cell>
          <cell r="J605">
            <v>0</v>
          </cell>
          <cell r="K605">
            <v>0</v>
          </cell>
          <cell r="L605">
            <v>0</v>
          </cell>
          <cell r="M605">
            <v>0</v>
          </cell>
        </row>
        <row r="606">
          <cell r="I606">
            <v>301510.59000000003</v>
          </cell>
          <cell r="J606">
            <v>0</v>
          </cell>
          <cell r="K606">
            <v>0</v>
          </cell>
          <cell r="L606">
            <v>0</v>
          </cell>
          <cell r="M606">
            <v>0</v>
          </cell>
        </row>
        <row r="607">
          <cell r="I607">
            <v>30000</v>
          </cell>
          <cell r="J607">
            <v>0</v>
          </cell>
          <cell r="K607">
            <v>0</v>
          </cell>
          <cell r="L607">
            <v>0</v>
          </cell>
          <cell r="M607">
            <v>0</v>
          </cell>
        </row>
        <row r="610">
          <cell r="I610">
            <v>0</v>
          </cell>
          <cell r="J610">
            <v>12250</v>
          </cell>
          <cell r="K610">
            <v>25750</v>
          </cell>
          <cell r="L610">
            <v>38000</v>
          </cell>
          <cell r="M610">
            <v>38000</v>
          </cell>
        </row>
        <row r="611">
          <cell r="I611">
            <v>4200</v>
          </cell>
          <cell r="J611">
            <v>1500</v>
          </cell>
          <cell r="K611">
            <v>38500</v>
          </cell>
          <cell r="L611">
            <v>40000</v>
          </cell>
          <cell r="M611">
            <v>40000</v>
          </cell>
        </row>
        <row r="612">
          <cell r="I612">
            <v>78644</v>
          </cell>
          <cell r="J612">
            <v>60440</v>
          </cell>
          <cell r="K612">
            <v>19560</v>
          </cell>
          <cell r="L612">
            <v>80000</v>
          </cell>
          <cell r="M612">
            <v>80000</v>
          </cell>
        </row>
        <row r="613">
          <cell r="I613">
            <v>0</v>
          </cell>
          <cell r="J613">
            <v>0</v>
          </cell>
          <cell r="K613">
            <v>0</v>
          </cell>
          <cell r="L613">
            <v>0</v>
          </cell>
          <cell r="M613">
            <v>0</v>
          </cell>
        </row>
        <row r="614">
          <cell r="I614">
            <v>36000</v>
          </cell>
          <cell r="J614">
            <v>18000</v>
          </cell>
          <cell r="K614">
            <v>18000</v>
          </cell>
          <cell r="L614">
            <v>36000</v>
          </cell>
          <cell r="M614">
            <v>36000</v>
          </cell>
        </row>
        <row r="615">
          <cell r="I615">
            <v>29450</v>
          </cell>
          <cell r="J615">
            <v>5200</v>
          </cell>
          <cell r="K615">
            <v>24800</v>
          </cell>
          <cell r="L615">
            <v>30000</v>
          </cell>
          <cell r="M615">
            <v>30000</v>
          </cell>
        </row>
        <row r="616">
          <cell r="I616">
            <v>2450</v>
          </cell>
          <cell r="J616">
            <v>0</v>
          </cell>
          <cell r="K616">
            <v>10000</v>
          </cell>
          <cell r="L616">
            <v>10000</v>
          </cell>
          <cell r="M616">
            <v>10000</v>
          </cell>
        </row>
        <row r="617">
          <cell r="I617">
            <v>70000</v>
          </cell>
          <cell r="J617">
            <v>0</v>
          </cell>
          <cell r="K617">
            <v>0</v>
          </cell>
          <cell r="L617">
            <v>0</v>
          </cell>
          <cell r="M617">
            <v>0</v>
          </cell>
        </row>
        <row r="624">
          <cell r="I624">
            <v>198990</v>
          </cell>
          <cell r="J624">
            <v>0</v>
          </cell>
          <cell r="K624">
            <v>220000</v>
          </cell>
          <cell r="L624">
            <v>220000</v>
          </cell>
          <cell r="M624">
            <v>0</v>
          </cell>
        </row>
        <row r="659">
          <cell r="I659">
            <v>1666991.51</v>
          </cell>
          <cell r="J659">
            <v>1007186.02</v>
          </cell>
          <cell r="K659">
            <v>1945725.98</v>
          </cell>
          <cell r="L659">
            <v>2952912</v>
          </cell>
          <cell r="M659">
            <v>3059352</v>
          </cell>
        </row>
        <row r="661">
          <cell r="I661">
            <v>96000</v>
          </cell>
          <cell r="J661">
            <v>54000</v>
          </cell>
          <cell r="K661">
            <v>138000</v>
          </cell>
          <cell r="L661">
            <v>192000</v>
          </cell>
          <cell r="M661">
            <v>192000</v>
          </cell>
        </row>
        <row r="662">
          <cell r="I662">
            <v>76500</v>
          </cell>
          <cell r="J662">
            <v>38250</v>
          </cell>
          <cell r="K662">
            <v>38250</v>
          </cell>
          <cell r="L662">
            <v>76500</v>
          </cell>
          <cell r="M662">
            <v>76500</v>
          </cell>
        </row>
        <row r="663">
          <cell r="I663">
            <v>76500</v>
          </cell>
          <cell r="J663">
            <v>38250</v>
          </cell>
          <cell r="K663">
            <v>38250</v>
          </cell>
          <cell r="L663">
            <v>76500</v>
          </cell>
          <cell r="M663">
            <v>76500</v>
          </cell>
        </row>
        <row r="664">
          <cell r="I664">
            <v>24000</v>
          </cell>
          <cell r="J664">
            <v>24000</v>
          </cell>
          <cell r="K664">
            <v>24000</v>
          </cell>
          <cell r="L664">
            <v>48000</v>
          </cell>
          <cell r="M664">
            <v>48000</v>
          </cell>
        </row>
        <row r="665">
          <cell r="I665">
            <v>44425</v>
          </cell>
          <cell r="J665">
            <v>18450</v>
          </cell>
          <cell r="K665">
            <v>89550</v>
          </cell>
          <cell r="L665">
            <v>108000</v>
          </cell>
          <cell r="M665">
            <v>108000</v>
          </cell>
        </row>
        <row r="666">
          <cell r="I666">
            <v>20000</v>
          </cell>
          <cell r="J666">
            <v>0</v>
          </cell>
          <cell r="K666">
            <v>40000</v>
          </cell>
          <cell r="L666">
            <v>40000</v>
          </cell>
          <cell r="M666">
            <v>40000</v>
          </cell>
        </row>
        <row r="667">
          <cell r="I667">
            <v>5000</v>
          </cell>
          <cell r="J667">
            <v>0</v>
          </cell>
          <cell r="K667">
            <v>0</v>
          </cell>
          <cell r="L667">
            <v>0</v>
          </cell>
          <cell r="M667">
            <v>0</v>
          </cell>
        </row>
        <row r="668">
          <cell r="I668">
            <v>12000</v>
          </cell>
          <cell r="J668">
            <v>0</v>
          </cell>
          <cell r="K668">
            <v>0</v>
          </cell>
          <cell r="L668">
            <v>0</v>
          </cell>
          <cell r="M668">
            <v>0</v>
          </cell>
        </row>
        <row r="669">
          <cell r="I669">
            <v>0</v>
          </cell>
          <cell r="J669">
            <v>0</v>
          </cell>
          <cell r="K669">
            <v>0</v>
          </cell>
          <cell r="L669">
            <v>0</v>
          </cell>
          <cell r="M669">
            <v>0</v>
          </cell>
        </row>
        <row r="670">
          <cell r="I670">
            <v>105842</v>
          </cell>
          <cell r="J670">
            <v>49895.4</v>
          </cell>
          <cell r="K670">
            <v>117185.4</v>
          </cell>
          <cell r="L670">
            <v>167080.79999999999</v>
          </cell>
          <cell r="M670">
            <v>167080.79999999999</v>
          </cell>
        </row>
        <row r="671">
          <cell r="I671">
            <v>20000</v>
          </cell>
          <cell r="J671">
            <v>0</v>
          </cell>
          <cell r="K671">
            <v>40000</v>
          </cell>
          <cell r="L671">
            <v>40000</v>
          </cell>
          <cell r="M671">
            <v>40000</v>
          </cell>
        </row>
        <row r="672">
          <cell r="I672">
            <v>138682</v>
          </cell>
          <cell r="J672">
            <v>186293</v>
          </cell>
          <cell r="K672">
            <v>59783</v>
          </cell>
          <cell r="L672">
            <v>246076</v>
          </cell>
          <cell r="M672">
            <v>254946</v>
          </cell>
        </row>
        <row r="673">
          <cell r="I673">
            <v>139166</v>
          </cell>
          <cell r="J673">
            <v>0</v>
          </cell>
          <cell r="K673">
            <v>246076</v>
          </cell>
          <cell r="L673">
            <v>246076</v>
          </cell>
          <cell r="M673">
            <v>254946</v>
          </cell>
        </row>
        <row r="674">
          <cell r="I674">
            <v>197947.44</v>
          </cell>
          <cell r="J674">
            <v>83209.2</v>
          </cell>
          <cell r="K674">
            <v>272940.79999999999</v>
          </cell>
          <cell r="L674">
            <v>356150</v>
          </cell>
          <cell r="M674">
            <v>367500</v>
          </cell>
        </row>
        <row r="675">
          <cell r="I675">
            <v>4800</v>
          </cell>
          <cell r="J675">
            <v>2200</v>
          </cell>
          <cell r="K675">
            <v>12200</v>
          </cell>
          <cell r="L675">
            <v>14400</v>
          </cell>
          <cell r="M675">
            <v>14400</v>
          </cell>
        </row>
        <row r="676">
          <cell r="I676">
            <v>20625</v>
          </cell>
          <cell r="J676">
            <v>10065</v>
          </cell>
          <cell r="K676">
            <v>50635</v>
          </cell>
          <cell r="L676">
            <v>60700</v>
          </cell>
          <cell r="M676">
            <v>69000</v>
          </cell>
        </row>
        <row r="677">
          <cell r="I677">
            <v>4800</v>
          </cell>
          <cell r="J677">
            <v>2000</v>
          </cell>
          <cell r="K677">
            <v>7600</v>
          </cell>
          <cell r="L677">
            <v>9600</v>
          </cell>
          <cell r="M677">
            <v>9600</v>
          </cell>
        </row>
        <row r="678">
          <cell r="I678">
            <v>9141.67</v>
          </cell>
          <cell r="J678">
            <v>0</v>
          </cell>
          <cell r="K678">
            <v>0</v>
          </cell>
          <cell r="L678">
            <v>0</v>
          </cell>
          <cell r="M678">
            <v>0</v>
          </cell>
        </row>
        <row r="679">
          <cell r="I679">
            <v>40000</v>
          </cell>
          <cell r="J679">
            <v>0</v>
          </cell>
          <cell r="K679">
            <v>0</v>
          </cell>
          <cell r="L679">
            <v>0</v>
          </cell>
          <cell r="M679">
            <v>0</v>
          </cell>
        </row>
        <row r="682">
          <cell r="I682">
            <v>7510</v>
          </cell>
          <cell r="J682">
            <v>61880</v>
          </cell>
          <cell r="K682">
            <v>46120</v>
          </cell>
          <cell r="L682">
            <v>108000</v>
          </cell>
          <cell r="M682">
            <v>108000</v>
          </cell>
        </row>
        <row r="683">
          <cell r="I683">
            <v>4980</v>
          </cell>
          <cell r="J683">
            <v>37250</v>
          </cell>
          <cell r="K683">
            <v>82750</v>
          </cell>
          <cell r="L683">
            <v>120000</v>
          </cell>
          <cell r="M683">
            <v>120000</v>
          </cell>
        </row>
        <row r="684">
          <cell r="I684">
            <v>141059.92000000001</v>
          </cell>
          <cell r="J684">
            <v>58445</v>
          </cell>
          <cell r="K684">
            <v>141555</v>
          </cell>
          <cell r="L684">
            <v>200000</v>
          </cell>
          <cell r="M684">
            <v>200000</v>
          </cell>
        </row>
        <row r="685">
          <cell r="I685">
            <v>339</v>
          </cell>
          <cell r="J685">
            <v>215</v>
          </cell>
          <cell r="K685">
            <v>985</v>
          </cell>
          <cell r="L685">
            <v>1200</v>
          </cell>
          <cell r="M685">
            <v>1200</v>
          </cell>
        </row>
        <row r="686">
          <cell r="I686">
            <v>36000</v>
          </cell>
          <cell r="J686">
            <v>18000</v>
          </cell>
          <cell r="K686">
            <v>18000</v>
          </cell>
          <cell r="L686">
            <v>36000</v>
          </cell>
          <cell r="M686">
            <v>36000</v>
          </cell>
        </row>
        <row r="687">
          <cell r="I687">
            <v>0</v>
          </cell>
          <cell r="J687">
            <v>0</v>
          </cell>
          <cell r="K687">
            <v>50000</v>
          </cell>
          <cell r="L687">
            <v>50000</v>
          </cell>
          <cell r="M687">
            <v>50000</v>
          </cell>
        </row>
        <row r="688">
          <cell r="I688">
            <v>1968896.14</v>
          </cell>
          <cell r="J688">
            <v>818825</v>
          </cell>
          <cell r="K688">
            <v>1019015</v>
          </cell>
          <cell r="L688">
            <v>1837840</v>
          </cell>
          <cell r="M688">
            <v>1837840</v>
          </cell>
        </row>
        <row r="689">
          <cell r="I689">
            <v>0</v>
          </cell>
          <cell r="J689">
            <v>53500</v>
          </cell>
          <cell r="K689">
            <v>5946500</v>
          </cell>
          <cell r="L689">
            <v>6000000</v>
          </cell>
          <cell r="M689">
            <v>3500000</v>
          </cell>
        </row>
        <row r="690">
          <cell r="I690">
            <v>1590</v>
          </cell>
          <cell r="J690">
            <v>4050</v>
          </cell>
          <cell r="K690">
            <v>145950</v>
          </cell>
          <cell r="L690">
            <v>150000</v>
          </cell>
          <cell r="M690">
            <v>150000</v>
          </cell>
        </row>
        <row r="691">
          <cell r="I691">
            <v>100000</v>
          </cell>
          <cell r="J691">
            <v>0</v>
          </cell>
          <cell r="K691">
            <v>0</v>
          </cell>
          <cell r="L691">
            <v>0</v>
          </cell>
          <cell r="M691">
            <v>0</v>
          </cell>
        </row>
        <row r="698">
          <cell r="I698">
            <v>187265</v>
          </cell>
          <cell r="J698">
            <v>390780</v>
          </cell>
          <cell r="K698">
            <v>284220</v>
          </cell>
          <cell r="L698">
            <v>675000</v>
          </cell>
          <cell r="M698">
            <v>0</v>
          </cell>
        </row>
        <row r="731">
          <cell r="I731">
            <v>2811352</v>
          </cell>
          <cell r="J731">
            <v>1371956</v>
          </cell>
          <cell r="K731">
            <v>1553524</v>
          </cell>
          <cell r="L731">
            <v>2925480</v>
          </cell>
          <cell r="M731">
            <v>2986091</v>
          </cell>
        </row>
        <row r="733">
          <cell r="I733">
            <v>216000</v>
          </cell>
          <cell r="J733">
            <v>104000</v>
          </cell>
          <cell r="K733">
            <v>112000</v>
          </cell>
          <cell r="L733">
            <v>216000</v>
          </cell>
          <cell r="M733">
            <v>216000</v>
          </cell>
        </row>
        <row r="734">
          <cell r="I734">
            <v>76500</v>
          </cell>
          <cell r="J734">
            <v>38250</v>
          </cell>
          <cell r="K734">
            <v>38250</v>
          </cell>
          <cell r="L734">
            <v>76500</v>
          </cell>
          <cell r="M734">
            <v>76500</v>
          </cell>
        </row>
        <row r="735">
          <cell r="I735">
            <v>76500</v>
          </cell>
          <cell r="J735">
            <v>38250</v>
          </cell>
          <cell r="K735">
            <v>38250</v>
          </cell>
          <cell r="L735">
            <v>76500</v>
          </cell>
          <cell r="M735">
            <v>76500</v>
          </cell>
        </row>
        <row r="736">
          <cell r="I736">
            <v>54000</v>
          </cell>
          <cell r="J736">
            <v>54000</v>
          </cell>
          <cell r="K736">
            <v>0</v>
          </cell>
          <cell r="L736">
            <v>54000</v>
          </cell>
          <cell r="M736">
            <v>54000</v>
          </cell>
        </row>
        <row r="737">
          <cell r="I737">
            <v>45000</v>
          </cell>
          <cell r="J737">
            <v>0</v>
          </cell>
          <cell r="K737">
            <v>45000</v>
          </cell>
          <cell r="L737">
            <v>45000</v>
          </cell>
          <cell r="M737">
            <v>45000</v>
          </cell>
        </row>
        <row r="738">
          <cell r="I738">
            <v>10000</v>
          </cell>
          <cell r="J738">
            <v>0</v>
          </cell>
          <cell r="K738">
            <v>0</v>
          </cell>
          <cell r="L738">
            <v>0</v>
          </cell>
          <cell r="M738">
            <v>0</v>
          </cell>
        </row>
        <row r="739">
          <cell r="I739">
            <v>27000</v>
          </cell>
          <cell r="J739">
            <v>0</v>
          </cell>
          <cell r="K739">
            <v>0</v>
          </cell>
          <cell r="L739">
            <v>0</v>
          </cell>
          <cell r="M739">
            <v>0</v>
          </cell>
        </row>
        <row r="740">
          <cell r="I740">
            <v>0</v>
          </cell>
          <cell r="J740">
            <v>0</v>
          </cell>
          <cell r="K740">
            <v>0</v>
          </cell>
          <cell r="L740">
            <v>0</v>
          </cell>
          <cell r="M740">
            <v>0</v>
          </cell>
        </row>
        <row r="741">
          <cell r="I741">
            <v>45000</v>
          </cell>
          <cell r="J741">
            <v>0</v>
          </cell>
          <cell r="K741">
            <v>45000</v>
          </cell>
          <cell r="L741">
            <v>45000</v>
          </cell>
          <cell r="M741">
            <v>45000</v>
          </cell>
        </row>
        <row r="742">
          <cell r="I742">
            <v>233001</v>
          </cell>
          <cell r="J742">
            <v>213636</v>
          </cell>
          <cell r="K742">
            <v>30154</v>
          </cell>
          <cell r="L742">
            <v>243790</v>
          </cell>
          <cell r="M742">
            <v>248754</v>
          </cell>
        </row>
        <row r="743">
          <cell r="I743">
            <v>234699</v>
          </cell>
          <cell r="J743">
            <v>0</v>
          </cell>
          <cell r="K743">
            <v>243790</v>
          </cell>
          <cell r="L743">
            <v>243790</v>
          </cell>
          <cell r="M743">
            <v>249098</v>
          </cell>
        </row>
        <row r="744">
          <cell r="I744">
            <v>322245.76000000001</v>
          </cell>
          <cell r="J744">
            <v>133279.07999999999</v>
          </cell>
          <cell r="K744">
            <v>219720.92</v>
          </cell>
          <cell r="L744">
            <v>353000</v>
          </cell>
          <cell r="M744">
            <v>359000</v>
          </cell>
        </row>
        <row r="745">
          <cell r="I745">
            <v>10800</v>
          </cell>
          <cell r="J745">
            <v>4300</v>
          </cell>
          <cell r="K745">
            <v>11900</v>
          </cell>
          <cell r="L745">
            <v>16200</v>
          </cell>
          <cell r="M745">
            <v>16200</v>
          </cell>
        </row>
        <row r="746">
          <cell r="I746">
            <v>39643</v>
          </cell>
          <cell r="J746">
            <v>15795</v>
          </cell>
          <cell r="K746">
            <v>44205</v>
          </cell>
          <cell r="L746">
            <v>60000</v>
          </cell>
          <cell r="M746">
            <v>67500</v>
          </cell>
        </row>
        <row r="747">
          <cell r="I747">
            <v>10700</v>
          </cell>
          <cell r="J747">
            <v>4300</v>
          </cell>
          <cell r="K747">
            <v>6500</v>
          </cell>
          <cell r="L747">
            <v>10800</v>
          </cell>
          <cell r="M747">
            <v>10800</v>
          </cell>
        </row>
        <row r="748">
          <cell r="I748">
            <v>0</v>
          </cell>
          <cell r="J748">
            <v>0</v>
          </cell>
          <cell r="K748">
            <v>1300000</v>
          </cell>
          <cell r="L748">
            <v>1300000</v>
          </cell>
          <cell r="M748">
            <v>0</v>
          </cell>
        </row>
        <row r="749">
          <cell r="I749">
            <v>0</v>
          </cell>
          <cell r="J749">
            <v>0</v>
          </cell>
          <cell r="K749">
            <v>0</v>
          </cell>
          <cell r="L749">
            <v>0</v>
          </cell>
          <cell r="M749">
            <v>0</v>
          </cell>
        </row>
        <row r="750">
          <cell r="I750">
            <v>90000</v>
          </cell>
          <cell r="J750">
            <v>0</v>
          </cell>
          <cell r="K750">
            <v>0</v>
          </cell>
          <cell r="L750">
            <v>0</v>
          </cell>
          <cell r="M750">
            <v>0</v>
          </cell>
        </row>
        <row r="753">
          <cell r="I753">
            <v>34435</v>
          </cell>
          <cell r="J753">
            <v>34500</v>
          </cell>
          <cell r="K753">
            <v>97500</v>
          </cell>
          <cell r="L753">
            <v>132000</v>
          </cell>
          <cell r="M753">
            <v>132000</v>
          </cell>
        </row>
        <row r="754">
          <cell r="I754">
            <v>37795</v>
          </cell>
          <cell r="J754">
            <v>0</v>
          </cell>
          <cell r="K754">
            <v>180000</v>
          </cell>
          <cell r="L754">
            <v>180000</v>
          </cell>
          <cell r="M754">
            <v>180000</v>
          </cell>
        </row>
        <row r="755">
          <cell r="I755">
            <v>49680</v>
          </cell>
          <cell r="J755">
            <v>0</v>
          </cell>
          <cell r="K755">
            <v>50000</v>
          </cell>
          <cell r="L755">
            <v>50000</v>
          </cell>
          <cell r="M755">
            <v>50000</v>
          </cell>
        </row>
        <row r="756">
          <cell r="I756">
            <v>0</v>
          </cell>
          <cell r="J756">
            <v>0</v>
          </cell>
          <cell r="K756">
            <v>1000</v>
          </cell>
          <cell r="L756">
            <v>1000</v>
          </cell>
          <cell r="M756">
            <v>1000</v>
          </cell>
        </row>
        <row r="757">
          <cell r="I757">
            <v>36000</v>
          </cell>
          <cell r="J757">
            <v>18000</v>
          </cell>
          <cell r="K757">
            <v>18000</v>
          </cell>
          <cell r="L757">
            <v>36000</v>
          </cell>
          <cell r="M757">
            <v>36000</v>
          </cell>
        </row>
        <row r="758">
          <cell r="I758">
            <v>6895</v>
          </cell>
          <cell r="J758">
            <v>0</v>
          </cell>
          <cell r="K758">
            <v>20000</v>
          </cell>
          <cell r="L758">
            <v>20000</v>
          </cell>
          <cell r="M758">
            <v>20000</v>
          </cell>
        </row>
        <row r="759">
          <cell r="I759">
            <v>736859</v>
          </cell>
          <cell r="J759">
            <v>226435</v>
          </cell>
          <cell r="K759">
            <v>621497.19999999995</v>
          </cell>
          <cell r="L759">
            <v>847932.2</v>
          </cell>
          <cell r="M759">
            <v>847932.2</v>
          </cell>
        </row>
        <row r="760">
          <cell r="I760">
            <v>0</v>
          </cell>
          <cell r="J760">
            <v>0</v>
          </cell>
          <cell r="K760">
            <v>5000000</v>
          </cell>
          <cell r="L760">
            <v>5000000</v>
          </cell>
          <cell r="M760">
            <v>2000000</v>
          </cell>
        </row>
        <row r="761">
          <cell r="I761">
            <v>0</v>
          </cell>
          <cell r="J761">
            <v>0</v>
          </cell>
          <cell r="K761">
            <v>10000</v>
          </cell>
          <cell r="L761">
            <v>10000</v>
          </cell>
          <cell r="M761">
            <v>10000</v>
          </cell>
        </row>
        <row r="762">
          <cell r="I762">
            <v>225000</v>
          </cell>
          <cell r="J762">
            <v>0</v>
          </cell>
          <cell r="K762">
            <v>0</v>
          </cell>
          <cell r="L762">
            <v>0</v>
          </cell>
          <cell r="M762">
            <v>0</v>
          </cell>
        </row>
        <row r="769">
          <cell r="I769">
            <v>108089</v>
          </cell>
          <cell r="J769">
            <v>0</v>
          </cell>
          <cell r="K769">
            <v>120000</v>
          </cell>
          <cell r="L769">
            <v>120000</v>
          </cell>
          <cell r="M769">
            <v>0</v>
          </cell>
        </row>
        <row r="803">
          <cell r="I803">
            <v>4880136</v>
          </cell>
          <cell r="J803">
            <v>2593230</v>
          </cell>
          <cell r="K803">
            <v>3909259</v>
          </cell>
          <cell r="L803">
            <v>6502489</v>
          </cell>
          <cell r="M803">
            <v>6766084</v>
          </cell>
        </row>
        <row r="805">
          <cell r="I805">
            <v>312000</v>
          </cell>
          <cell r="J805">
            <v>156000</v>
          </cell>
          <cell r="K805">
            <v>228000</v>
          </cell>
          <cell r="L805">
            <v>384000</v>
          </cell>
          <cell r="M805">
            <v>384000</v>
          </cell>
        </row>
        <row r="806">
          <cell r="I806">
            <v>76500</v>
          </cell>
          <cell r="J806">
            <v>38250</v>
          </cell>
          <cell r="K806">
            <v>38250</v>
          </cell>
          <cell r="L806">
            <v>76500</v>
          </cell>
          <cell r="M806">
            <v>76500</v>
          </cell>
        </row>
        <row r="807">
          <cell r="I807">
            <v>76500</v>
          </cell>
          <cell r="J807">
            <v>38250</v>
          </cell>
          <cell r="K807">
            <v>38250</v>
          </cell>
          <cell r="L807">
            <v>76500</v>
          </cell>
          <cell r="M807">
            <v>76500</v>
          </cell>
        </row>
        <row r="808">
          <cell r="I808">
            <v>78000</v>
          </cell>
          <cell r="J808">
            <v>78000</v>
          </cell>
          <cell r="K808">
            <v>18000</v>
          </cell>
          <cell r="L808">
            <v>96000</v>
          </cell>
          <cell r="M808">
            <v>96000</v>
          </cell>
        </row>
        <row r="809">
          <cell r="I809">
            <v>174825</v>
          </cell>
          <cell r="J809">
            <v>84725</v>
          </cell>
          <cell r="K809">
            <v>232075</v>
          </cell>
          <cell r="L809">
            <v>316800</v>
          </cell>
          <cell r="M809">
            <v>316800</v>
          </cell>
        </row>
        <row r="810">
          <cell r="I810">
            <v>65000</v>
          </cell>
          <cell r="J810">
            <v>0</v>
          </cell>
          <cell r="K810">
            <v>80000</v>
          </cell>
          <cell r="L810">
            <v>80000</v>
          </cell>
          <cell r="M810">
            <v>80000</v>
          </cell>
        </row>
        <row r="811">
          <cell r="I811">
            <v>15000</v>
          </cell>
          <cell r="J811">
            <v>0</v>
          </cell>
          <cell r="K811">
            <v>0</v>
          </cell>
          <cell r="L811">
            <v>0</v>
          </cell>
          <cell r="M811">
            <v>10000</v>
          </cell>
        </row>
        <row r="812">
          <cell r="I812">
            <v>39000</v>
          </cell>
          <cell r="J812">
            <v>0</v>
          </cell>
          <cell r="K812">
            <v>0</v>
          </cell>
          <cell r="L812">
            <v>0</v>
          </cell>
          <cell r="M812">
            <v>0</v>
          </cell>
        </row>
        <row r="813">
          <cell r="I813">
            <v>0</v>
          </cell>
          <cell r="J813">
            <v>0</v>
          </cell>
          <cell r="K813">
            <v>0</v>
          </cell>
          <cell r="L813">
            <v>0</v>
          </cell>
          <cell r="M813">
            <v>0</v>
          </cell>
        </row>
        <row r="814">
          <cell r="I814">
            <v>417402</v>
          </cell>
          <cell r="J814">
            <v>210635</v>
          </cell>
          <cell r="K814">
            <v>336052</v>
          </cell>
          <cell r="L814">
            <v>546687</v>
          </cell>
          <cell r="M814">
            <v>546687</v>
          </cell>
        </row>
        <row r="815">
          <cell r="I815">
            <v>65000</v>
          </cell>
          <cell r="J815">
            <v>0</v>
          </cell>
          <cell r="K815">
            <v>80000</v>
          </cell>
          <cell r="L815">
            <v>80000</v>
          </cell>
          <cell r="M815">
            <v>80000</v>
          </cell>
        </row>
        <row r="816">
          <cell r="I816">
            <v>406707</v>
          </cell>
          <cell r="J816">
            <v>435509</v>
          </cell>
          <cell r="K816">
            <v>105563</v>
          </cell>
          <cell r="L816">
            <v>541072</v>
          </cell>
          <cell r="M816">
            <v>563206</v>
          </cell>
        </row>
        <row r="817">
          <cell r="I817">
            <v>406996</v>
          </cell>
          <cell r="J817">
            <v>0</v>
          </cell>
          <cell r="K817">
            <v>543130</v>
          </cell>
          <cell r="L817">
            <v>543130</v>
          </cell>
          <cell r="M817">
            <v>564207</v>
          </cell>
        </row>
        <row r="818">
          <cell r="I818">
            <v>576980.52</v>
          </cell>
          <cell r="J818">
            <v>243973.56</v>
          </cell>
          <cell r="K818">
            <v>537026.43999999994</v>
          </cell>
          <cell r="L818">
            <v>781000</v>
          </cell>
          <cell r="M818">
            <v>812000</v>
          </cell>
        </row>
        <row r="819">
          <cell r="I819">
            <v>15600</v>
          </cell>
          <cell r="J819">
            <v>6500</v>
          </cell>
          <cell r="K819">
            <v>22300</v>
          </cell>
          <cell r="L819">
            <v>28800</v>
          </cell>
          <cell r="M819">
            <v>28800</v>
          </cell>
        </row>
        <row r="820">
          <cell r="I820">
            <v>65820</v>
          </cell>
          <cell r="J820">
            <v>28905</v>
          </cell>
          <cell r="K820">
            <v>102145</v>
          </cell>
          <cell r="L820">
            <v>131050</v>
          </cell>
          <cell r="M820">
            <v>152500</v>
          </cell>
        </row>
        <row r="821">
          <cell r="I821">
            <v>15600</v>
          </cell>
          <cell r="J821">
            <v>6500</v>
          </cell>
          <cell r="K821">
            <v>12700</v>
          </cell>
          <cell r="L821">
            <v>19200</v>
          </cell>
          <cell r="M821">
            <v>19200</v>
          </cell>
        </row>
        <row r="822">
          <cell r="I822">
            <v>552361.89</v>
          </cell>
          <cell r="J822">
            <v>0</v>
          </cell>
          <cell r="K822">
            <v>0</v>
          </cell>
          <cell r="L822">
            <v>0</v>
          </cell>
          <cell r="M822">
            <v>0</v>
          </cell>
        </row>
        <row r="823">
          <cell r="I823">
            <v>130000</v>
          </cell>
          <cell r="J823">
            <v>0</v>
          </cell>
          <cell r="K823">
            <v>0</v>
          </cell>
          <cell r="L823">
            <v>0</v>
          </cell>
          <cell r="M823">
            <v>0</v>
          </cell>
        </row>
        <row r="824">
          <cell r="I824">
            <v>25000</v>
          </cell>
          <cell r="J824">
            <v>0</v>
          </cell>
          <cell r="K824">
            <v>25000</v>
          </cell>
          <cell r="L824">
            <v>25000</v>
          </cell>
          <cell r="M824">
            <v>25000</v>
          </cell>
        </row>
        <row r="827">
          <cell r="I827">
            <v>59000</v>
          </cell>
          <cell r="J827">
            <v>58300</v>
          </cell>
          <cell r="K827">
            <v>133474</v>
          </cell>
          <cell r="L827">
            <v>191774</v>
          </cell>
          <cell r="M827">
            <v>191774</v>
          </cell>
        </row>
        <row r="828">
          <cell r="I828">
            <v>45360</v>
          </cell>
          <cell r="J828">
            <v>0</v>
          </cell>
          <cell r="K828">
            <v>102478</v>
          </cell>
          <cell r="L828">
            <v>102478</v>
          </cell>
          <cell r="M828">
            <v>102478</v>
          </cell>
        </row>
        <row r="829">
          <cell r="I829">
            <v>106720.5</v>
          </cell>
          <cell r="J829">
            <v>35425</v>
          </cell>
          <cell r="K829">
            <v>88985</v>
          </cell>
          <cell r="L829">
            <v>124410</v>
          </cell>
          <cell r="M829">
            <v>124410</v>
          </cell>
        </row>
        <row r="830">
          <cell r="I830">
            <v>1161556.5</v>
          </cell>
          <cell r="J830">
            <v>497587.5</v>
          </cell>
          <cell r="K830">
            <v>906057.5</v>
          </cell>
          <cell r="L830">
            <v>1403645</v>
          </cell>
          <cell r="M830">
            <v>1403645</v>
          </cell>
        </row>
        <row r="831">
          <cell r="I831">
            <v>120048</v>
          </cell>
          <cell r="J831">
            <v>38935</v>
          </cell>
          <cell r="K831">
            <v>158215</v>
          </cell>
          <cell r="L831">
            <v>197150</v>
          </cell>
          <cell r="M831">
            <v>197150</v>
          </cell>
        </row>
        <row r="832">
          <cell r="I832">
            <v>0</v>
          </cell>
          <cell r="J832">
            <v>1594460</v>
          </cell>
          <cell r="K832">
            <v>5405540</v>
          </cell>
          <cell r="L832">
            <v>7000000</v>
          </cell>
          <cell r="M832">
            <v>4000000</v>
          </cell>
        </row>
        <row r="833">
          <cell r="I833">
            <v>36000</v>
          </cell>
          <cell r="J833">
            <v>18000</v>
          </cell>
          <cell r="K833">
            <v>18000</v>
          </cell>
          <cell r="L833">
            <v>36000</v>
          </cell>
          <cell r="M833">
            <v>36000</v>
          </cell>
        </row>
        <row r="834">
          <cell r="I834">
            <v>6990</v>
          </cell>
          <cell r="J834">
            <v>6600</v>
          </cell>
          <cell r="K834">
            <v>8000</v>
          </cell>
          <cell r="L834">
            <v>14600</v>
          </cell>
          <cell r="M834">
            <v>14600</v>
          </cell>
        </row>
        <row r="835">
          <cell r="I835">
            <v>29920</v>
          </cell>
          <cell r="J835">
            <v>8500</v>
          </cell>
          <cell r="K835">
            <v>103000</v>
          </cell>
          <cell r="L835">
            <v>111500</v>
          </cell>
          <cell r="M835">
            <v>111500</v>
          </cell>
        </row>
        <row r="836">
          <cell r="I836">
            <v>325000</v>
          </cell>
          <cell r="J836">
            <v>0</v>
          </cell>
          <cell r="K836">
            <v>0</v>
          </cell>
          <cell r="L836">
            <v>0</v>
          </cell>
          <cell r="M836">
            <v>0</v>
          </cell>
        </row>
        <row r="842">
          <cell r="I842">
            <v>66982</v>
          </cell>
          <cell r="J842">
            <v>250000</v>
          </cell>
          <cell r="K842">
            <v>250000</v>
          </cell>
          <cell r="L842">
            <v>500000</v>
          </cell>
          <cell r="M842">
            <v>0</v>
          </cell>
        </row>
        <row r="874">
          <cell r="I874">
            <v>1839577</v>
          </cell>
          <cell r="J874">
            <v>977004</v>
          </cell>
          <cell r="K874">
            <v>977004</v>
          </cell>
          <cell r="L874">
            <v>1954008</v>
          </cell>
          <cell r="M874">
            <v>2063312</v>
          </cell>
        </row>
        <row r="876">
          <cell r="I876">
            <v>144000</v>
          </cell>
          <cell r="J876">
            <v>72000</v>
          </cell>
          <cell r="K876">
            <v>72000</v>
          </cell>
          <cell r="L876">
            <v>144000</v>
          </cell>
          <cell r="M876">
            <v>144000</v>
          </cell>
        </row>
        <row r="877">
          <cell r="I877">
            <v>36000</v>
          </cell>
          <cell r="J877">
            <v>36000</v>
          </cell>
          <cell r="K877">
            <v>0</v>
          </cell>
          <cell r="L877">
            <v>36000</v>
          </cell>
          <cell r="M877">
            <v>36000</v>
          </cell>
        </row>
        <row r="878">
          <cell r="I878">
            <v>82750</v>
          </cell>
          <cell r="J878">
            <v>38625</v>
          </cell>
          <cell r="K878">
            <v>80175</v>
          </cell>
          <cell r="L878">
            <v>118800</v>
          </cell>
          <cell r="M878">
            <v>118800</v>
          </cell>
        </row>
        <row r="879">
          <cell r="I879">
            <v>30000</v>
          </cell>
          <cell r="J879">
            <v>0</v>
          </cell>
          <cell r="K879">
            <v>30000</v>
          </cell>
          <cell r="L879">
            <v>30000</v>
          </cell>
          <cell r="M879">
            <v>30000</v>
          </cell>
        </row>
        <row r="880">
          <cell r="I880">
            <v>10000</v>
          </cell>
          <cell r="J880">
            <v>0</v>
          </cell>
          <cell r="K880">
            <v>0</v>
          </cell>
          <cell r="L880">
            <v>0</v>
          </cell>
          <cell r="M880">
            <v>5000</v>
          </cell>
        </row>
        <row r="881">
          <cell r="I881">
            <v>18000</v>
          </cell>
          <cell r="J881">
            <v>0</v>
          </cell>
          <cell r="K881">
            <v>0</v>
          </cell>
          <cell r="L881">
            <v>0</v>
          </cell>
          <cell r="M881">
            <v>0</v>
          </cell>
        </row>
        <row r="882">
          <cell r="I882">
            <v>171366</v>
          </cell>
          <cell r="J882">
            <v>85683</v>
          </cell>
          <cell r="K882">
            <v>87558</v>
          </cell>
          <cell r="L882">
            <v>173241</v>
          </cell>
          <cell r="M882">
            <v>173241</v>
          </cell>
        </row>
        <row r="883">
          <cell r="I883">
            <v>30000</v>
          </cell>
          <cell r="J883">
            <v>0</v>
          </cell>
          <cell r="K883">
            <v>30000</v>
          </cell>
          <cell r="L883">
            <v>30000</v>
          </cell>
          <cell r="M883">
            <v>30000</v>
          </cell>
        </row>
        <row r="884">
          <cell r="I884">
            <v>151495</v>
          </cell>
          <cell r="J884">
            <v>162834</v>
          </cell>
          <cell r="K884">
            <v>0</v>
          </cell>
          <cell r="L884">
            <v>162834</v>
          </cell>
          <cell r="M884">
            <v>171501</v>
          </cell>
        </row>
        <row r="885">
          <cell r="I885">
            <v>154586</v>
          </cell>
          <cell r="J885">
            <v>0</v>
          </cell>
          <cell r="K885">
            <v>162834</v>
          </cell>
          <cell r="L885">
            <v>162834</v>
          </cell>
          <cell r="M885">
            <v>172213</v>
          </cell>
        </row>
        <row r="886">
          <cell r="I886">
            <v>214387.92</v>
          </cell>
          <cell r="J886">
            <v>90897</v>
          </cell>
          <cell r="K886">
            <v>144103</v>
          </cell>
          <cell r="L886">
            <v>235000</v>
          </cell>
          <cell r="M886">
            <v>248000</v>
          </cell>
        </row>
        <row r="887">
          <cell r="I887">
            <v>7200</v>
          </cell>
          <cell r="J887">
            <v>3000</v>
          </cell>
          <cell r="K887">
            <v>7800</v>
          </cell>
          <cell r="L887">
            <v>10800</v>
          </cell>
          <cell r="M887">
            <v>10800</v>
          </cell>
        </row>
        <row r="888">
          <cell r="I888">
            <v>26370</v>
          </cell>
          <cell r="J888">
            <v>11805</v>
          </cell>
          <cell r="K888">
            <v>28195</v>
          </cell>
          <cell r="L888">
            <v>40000</v>
          </cell>
          <cell r="M888">
            <v>46500</v>
          </cell>
        </row>
        <row r="889">
          <cell r="I889">
            <v>7200</v>
          </cell>
          <cell r="J889">
            <v>3000</v>
          </cell>
          <cell r="K889">
            <v>4200</v>
          </cell>
          <cell r="L889">
            <v>7200</v>
          </cell>
          <cell r="M889">
            <v>7200</v>
          </cell>
        </row>
        <row r="890">
          <cell r="I890">
            <v>0</v>
          </cell>
          <cell r="J890">
            <v>0</v>
          </cell>
          <cell r="K890">
            <v>0</v>
          </cell>
          <cell r="L890">
            <v>0</v>
          </cell>
          <cell r="M890">
            <v>765000</v>
          </cell>
        </row>
        <row r="891">
          <cell r="I891">
            <v>251795</v>
          </cell>
          <cell r="J891">
            <v>0</v>
          </cell>
          <cell r="K891">
            <v>0</v>
          </cell>
          <cell r="L891">
            <v>0</v>
          </cell>
          <cell r="M891">
            <v>0</v>
          </cell>
        </row>
        <row r="892">
          <cell r="I892">
            <v>60000</v>
          </cell>
          <cell r="J892">
            <v>0</v>
          </cell>
          <cell r="K892">
            <v>0</v>
          </cell>
          <cell r="L892">
            <v>0</v>
          </cell>
          <cell r="M892">
            <v>0</v>
          </cell>
        </row>
        <row r="895">
          <cell r="I895">
            <v>0</v>
          </cell>
          <cell r="J895">
            <v>16800</v>
          </cell>
          <cell r="K895">
            <v>78366</v>
          </cell>
          <cell r="L895">
            <v>95166</v>
          </cell>
          <cell r="M895">
            <v>95166</v>
          </cell>
        </row>
        <row r="896">
          <cell r="I896">
            <v>15360</v>
          </cell>
          <cell r="J896">
            <v>0</v>
          </cell>
          <cell r="K896">
            <v>43923</v>
          </cell>
          <cell r="L896">
            <v>43923</v>
          </cell>
          <cell r="M896">
            <v>43923</v>
          </cell>
        </row>
        <row r="897">
          <cell r="I897">
            <v>87117.5</v>
          </cell>
          <cell r="J897">
            <v>30425</v>
          </cell>
          <cell r="K897">
            <v>91173</v>
          </cell>
          <cell r="L897">
            <v>121598</v>
          </cell>
          <cell r="M897">
            <v>121598</v>
          </cell>
        </row>
        <row r="898">
          <cell r="I898">
            <v>1155417.5</v>
          </cell>
          <cell r="J898">
            <v>398587.5</v>
          </cell>
          <cell r="K898">
            <v>998832.5</v>
          </cell>
          <cell r="L898">
            <v>1397420</v>
          </cell>
          <cell r="M898">
            <v>1397420</v>
          </cell>
        </row>
        <row r="899">
          <cell r="I899">
            <v>22880</v>
          </cell>
          <cell r="J899">
            <v>0</v>
          </cell>
          <cell r="K899">
            <v>14641</v>
          </cell>
          <cell r="L899">
            <v>14641</v>
          </cell>
          <cell r="M899">
            <v>14641</v>
          </cell>
        </row>
        <row r="900">
          <cell r="I900">
            <v>0</v>
          </cell>
          <cell r="J900">
            <v>0</v>
          </cell>
          <cell r="K900">
            <v>75141</v>
          </cell>
          <cell r="L900">
            <v>75141</v>
          </cell>
          <cell r="M900">
            <v>75141</v>
          </cell>
        </row>
        <row r="901">
          <cell r="I901">
            <v>150000</v>
          </cell>
          <cell r="J901">
            <v>0</v>
          </cell>
          <cell r="K901">
            <v>0</v>
          </cell>
          <cell r="L901">
            <v>0</v>
          </cell>
          <cell r="M901">
            <v>0</v>
          </cell>
        </row>
        <row r="907">
          <cell r="I907">
            <v>0</v>
          </cell>
          <cell r="J907">
            <v>0</v>
          </cell>
          <cell r="K907">
            <v>90000</v>
          </cell>
          <cell r="L907">
            <v>90000</v>
          </cell>
          <cell r="M907">
            <v>0</v>
          </cell>
        </row>
        <row r="945">
          <cell r="I945">
            <v>694212</v>
          </cell>
          <cell r="J945">
            <v>362838</v>
          </cell>
          <cell r="K945">
            <v>363272</v>
          </cell>
          <cell r="L945">
            <v>726110</v>
          </cell>
          <cell r="M945">
            <v>763047</v>
          </cell>
        </row>
        <row r="947">
          <cell r="I947">
            <v>48000</v>
          </cell>
          <cell r="J947">
            <v>24000</v>
          </cell>
          <cell r="K947">
            <v>24000</v>
          </cell>
          <cell r="L947">
            <v>48000</v>
          </cell>
          <cell r="M947">
            <v>48000</v>
          </cell>
        </row>
        <row r="948">
          <cell r="I948">
            <v>12000</v>
          </cell>
          <cell r="J948">
            <v>12000</v>
          </cell>
          <cell r="K948">
            <v>0</v>
          </cell>
          <cell r="L948">
            <v>12000</v>
          </cell>
          <cell r="M948">
            <v>12000</v>
          </cell>
        </row>
        <row r="949">
          <cell r="I949">
            <v>10000</v>
          </cell>
          <cell r="J949">
            <v>0</v>
          </cell>
          <cell r="K949">
            <v>10000</v>
          </cell>
          <cell r="L949">
            <v>10000</v>
          </cell>
          <cell r="M949">
            <v>10000</v>
          </cell>
        </row>
        <row r="950">
          <cell r="I950">
            <v>10000</v>
          </cell>
          <cell r="J950">
            <v>0</v>
          </cell>
          <cell r="K950">
            <v>10000</v>
          </cell>
          <cell r="L950">
            <v>10000</v>
          </cell>
          <cell r="M950">
            <v>10000</v>
          </cell>
        </row>
        <row r="951">
          <cell r="I951">
            <v>57851</v>
          </cell>
          <cell r="J951">
            <v>60473</v>
          </cell>
          <cell r="K951">
            <v>0</v>
          </cell>
          <cell r="L951">
            <v>60473</v>
          </cell>
          <cell r="M951">
            <v>63527</v>
          </cell>
        </row>
        <row r="952">
          <cell r="I952">
            <v>6000</v>
          </cell>
          <cell r="J952">
            <v>0</v>
          </cell>
          <cell r="K952">
            <v>0</v>
          </cell>
          <cell r="L952">
            <v>0</v>
          </cell>
          <cell r="M952">
            <v>0</v>
          </cell>
        </row>
        <row r="953">
          <cell r="I953">
            <v>0</v>
          </cell>
          <cell r="J953">
            <v>0</v>
          </cell>
          <cell r="K953">
            <v>0</v>
          </cell>
          <cell r="L953">
            <v>0</v>
          </cell>
          <cell r="M953">
            <v>5000</v>
          </cell>
        </row>
        <row r="954">
          <cell r="I954">
            <v>57851</v>
          </cell>
          <cell r="J954">
            <v>0</v>
          </cell>
          <cell r="K954">
            <v>60473</v>
          </cell>
          <cell r="L954">
            <v>60473</v>
          </cell>
          <cell r="M954">
            <v>63768</v>
          </cell>
        </row>
        <row r="955">
          <cell r="I955">
            <v>80890.2</v>
          </cell>
          <cell r="J955">
            <v>34710.6</v>
          </cell>
          <cell r="K955">
            <v>54289.4</v>
          </cell>
          <cell r="L955">
            <v>89000</v>
          </cell>
          <cell r="M955">
            <v>92000</v>
          </cell>
        </row>
        <row r="956">
          <cell r="I956">
            <v>2400</v>
          </cell>
          <cell r="J956">
            <v>1000</v>
          </cell>
          <cell r="K956">
            <v>2600</v>
          </cell>
          <cell r="L956">
            <v>3600</v>
          </cell>
          <cell r="M956">
            <v>3600</v>
          </cell>
        </row>
        <row r="957">
          <cell r="I957">
            <v>10215</v>
          </cell>
          <cell r="J957">
            <v>4395</v>
          </cell>
          <cell r="K957">
            <v>11605</v>
          </cell>
          <cell r="L957">
            <v>16000</v>
          </cell>
          <cell r="M957">
            <v>17500</v>
          </cell>
        </row>
        <row r="958">
          <cell r="I958">
            <v>2400</v>
          </cell>
          <cell r="J958">
            <v>1000</v>
          </cell>
          <cell r="K958">
            <v>1400</v>
          </cell>
          <cell r="L958">
            <v>2400</v>
          </cell>
          <cell r="M958">
            <v>2400</v>
          </cell>
        </row>
        <row r="959">
          <cell r="I959">
            <v>91227.34</v>
          </cell>
          <cell r="J959">
            <v>0</v>
          </cell>
          <cell r="K959">
            <v>0</v>
          </cell>
          <cell r="L959">
            <v>0</v>
          </cell>
          <cell r="M959">
            <v>0</v>
          </cell>
        </row>
        <row r="960">
          <cell r="I960">
            <v>20000</v>
          </cell>
          <cell r="J960">
            <v>0</v>
          </cell>
          <cell r="K960">
            <v>0</v>
          </cell>
          <cell r="L960">
            <v>0</v>
          </cell>
          <cell r="M960">
            <v>0</v>
          </cell>
        </row>
        <row r="963">
          <cell r="I963">
            <v>0</v>
          </cell>
          <cell r="J963">
            <v>9150</v>
          </cell>
          <cell r="K963">
            <v>78850</v>
          </cell>
          <cell r="L963">
            <v>88000</v>
          </cell>
          <cell r="M963">
            <v>88000</v>
          </cell>
        </row>
        <row r="964">
          <cell r="I964">
            <v>20000</v>
          </cell>
          <cell r="J964">
            <v>0</v>
          </cell>
          <cell r="K964">
            <v>100000</v>
          </cell>
          <cell r="L964">
            <v>100000</v>
          </cell>
          <cell r="M964">
            <v>100000</v>
          </cell>
        </row>
        <row r="965">
          <cell r="I965">
            <v>57633</v>
          </cell>
          <cell r="J965">
            <v>17876</v>
          </cell>
          <cell r="K965">
            <v>62124</v>
          </cell>
          <cell r="L965">
            <v>80000</v>
          </cell>
          <cell r="M965">
            <v>80000</v>
          </cell>
        </row>
        <row r="966">
          <cell r="I966">
            <v>36000</v>
          </cell>
          <cell r="J966">
            <v>18000</v>
          </cell>
          <cell r="K966">
            <v>18000</v>
          </cell>
          <cell r="L966">
            <v>36000</v>
          </cell>
          <cell r="M966">
            <v>36000</v>
          </cell>
        </row>
        <row r="967">
          <cell r="I967">
            <v>0</v>
          </cell>
          <cell r="J967">
            <v>0</v>
          </cell>
          <cell r="K967">
            <v>20000</v>
          </cell>
          <cell r="L967">
            <v>20000</v>
          </cell>
          <cell r="M967">
            <v>20000</v>
          </cell>
        </row>
        <row r="968">
          <cell r="I968">
            <v>1360</v>
          </cell>
          <cell r="J968">
            <v>0</v>
          </cell>
          <cell r="K968">
            <v>15000</v>
          </cell>
          <cell r="L968">
            <v>15000</v>
          </cell>
          <cell r="M968">
            <v>15000</v>
          </cell>
        </row>
        <row r="969">
          <cell r="I969">
            <v>50000</v>
          </cell>
          <cell r="J969">
            <v>0</v>
          </cell>
          <cell r="K969">
            <v>0</v>
          </cell>
          <cell r="L969">
            <v>0</v>
          </cell>
          <cell r="M969">
            <v>0</v>
          </cell>
        </row>
        <row r="975">
          <cell r="I975">
            <v>118899</v>
          </cell>
          <cell r="J975">
            <v>19600</v>
          </cell>
          <cell r="K975">
            <v>230400</v>
          </cell>
          <cell r="L975">
            <v>250000</v>
          </cell>
          <cell r="M975">
            <v>0</v>
          </cell>
        </row>
        <row r="1015">
          <cell r="I1015">
            <v>3638244.91</v>
          </cell>
          <cell r="J1015">
            <v>1836455</v>
          </cell>
          <cell r="K1015">
            <v>2103716</v>
          </cell>
          <cell r="L1015">
            <v>3940171</v>
          </cell>
          <cell r="M1015">
            <v>4087998</v>
          </cell>
        </row>
        <row r="1016">
          <cell r="I1016">
            <v>1227480</v>
          </cell>
          <cell r="J1016">
            <v>0</v>
          </cell>
          <cell r="K1016">
            <v>0</v>
          </cell>
          <cell r="L1016">
            <v>0</v>
          </cell>
          <cell r="M1016">
            <v>0</v>
          </cell>
        </row>
        <row r="1018">
          <cell r="I1018">
            <v>800000</v>
          </cell>
          <cell r="J1018">
            <v>264000</v>
          </cell>
          <cell r="K1018">
            <v>312000</v>
          </cell>
          <cell r="L1018">
            <v>576000</v>
          </cell>
          <cell r="M1018">
            <v>576000</v>
          </cell>
        </row>
        <row r="1019">
          <cell r="I1019">
            <v>198000</v>
          </cell>
          <cell r="J1019">
            <v>138000</v>
          </cell>
          <cell r="K1019">
            <v>6000</v>
          </cell>
          <cell r="L1019">
            <v>144000</v>
          </cell>
          <cell r="M1019">
            <v>144000</v>
          </cell>
        </row>
        <row r="1020">
          <cell r="I1020">
            <v>18675</v>
          </cell>
          <cell r="J1020">
            <v>6000</v>
          </cell>
          <cell r="K1020">
            <v>13800</v>
          </cell>
          <cell r="L1020">
            <v>19800</v>
          </cell>
          <cell r="M1020">
            <v>19800</v>
          </cell>
        </row>
        <row r="1021">
          <cell r="I1021">
            <v>170000</v>
          </cell>
          <cell r="J1021">
            <v>0</v>
          </cell>
          <cell r="K1021">
            <v>120000</v>
          </cell>
          <cell r="L1021">
            <v>120000</v>
          </cell>
          <cell r="M1021">
            <v>120000</v>
          </cell>
        </row>
        <row r="1022">
          <cell r="I1022">
            <v>10000</v>
          </cell>
          <cell r="J1022">
            <v>20000</v>
          </cell>
          <cell r="K1022">
            <v>0</v>
          </cell>
          <cell r="L1022">
            <v>20000</v>
          </cell>
          <cell r="M1022">
            <v>5000</v>
          </cell>
        </row>
        <row r="1023">
          <cell r="H1023" t="str">
            <v>5-01-02-990</v>
          </cell>
          <cell r="I1023">
            <v>93000</v>
          </cell>
          <cell r="J1023">
            <v>0</v>
          </cell>
          <cell r="K1023">
            <v>0</v>
          </cell>
          <cell r="L1023">
            <v>0</v>
          </cell>
          <cell r="M1023">
            <v>0</v>
          </cell>
        </row>
        <row r="1024">
          <cell r="I1024">
            <v>0</v>
          </cell>
          <cell r="J1024">
            <v>0</v>
          </cell>
          <cell r="K1024">
            <v>0</v>
          </cell>
          <cell r="L1024">
            <v>0</v>
          </cell>
          <cell r="M1024">
            <v>0</v>
          </cell>
        </row>
        <row r="1025">
          <cell r="I1025">
            <v>8890</v>
          </cell>
          <cell r="J1025">
            <v>3556</v>
          </cell>
          <cell r="K1025">
            <v>17780</v>
          </cell>
          <cell r="L1025">
            <v>21336</v>
          </cell>
          <cell r="M1025">
            <v>21336</v>
          </cell>
        </row>
        <row r="1026">
          <cell r="I1026">
            <v>63569.86</v>
          </cell>
          <cell r="J1026">
            <v>0</v>
          </cell>
          <cell r="K1026">
            <v>100000</v>
          </cell>
          <cell r="L1026">
            <v>100000</v>
          </cell>
          <cell r="M1026">
            <v>100000</v>
          </cell>
        </row>
        <row r="1027">
          <cell r="I1027">
            <v>167500</v>
          </cell>
          <cell r="J1027">
            <v>0</v>
          </cell>
          <cell r="K1027">
            <v>120000</v>
          </cell>
          <cell r="L1027">
            <v>120000</v>
          </cell>
          <cell r="M1027">
            <v>120000</v>
          </cell>
        </row>
        <row r="1028">
          <cell r="I1028">
            <v>393101</v>
          </cell>
          <cell r="J1028">
            <v>295138</v>
          </cell>
          <cell r="K1028">
            <v>33163</v>
          </cell>
          <cell r="L1028">
            <v>328301</v>
          </cell>
          <cell r="M1028">
            <v>340620</v>
          </cell>
        </row>
        <row r="1029">
          <cell r="I1029">
            <v>410840</v>
          </cell>
          <cell r="J1029">
            <v>0</v>
          </cell>
          <cell r="K1029">
            <v>328392</v>
          </cell>
          <cell r="L1029">
            <v>328392</v>
          </cell>
          <cell r="M1029">
            <v>340713</v>
          </cell>
        </row>
        <row r="1030">
          <cell r="I1030">
            <v>575216.52</v>
          </cell>
          <cell r="J1030">
            <v>182219.88</v>
          </cell>
          <cell r="K1030">
            <v>291780.12</v>
          </cell>
          <cell r="L1030">
            <v>474000</v>
          </cell>
          <cell r="M1030">
            <v>491000</v>
          </cell>
        </row>
        <row r="1031">
          <cell r="I1031">
            <v>40000</v>
          </cell>
          <cell r="J1031">
            <v>11200</v>
          </cell>
          <cell r="K1031">
            <v>32000</v>
          </cell>
          <cell r="L1031">
            <v>43200</v>
          </cell>
          <cell r="M1031">
            <v>43200</v>
          </cell>
        </row>
        <row r="1032">
          <cell r="I1032">
            <v>70440</v>
          </cell>
          <cell r="J1032">
            <v>21900</v>
          </cell>
          <cell r="K1032">
            <v>58100</v>
          </cell>
          <cell r="L1032">
            <v>80000</v>
          </cell>
          <cell r="M1032">
            <v>92000</v>
          </cell>
        </row>
        <row r="1033">
          <cell r="I1033">
            <v>39111.32</v>
          </cell>
          <cell r="J1033">
            <v>11600</v>
          </cell>
          <cell r="K1033">
            <v>17200</v>
          </cell>
          <cell r="L1033">
            <v>28800</v>
          </cell>
          <cell r="M1033">
            <v>28800</v>
          </cell>
        </row>
        <row r="1034">
          <cell r="I1034">
            <v>0</v>
          </cell>
          <cell r="J1034">
            <v>0</v>
          </cell>
          <cell r="K1034">
            <v>0</v>
          </cell>
          <cell r="L1034">
            <v>0</v>
          </cell>
          <cell r="M1034">
            <v>77000</v>
          </cell>
        </row>
        <row r="1035">
          <cell r="I1035">
            <v>363482.89</v>
          </cell>
          <cell r="J1035">
            <v>383522.67</v>
          </cell>
          <cell r="K1035">
            <v>21477.330000000016</v>
          </cell>
          <cell r="L1035">
            <v>405000</v>
          </cell>
          <cell r="M1035">
            <v>400000</v>
          </cell>
        </row>
        <row r="1036">
          <cell r="I1036">
            <v>0</v>
          </cell>
          <cell r="J1036">
            <v>0</v>
          </cell>
          <cell r="K1036">
            <v>460000</v>
          </cell>
          <cell r="L1036">
            <v>460000</v>
          </cell>
          <cell r="M1036">
            <v>600000</v>
          </cell>
        </row>
        <row r="1037">
          <cell r="I1037">
            <v>0</v>
          </cell>
          <cell r="J1037">
            <v>0</v>
          </cell>
          <cell r="K1037">
            <v>0</v>
          </cell>
          <cell r="L1037">
            <v>0</v>
          </cell>
          <cell r="M1037">
            <v>0</v>
          </cell>
        </row>
        <row r="1040">
          <cell r="I1040">
            <v>0</v>
          </cell>
          <cell r="J1040">
            <v>8200</v>
          </cell>
          <cell r="K1040">
            <v>35800</v>
          </cell>
          <cell r="L1040">
            <v>44000</v>
          </cell>
          <cell r="M1040">
            <v>50000</v>
          </cell>
        </row>
        <row r="1041">
          <cell r="I1041">
            <v>0</v>
          </cell>
          <cell r="J1041">
            <v>0</v>
          </cell>
          <cell r="K1041">
            <v>40000</v>
          </cell>
          <cell r="L1041">
            <v>40000</v>
          </cell>
          <cell r="M1041">
            <v>40000</v>
          </cell>
        </row>
        <row r="1042">
          <cell r="I1042">
            <v>304397</v>
          </cell>
          <cell r="J1042">
            <v>64140</v>
          </cell>
          <cell r="K1042">
            <v>385860</v>
          </cell>
          <cell r="L1042">
            <v>450000</v>
          </cell>
          <cell r="M1042">
            <v>450000</v>
          </cell>
        </row>
        <row r="1043">
          <cell r="I1043">
            <v>1342987.19</v>
          </cell>
          <cell r="J1043">
            <v>0</v>
          </cell>
          <cell r="K1043">
            <v>0</v>
          </cell>
          <cell r="L1043">
            <v>0</v>
          </cell>
          <cell r="M1043">
            <v>0</v>
          </cell>
        </row>
        <row r="1044">
          <cell r="I1044">
            <v>12000</v>
          </cell>
          <cell r="J1044">
            <v>6000</v>
          </cell>
          <cell r="K1044">
            <v>30000</v>
          </cell>
          <cell r="L1044">
            <v>36000</v>
          </cell>
          <cell r="M1044">
            <v>12000</v>
          </cell>
        </row>
        <row r="1045">
          <cell r="I1045">
            <v>713825</v>
          </cell>
          <cell r="J1045">
            <v>0</v>
          </cell>
          <cell r="K1045">
            <v>0</v>
          </cell>
          <cell r="L1045">
            <v>0</v>
          </cell>
          <cell r="M1045">
            <v>0</v>
          </cell>
        </row>
        <row r="1046">
          <cell r="I1046">
            <v>447472.64000000001</v>
          </cell>
          <cell r="J1046">
            <v>0</v>
          </cell>
          <cell r="K1046">
            <v>276000</v>
          </cell>
          <cell r="L1046">
            <v>276000</v>
          </cell>
          <cell r="M1046">
            <v>276000</v>
          </cell>
        </row>
        <row r="1047">
          <cell r="I1047">
            <v>9800</v>
          </cell>
          <cell r="J1047">
            <v>0</v>
          </cell>
          <cell r="K1047">
            <v>40000</v>
          </cell>
          <cell r="L1047">
            <v>40000</v>
          </cell>
          <cell r="M1047">
            <v>40000</v>
          </cell>
        </row>
        <row r="1048">
          <cell r="I1048">
            <v>270000</v>
          </cell>
          <cell r="J1048">
            <v>259235.24</v>
          </cell>
          <cell r="K1048">
            <v>10764.760000000009</v>
          </cell>
          <cell r="L1048">
            <v>270000</v>
          </cell>
          <cell r="M1048">
            <v>270000</v>
          </cell>
        </row>
        <row r="1049">
          <cell r="I1049">
            <v>0</v>
          </cell>
          <cell r="J1049">
            <v>0</v>
          </cell>
          <cell r="K1049">
            <v>0</v>
          </cell>
          <cell r="L1049">
            <v>0</v>
          </cell>
          <cell r="M1049">
            <v>0</v>
          </cell>
        </row>
        <row r="1050">
          <cell r="I1050">
            <v>597500</v>
          </cell>
          <cell r="J1050">
            <v>0</v>
          </cell>
          <cell r="K1050">
            <v>0</v>
          </cell>
          <cell r="L1050">
            <v>0</v>
          </cell>
          <cell r="M1050">
            <v>0</v>
          </cell>
        </row>
        <row r="1053">
          <cell r="I1053">
            <v>0</v>
          </cell>
          <cell r="J1053">
            <v>0</v>
          </cell>
          <cell r="K1053">
            <v>30000</v>
          </cell>
          <cell r="L1053">
            <v>30000</v>
          </cell>
          <cell r="M1053">
            <v>0</v>
          </cell>
        </row>
        <row r="1054">
          <cell r="I1054">
            <v>0</v>
          </cell>
          <cell r="J1054">
            <v>0</v>
          </cell>
          <cell r="K1054">
            <v>0</v>
          </cell>
          <cell r="L1054">
            <v>0</v>
          </cell>
          <cell r="M1054">
            <v>100000</v>
          </cell>
        </row>
        <row r="1055">
          <cell r="I1055">
            <v>14215</v>
          </cell>
          <cell r="J1055">
            <v>0</v>
          </cell>
          <cell r="K1055">
            <v>230000</v>
          </cell>
          <cell r="L1055">
            <v>230000</v>
          </cell>
          <cell r="M1055">
            <v>0</v>
          </cell>
        </row>
        <row r="1056">
          <cell r="I1056">
            <v>86550</v>
          </cell>
          <cell r="J1056">
            <v>0</v>
          </cell>
          <cell r="K1056">
            <v>0</v>
          </cell>
          <cell r="L1056">
            <v>0</v>
          </cell>
          <cell r="M1056">
            <v>0</v>
          </cell>
        </row>
        <row r="1057">
          <cell r="I1057">
            <v>0</v>
          </cell>
          <cell r="J1057">
            <v>0</v>
          </cell>
          <cell r="K1057">
            <v>0</v>
          </cell>
          <cell r="L1057">
            <v>0</v>
          </cell>
          <cell r="M1057">
            <v>0</v>
          </cell>
        </row>
      </sheetData>
      <sheetData sheetId="2">
        <row r="44">
          <cell r="G44">
            <v>5567640.7699999996</v>
          </cell>
          <cell r="H44">
            <v>3246019.96</v>
          </cell>
          <cell r="I44">
            <v>6804631.04</v>
          </cell>
          <cell r="J44">
            <v>10050651</v>
          </cell>
          <cell r="K44">
            <v>9298050</v>
          </cell>
        </row>
        <row r="111">
          <cell r="G111">
            <v>30429766.5</v>
          </cell>
          <cell r="H111">
            <v>18187374.459999997</v>
          </cell>
          <cell r="I111">
            <v>25700846.430000003</v>
          </cell>
          <cell r="J111">
            <v>43888220.890000001</v>
          </cell>
          <cell r="K111">
            <v>37503890.200000003</v>
          </cell>
        </row>
        <row r="112">
          <cell r="G112">
            <v>7670600.4399999995</v>
          </cell>
          <cell r="H112">
            <v>697777</v>
          </cell>
          <cell r="I112">
            <v>10882913.699999999</v>
          </cell>
          <cell r="J112">
            <v>11580690.699999999</v>
          </cell>
          <cell r="K112">
            <v>10156472.550000001</v>
          </cell>
        </row>
        <row r="113">
          <cell r="G113">
            <v>21000</v>
          </cell>
          <cell r="H113">
            <v>21000</v>
          </cell>
          <cell r="I113">
            <v>0</v>
          </cell>
          <cell r="J113">
            <v>21000</v>
          </cell>
          <cell r="K113">
            <v>21000</v>
          </cell>
        </row>
        <row r="182">
          <cell r="G182">
            <v>77668964.849999994</v>
          </cell>
          <cell r="H182">
            <v>38190912.069999993</v>
          </cell>
          <cell r="I182">
            <v>69003767.530000016</v>
          </cell>
          <cell r="J182">
            <v>107194679.60000001</v>
          </cell>
          <cell r="K182">
            <v>84062151.769999996</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1"/>
      <sheetName val="LBP NO. 2"/>
      <sheetName val="LBP NO. 2 Sort"/>
      <sheetName val="LBP NO. 2a"/>
      <sheetName val="LBP NO. 3"/>
      <sheetName val="LBP NO. 3a per office"/>
      <sheetName val="LBP No. 4"/>
      <sheetName val="LBP NO. 5"/>
      <sheetName val="LBP NO. 6"/>
      <sheetName val="LBP NO. 7"/>
      <sheetName val="Summary"/>
      <sheetName val="PROPOSED BUDGET"/>
      <sheetName val="2018 Annual Budget"/>
      <sheetName val="LBP NO. 8 2018"/>
      <sheetName val="Chart"/>
      <sheetName val="Sheet1"/>
      <sheetName val="Sorting GF Exp"/>
      <sheetName val="LBP NO. 3 sorting"/>
      <sheetName val="LBP NO. 2 Sorting"/>
      <sheetName val="LBP NO. 3 SORTING_2"/>
      <sheetName val="LBP NO. 2-FINAL  SORTING"/>
      <sheetName val="LBP NO. 2 FINAL"/>
      <sheetName val="Category"/>
      <sheetName val="LBP NO. 2 FOR 8 "/>
      <sheetName val="Sheet2"/>
    </sheetNames>
    <sheetDataSet>
      <sheetData sheetId="0"/>
      <sheetData sheetId="1"/>
      <sheetData sheetId="2"/>
      <sheetData sheetId="3"/>
      <sheetData sheetId="4">
        <row r="481">
          <cell r="J481">
            <v>32549268</v>
          </cell>
          <cell r="M481">
            <v>3192793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3a per office"/>
    </sheetNames>
    <sheetDataSet>
      <sheetData sheetId="0">
        <row r="1330">
          <cell r="O133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2"/>
      <sheetName val="LBP NO. 2a"/>
      <sheetName val="Consolidated"/>
      <sheetName val="LBP No. 4"/>
      <sheetName val="Sheet2"/>
      <sheetName val="Sheet3"/>
    </sheetNames>
    <sheetDataSet>
      <sheetData sheetId="0" refreshError="1">
        <row r="34">
          <cell r="M34">
            <v>7065654</v>
          </cell>
        </row>
        <row r="1013">
          <cell r="M1013">
            <v>0</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
      <sheetName val="LBP NO. 1"/>
      <sheetName val="LBP NO. 1 (Market)"/>
      <sheetName val="LBP NO. 2"/>
      <sheetName val="LBP NO. 2a"/>
      <sheetName val="Summary"/>
      <sheetName val="Summary (2)"/>
      <sheetName val="LBP NO. 3a per office"/>
      <sheetName val="LBP No. 4"/>
      <sheetName val="LBP NO. 5"/>
      <sheetName val="LBP NO. 6"/>
      <sheetName val="LBP NO. 7"/>
      <sheetName val="PROPOSED BUDGET"/>
      <sheetName val="2022 Annual Budget"/>
    </sheetNames>
    <sheetDataSet>
      <sheetData sheetId="0"/>
      <sheetData sheetId="1"/>
      <sheetData sheetId="2"/>
      <sheetData sheetId="3">
        <row r="1017">
          <cell r="M1017">
            <v>0</v>
          </cell>
        </row>
        <row r="1019">
          <cell r="M1019">
            <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2"/>
      <sheetName val="LBP NO. 2a"/>
      <sheetName val="Consolidated"/>
      <sheetName val="LBP No. 4"/>
      <sheetName val="Sheet2"/>
      <sheetName val="Sheet3"/>
    </sheetNames>
    <sheetDataSet>
      <sheetData sheetId="0">
        <row r="18">
          <cell r="M18">
            <v>91800</v>
          </cell>
        </row>
        <row r="37">
          <cell r="M37">
            <v>450000</v>
          </cell>
        </row>
        <row r="88">
          <cell r="M88">
            <v>928200</v>
          </cell>
        </row>
        <row r="89">
          <cell r="M89">
            <v>928200</v>
          </cell>
        </row>
        <row r="106">
          <cell r="M106">
            <v>1346000</v>
          </cell>
        </row>
        <row r="107">
          <cell r="M107">
            <v>964000</v>
          </cell>
        </row>
        <row r="109">
          <cell r="M109">
            <v>750000</v>
          </cell>
        </row>
        <row r="110">
          <cell r="M110">
            <v>10000</v>
          </cell>
        </row>
        <row r="114">
          <cell r="M114">
            <v>250000</v>
          </cell>
        </row>
        <row r="115">
          <cell r="M115">
            <v>300000</v>
          </cell>
        </row>
        <row r="116">
          <cell r="M116">
            <v>300000</v>
          </cell>
        </row>
        <row r="157">
          <cell r="M157">
            <v>76500</v>
          </cell>
        </row>
        <row r="176">
          <cell r="M176">
            <v>36000</v>
          </cell>
        </row>
        <row r="178">
          <cell r="M178">
            <v>30000</v>
          </cell>
        </row>
        <row r="222">
          <cell r="M222">
            <v>72000</v>
          </cell>
        </row>
        <row r="223">
          <cell r="M223">
            <v>76500</v>
          </cell>
        </row>
        <row r="224">
          <cell r="M224">
            <v>76500</v>
          </cell>
        </row>
        <row r="225">
          <cell r="M225">
            <v>18000</v>
          </cell>
        </row>
        <row r="226">
          <cell r="M226">
            <v>15000</v>
          </cell>
        </row>
        <row r="229">
          <cell r="M229">
            <v>15000</v>
          </cell>
        </row>
        <row r="233">
          <cell r="M233">
            <v>5400</v>
          </cell>
        </row>
        <row r="240">
          <cell r="M240">
            <v>43000</v>
          </cell>
        </row>
        <row r="241">
          <cell r="M241">
            <v>35000</v>
          </cell>
        </row>
        <row r="243">
          <cell r="M243">
            <v>250</v>
          </cell>
        </row>
        <row r="244">
          <cell r="M244">
            <v>36000</v>
          </cell>
        </row>
        <row r="245">
          <cell r="M245">
            <v>14000</v>
          </cell>
        </row>
        <row r="246">
          <cell r="M246">
            <v>6000</v>
          </cell>
        </row>
        <row r="292">
          <cell r="M292">
            <v>72000</v>
          </cell>
        </row>
        <row r="293">
          <cell r="M293">
            <v>76500</v>
          </cell>
        </row>
        <row r="294">
          <cell r="M294">
            <v>76500</v>
          </cell>
        </row>
        <row r="295">
          <cell r="M295">
            <v>18000</v>
          </cell>
        </row>
        <row r="296">
          <cell r="M296">
            <v>15000</v>
          </cell>
        </row>
        <row r="300">
          <cell r="M300">
            <v>15000</v>
          </cell>
        </row>
        <row r="304">
          <cell r="M304">
            <v>5400</v>
          </cell>
        </row>
        <row r="312">
          <cell r="M312">
            <v>100000</v>
          </cell>
        </row>
        <row r="313">
          <cell r="M313">
            <v>70000</v>
          </cell>
        </row>
        <row r="315">
          <cell r="M315">
            <v>10000</v>
          </cell>
        </row>
        <row r="362">
          <cell r="M362">
            <v>76500</v>
          </cell>
        </row>
        <row r="363">
          <cell r="M363">
            <v>76500</v>
          </cell>
        </row>
        <row r="383">
          <cell r="M383">
            <v>35000</v>
          </cell>
        </row>
        <row r="430">
          <cell r="M430">
            <v>76500</v>
          </cell>
        </row>
        <row r="431">
          <cell r="M431">
            <v>76500</v>
          </cell>
        </row>
        <row r="451">
          <cell r="M451">
            <v>200000</v>
          </cell>
        </row>
        <row r="452">
          <cell r="M452">
            <v>5000</v>
          </cell>
        </row>
        <row r="453">
          <cell r="M453">
            <v>36000</v>
          </cell>
        </row>
        <row r="454">
          <cell r="M454">
            <v>50000</v>
          </cell>
        </row>
        <row r="456">
          <cell r="M456">
            <v>25000</v>
          </cell>
        </row>
        <row r="497">
          <cell r="M497">
            <v>144000</v>
          </cell>
        </row>
        <row r="498">
          <cell r="M498">
            <v>76500</v>
          </cell>
        </row>
        <row r="499">
          <cell r="M499">
            <v>76500</v>
          </cell>
        </row>
        <row r="500">
          <cell r="M500">
            <v>36000</v>
          </cell>
        </row>
        <row r="501">
          <cell r="M501">
            <v>30000</v>
          </cell>
        </row>
        <row r="504">
          <cell r="M504">
            <v>30000</v>
          </cell>
        </row>
        <row r="516">
          <cell r="M516">
            <v>100000</v>
          </cell>
        </row>
        <row r="518">
          <cell r="M518">
            <v>500</v>
          </cell>
        </row>
        <row r="519">
          <cell r="M519">
            <v>36000</v>
          </cell>
        </row>
        <row r="520">
          <cell r="M520">
            <v>25000</v>
          </cell>
        </row>
        <row r="521">
          <cell r="M521">
            <v>22000</v>
          </cell>
        </row>
        <row r="567">
          <cell r="M567">
            <v>76500</v>
          </cell>
        </row>
        <row r="568">
          <cell r="M568">
            <v>76500</v>
          </cell>
        </row>
        <row r="585">
          <cell r="M585">
            <v>40000</v>
          </cell>
        </row>
        <row r="586">
          <cell r="M586">
            <v>80000</v>
          </cell>
        </row>
        <row r="588">
          <cell r="M588">
            <v>36000</v>
          </cell>
        </row>
        <row r="589">
          <cell r="M589">
            <v>30000</v>
          </cell>
        </row>
        <row r="590">
          <cell r="M590">
            <v>10000</v>
          </cell>
        </row>
        <row r="635">
          <cell r="M635">
            <v>76500</v>
          </cell>
        </row>
        <row r="636">
          <cell r="M636">
            <v>76500</v>
          </cell>
        </row>
        <row r="654">
          <cell r="M654">
            <v>108000</v>
          </cell>
        </row>
        <row r="655">
          <cell r="M655">
            <v>120000</v>
          </cell>
        </row>
        <row r="657">
          <cell r="M657">
            <v>1200</v>
          </cell>
        </row>
        <row r="658">
          <cell r="M658">
            <v>36000</v>
          </cell>
        </row>
        <row r="660">
          <cell r="M660">
            <v>1837840</v>
          </cell>
        </row>
        <row r="661">
          <cell r="M661">
            <v>150000</v>
          </cell>
        </row>
        <row r="703">
          <cell r="M703">
            <v>216000</v>
          </cell>
        </row>
        <row r="704">
          <cell r="M704">
            <v>76500</v>
          </cell>
        </row>
        <row r="705">
          <cell r="M705">
            <v>76500</v>
          </cell>
        </row>
        <row r="706">
          <cell r="M706">
            <v>54000</v>
          </cell>
        </row>
        <row r="707">
          <cell r="M707">
            <v>45000</v>
          </cell>
        </row>
        <row r="710">
          <cell r="M710">
            <v>45000</v>
          </cell>
        </row>
        <row r="724">
          <cell r="M724">
            <v>1000</v>
          </cell>
        </row>
        <row r="725">
          <cell r="M725">
            <v>36000</v>
          </cell>
        </row>
        <row r="726">
          <cell r="M726">
            <v>20000</v>
          </cell>
        </row>
        <row r="727">
          <cell r="M727">
            <v>847932.2</v>
          </cell>
        </row>
        <row r="728">
          <cell r="M728">
            <v>10000</v>
          </cell>
        </row>
        <row r="772">
          <cell r="M772">
            <v>76500</v>
          </cell>
        </row>
        <row r="773">
          <cell r="M773">
            <v>76500</v>
          </cell>
        </row>
        <row r="789">
          <cell r="M789">
            <v>25000</v>
          </cell>
        </row>
        <row r="797">
          <cell r="M797">
            <v>36000</v>
          </cell>
        </row>
        <row r="839">
          <cell r="M839">
            <v>144000</v>
          </cell>
        </row>
        <row r="840">
          <cell r="M840">
            <v>36000</v>
          </cell>
        </row>
        <row r="841">
          <cell r="M841">
            <v>118800</v>
          </cell>
        </row>
        <row r="842">
          <cell r="M842">
            <v>30000</v>
          </cell>
        </row>
        <row r="844">
          <cell r="M844">
            <v>173241</v>
          </cell>
        </row>
        <row r="845">
          <cell r="M845">
            <v>30000</v>
          </cell>
        </row>
        <row r="905">
          <cell r="M905">
            <v>48000</v>
          </cell>
        </row>
        <row r="906">
          <cell r="M906">
            <v>12000</v>
          </cell>
        </row>
        <row r="907">
          <cell r="M907">
            <v>10000</v>
          </cell>
        </row>
        <row r="908">
          <cell r="M908">
            <v>10000</v>
          </cell>
        </row>
        <row r="913">
          <cell r="M913">
            <v>3600</v>
          </cell>
        </row>
        <row r="915">
          <cell r="M915">
            <v>2400</v>
          </cell>
        </row>
        <row r="920">
          <cell r="M920">
            <v>88000</v>
          </cell>
        </row>
        <row r="921">
          <cell r="M921">
            <v>100000</v>
          </cell>
        </row>
        <row r="923">
          <cell r="M923">
            <v>36000</v>
          </cell>
        </row>
        <row r="924">
          <cell r="M924">
            <v>20000</v>
          </cell>
        </row>
        <row r="925">
          <cell r="M925">
            <v>15000</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1"/>
      <sheetName val="LBP NO. 2"/>
      <sheetName val="LBP NO. 2 Sort"/>
      <sheetName val="LBP NO. 2a"/>
      <sheetName val="LBP NO. 3"/>
      <sheetName val="LBP NO. 3a per office"/>
      <sheetName val="LBP No. 4"/>
      <sheetName val="LBP NO. 5"/>
      <sheetName val="LBP NO. 6"/>
      <sheetName val="LBP NO. 7"/>
      <sheetName val="Summary"/>
      <sheetName val="PROPOSED BUDGET"/>
      <sheetName val="2018 Annual Budget"/>
      <sheetName val="LBP NO. 8 2018"/>
      <sheetName val="Chart"/>
      <sheetName val="Sheet1"/>
      <sheetName val="Sorting GF Exp"/>
      <sheetName val="LBP NO. 3 sorting"/>
      <sheetName val="LBP NO. 2 Sorting"/>
      <sheetName val="LBP NO. 3 SORTING_2"/>
      <sheetName val="LBP NO. 2-FINAL  SORTING"/>
      <sheetName val="LBP NO. 2 FINAL"/>
      <sheetName val="Category"/>
      <sheetName val="LBP NO. 2 FOR 8 "/>
      <sheetName val="Sheet2"/>
    </sheetNames>
    <sheetDataSet>
      <sheetData sheetId="0" refreshError="1"/>
      <sheetData sheetId="1">
        <row r="14">
          <cell r="M14">
            <v>2896836</v>
          </cell>
        </row>
        <row r="111">
          <cell r="M111">
            <v>0</v>
          </cell>
        </row>
        <row r="162">
          <cell r="M162">
            <v>0</v>
          </cell>
        </row>
        <row r="163">
          <cell r="M163">
            <v>0</v>
          </cell>
        </row>
        <row r="228">
          <cell r="M228">
            <v>0</v>
          </cell>
        </row>
        <row r="295">
          <cell r="M295">
            <v>0</v>
          </cell>
        </row>
        <row r="369">
          <cell r="M369">
            <v>0</v>
          </cell>
        </row>
        <row r="427">
          <cell r="M427">
            <v>0</v>
          </cell>
        </row>
        <row r="428">
          <cell r="M428">
            <v>0</v>
          </cell>
        </row>
        <row r="492">
          <cell r="M492">
            <v>0</v>
          </cell>
        </row>
        <row r="558">
          <cell r="M558">
            <v>0</v>
          </cell>
        </row>
        <row r="626">
          <cell r="M626">
            <v>0</v>
          </cell>
        </row>
        <row r="691">
          <cell r="M691">
            <v>0</v>
          </cell>
        </row>
        <row r="758">
          <cell r="M758">
            <v>0</v>
          </cell>
        </row>
        <row r="823">
          <cell r="M823">
            <v>0</v>
          </cell>
        </row>
      </sheetData>
      <sheetData sheetId="2" refreshError="1"/>
      <sheetData sheetId="3">
        <row r="35">
          <cell r="K35">
            <v>5419800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BP NO. 1"/>
      <sheetName val="LBP NO. 2"/>
      <sheetName val="LBP NO. 2a"/>
      <sheetName val="LBP NO. 3"/>
      <sheetName val="LBP No. 4"/>
      <sheetName val="LBP NO. 5"/>
      <sheetName val="LBP NO. 6"/>
      <sheetName val="LBP NO. 7"/>
      <sheetName val="PROPOSED BUDGET"/>
      <sheetName val="2017 Annual Budget"/>
      <sheetName val="LBP NO. 8 2017"/>
      <sheetName val="Chart"/>
      <sheetName val="Sheet1"/>
      <sheetName val="Sorting GF Exp"/>
      <sheetName val="LBP NO. 3 sorting"/>
      <sheetName val="LBP NO. 2 Sorting"/>
      <sheetName val="LBP NO. 3 SORTING_2"/>
      <sheetName val="LBP NO. 2-FINAL  SORTING"/>
      <sheetName val="LBP NO. 2 FINAL"/>
      <sheetName val="Category"/>
      <sheetName val="LBP NO. 2 FOR 8 "/>
      <sheetName val="Sheet2"/>
    </sheetNames>
    <sheetDataSet>
      <sheetData sheetId="0"/>
      <sheetData sheetId="1">
        <row r="14">
          <cell r="M14">
            <v>2473000</v>
          </cell>
        </row>
        <row r="322">
          <cell r="M322">
            <v>0</v>
          </cell>
        </row>
      </sheetData>
      <sheetData sheetId="2">
        <row r="34">
          <cell r="K34">
            <v>4905800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3"/>
  <sheetViews>
    <sheetView topLeftCell="A58" workbookViewId="0">
      <selection activeCell="A68" sqref="A68:N68"/>
    </sheetView>
  </sheetViews>
  <sheetFormatPr defaultRowHeight="15"/>
  <cols>
    <col min="1" max="1" width="2.7109375" style="146" customWidth="1"/>
    <col min="2" max="2" width="2.140625" style="146" customWidth="1"/>
    <col min="3" max="5" width="1.7109375" style="146" customWidth="1"/>
    <col min="6" max="6" width="41.7109375" style="146" customWidth="1"/>
    <col min="7" max="7" width="6.5703125" style="1251" hidden="1" customWidth="1"/>
    <col min="8" max="8" width="12.28515625" style="146" customWidth="1"/>
    <col min="9" max="9" width="14.7109375" style="146" customWidth="1"/>
    <col min="10" max="10" width="13.7109375" style="146" hidden="1" customWidth="1"/>
    <col min="11" max="11" width="14.7109375" style="1252" hidden="1" customWidth="1"/>
    <col min="12" max="13" width="15.85546875" style="1252" customWidth="1"/>
    <col min="14" max="14" width="9.5703125" style="146" customWidth="1"/>
    <col min="15" max="15" width="2.7109375" style="146" customWidth="1"/>
    <col min="16" max="16" width="9.140625" style="146"/>
    <col min="17" max="17" width="9.140625" style="146" customWidth="1"/>
    <col min="18" max="16384" width="9.140625" style="146"/>
  </cols>
  <sheetData>
    <row r="2" spans="1:15" ht="18">
      <c r="A2" s="1442" t="s">
        <v>861</v>
      </c>
      <c r="B2" s="1442"/>
      <c r="C2" s="1442"/>
      <c r="D2" s="1442"/>
      <c r="E2" s="1442"/>
      <c r="F2" s="1442"/>
      <c r="G2" s="1442"/>
      <c r="H2" s="1442"/>
      <c r="I2" s="1442"/>
      <c r="J2" s="1442"/>
      <c r="K2" s="1442"/>
      <c r="L2" s="1442"/>
      <c r="M2" s="1442"/>
      <c r="N2" s="1442"/>
    </row>
    <row r="3" spans="1:15" ht="18">
      <c r="A3" s="1442" t="s">
        <v>174</v>
      </c>
      <c r="B3" s="1442"/>
      <c r="C3" s="1442"/>
      <c r="D3" s="1442"/>
      <c r="E3" s="1442"/>
      <c r="F3" s="1442"/>
      <c r="G3" s="1442"/>
      <c r="H3" s="1442"/>
      <c r="I3" s="1442"/>
      <c r="J3" s="1442"/>
      <c r="K3" s="1442"/>
      <c r="L3" s="1442"/>
      <c r="M3" s="1442"/>
      <c r="N3" s="1442"/>
    </row>
    <row r="4" spans="1:15" ht="18">
      <c r="A4" s="1442" t="s">
        <v>1780</v>
      </c>
      <c r="B4" s="1442"/>
      <c r="C4" s="1442"/>
      <c r="D4" s="1442"/>
      <c r="E4" s="1442"/>
      <c r="F4" s="1442"/>
      <c r="G4" s="1442"/>
      <c r="H4" s="1442"/>
      <c r="I4" s="1442"/>
      <c r="J4" s="1442"/>
      <c r="K4" s="1442"/>
      <c r="L4" s="1442"/>
      <c r="M4" s="1442"/>
      <c r="N4" s="1442"/>
    </row>
    <row r="5" spans="1:15" ht="18">
      <c r="A5" s="1442"/>
      <c r="B5" s="1442"/>
      <c r="C5" s="1442"/>
      <c r="D5" s="1442"/>
      <c r="E5" s="1442"/>
      <c r="F5" s="1442"/>
      <c r="G5" s="1442"/>
      <c r="H5" s="1442"/>
      <c r="I5" s="1442"/>
      <c r="J5" s="1442"/>
      <c r="K5" s="1442"/>
      <c r="L5" s="1442"/>
      <c r="M5" s="1442"/>
      <c r="N5" s="1442"/>
    </row>
    <row r="6" spans="1:15" ht="18">
      <c r="A6" s="1220"/>
      <c r="B6" s="1220"/>
      <c r="C6" s="1220"/>
      <c r="D6" s="1220"/>
      <c r="E6" s="1220"/>
      <c r="F6" s="1220"/>
      <c r="G6" s="1221"/>
      <c r="H6" s="1220"/>
      <c r="I6" s="1220"/>
      <c r="J6" s="1220"/>
      <c r="K6" s="1222"/>
      <c r="L6" s="1222"/>
      <c r="M6" s="1222"/>
      <c r="N6" s="1220"/>
    </row>
    <row r="7" spans="1:15" ht="18">
      <c r="A7" s="1220"/>
      <c r="B7" s="1220"/>
      <c r="C7" s="1220"/>
      <c r="D7" s="1220"/>
      <c r="E7" s="1220"/>
      <c r="F7" s="1220"/>
      <c r="G7" s="1221"/>
      <c r="H7" s="1220"/>
      <c r="I7" s="1220"/>
      <c r="J7" s="1220"/>
      <c r="K7" s="1222"/>
      <c r="L7" s="1222"/>
      <c r="M7" s="1222"/>
      <c r="N7" s="1220"/>
    </row>
    <row r="8" spans="1:15" ht="20.25">
      <c r="A8" s="1443" t="s">
        <v>1781</v>
      </c>
      <c r="B8" s="1443"/>
      <c r="C8" s="1443"/>
      <c r="D8" s="1443"/>
      <c r="E8" s="1443"/>
      <c r="F8" s="1443"/>
      <c r="G8" s="1443"/>
      <c r="H8" s="1443"/>
      <c r="I8" s="1443"/>
      <c r="J8" s="1443"/>
      <c r="K8" s="1443"/>
      <c r="L8" s="1443"/>
      <c r="M8" s="1443"/>
      <c r="N8" s="1443"/>
    </row>
    <row r="9" spans="1:15">
      <c r="A9" s="1444" t="s">
        <v>1915</v>
      </c>
      <c r="B9" s="1444"/>
      <c r="C9" s="1444"/>
      <c r="D9" s="1444"/>
      <c r="E9" s="1444"/>
      <c r="F9" s="1444"/>
      <c r="G9" s="1444"/>
      <c r="H9" s="1444"/>
      <c r="I9" s="1444"/>
      <c r="J9" s="1444"/>
      <c r="K9" s="1444"/>
      <c r="L9" s="1444"/>
      <c r="M9" s="1444"/>
      <c r="N9" s="1444"/>
      <c r="O9" s="1260"/>
    </row>
    <row r="10" spans="1:15" ht="23.1" customHeight="1">
      <c r="A10" s="1439" t="s">
        <v>1910</v>
      </c>
      <c r="B10" s="1439"/>
      <c r="C10" s="1439"/>
      <c r="D10" s="1439"/>
      <c r="E10" s="1439"/>
      <c r="F10" s="1439"/>
      <c r="G10" s="1439"/>
      <c r="H10" s="1439"/>
      <c r="I10" s="1439"/>
      <c r="J10" s="1439"/>
      <c r="K10" s="1439"/>
      <c r="L10" s="1439"/>
      <c r="M10" s="1439"/>
      <c r="N10" s="1439"/>
    </row>
    <row r="11" spans="1:15" ht="23.1" customHeight="1">
      <c r="A11" s="1439"/>
      <c r="B11" s="1439"/>
      <c r="C11" s="1439"/>
      <c r="D11" s="1439"/>
      <c r="E11" s="1439"/>
      <c r="F11" s="1439"/>
      <c r="G11" s="1439"/>
      <c r="H11" s="1439"/>
      <c r="I11" s="1439"/>
      <c r="J11" s="1439"/>
      <c r="K11" s="1439"/>
      <c r="L11" s="1439"/>
      <c r="M11" s="1439"/>
      <c r="N11" s="1439"/>
    </row>
    <row r="12" spans="1:15" ht="23.1" customHeight="1">
      <c r="A12" s="1439"/>
      <c r="B12" s="1439"/>
      <c r="C12" s="1439"/>
      <c r="D12" s="1439"/>
      <c r="E12" s="1439"/>
      <c r="F12" s="1439"/>
      <c r="G12" s="1439"/>
      <c r="H12" s="1439"/>
      <c r="I12" s="1439"/>
      <c r="J12" s="1439"/>
      <c r="K12" s="1439"/>
      <c r="L12" s="1439"/>
      <c r="M12" s="1439"/>
      <c r="N12" s="1439"/>
    </row>
    <row r="13" spans="1:15" ht="23.1" customHeight="1">
      <c r="A13" s="1439"/>
      <c r="B13" s="1439"/>
      <c r="C13" s="1439"/>
      <c r="D13" s="1439"/>
      <c r="E13" s="1439"/>
      <c r="F13" s="1439"/>
      <c r="G13" s="1439"/>
      <c r="H13" s="1439"/>
      <c r="I13" s="1439"/>
      <c r="J13" s="1439"/>
      <c r="K13" s="1439"/>
      <c r="L13" s="1439"/>
      <c r="M13" s="1439"/>
      <c r="N13" s="1439"/>
    </row>
    <row r="14" spans="1:15">
      <c r="A14" s="1223"/>
      <c r="B14" s="1223"/>
      <c r="C14" s="1223"/>
      <c r="D14" s="1223"/>
      <c r="E14" s="1223"/>
      <c r="F14" s="1223"/>
      <c r="G14" s="1223"/>
      <c r="H14" s="1223"/>
      <c r="I14" s="1223"/>
      <c r="J14" s="1223"/>
      <c r="K14" s="1223"/>
      <c r="L14" s="1223"/>
      <c r="M14" s="1223"/>
      <c r="N14" s="1223"/>
    </row>
    <row r="16" spans="1:15" ht="18">
      <c r="A16" s="1220" t="s">
        <v>1783</v>
      </c>
      <c r="B16" s="1220"/>
      <c r="C16" s="1220"/>
      <c r="D16" s="1220"/>
      <c r="E16" s="1220"/>
      <c r="F16" s="1220"/>
      <c r="G16" s="1221"/>
      <c r="H16" s="1220"/>
      <c r="I16" s="1220"/>
      <c r="J16" s="1220"/>
      <c r="K16" s="1222"/>
      <c r="L16" s="1222"/>
      <c r="M16" s="1222"/>
      <c r="N16" s="1220"/>
    </row>
    <row r="17" spans="1:14" ht="18">
      <c r="A17" s="1220"/>
      <c r="B17" s="1220"/>
      <c r="C17" s="1220"/>
      <c r="D17" s="1220"/>
      <c r="E17" s="1220"/>
      <c r="F17" s="1224" t="s">
        <v>1784</v>
      </c>
      <c r="G17" s="1221"/>
      <c r="H17" s="1220"/>
      <c r="I17" s="1220" t="s">
        <v>22</v>
      </c>
      <c r="J17" s="1220"/>
      <c r="K17" s="1222"/>
      <c r="L17" s="1220"/>
      <c r="M17" s="1220"/>
      <c r="N17" s="1220"/>
    </row>
    <row r="18" spans="1:14" ht="18">
      <c r="A18" s="1220"/>
      <c r="B18" s="1220"/>
      <c r="C18" s="1220"/>
      <c r="D18" s="1220"/>
      <c r="E18" s="1220"/>
      <c r="F18" s="1224"/>
      <c r="G18" s="1221"/>
      <c r="H18" s="1220"/>
      <c r="I18" s="1220" t="s">
        <v>1785</v>
      </c>
      <c r="J18" s="1225"/>
      <c r="K18" s="1225"/>
      <c r="L18" s="1225"/>
      <c r="M18" s="1225"/>
      <c r="N18" s="1225"/>
    </row>
    <row r="19" spans="1:14" ht="18">
      <c r="A19" s="1220"/>
      <c r="B19" s="1220"/>
      <c r="C19" s="1220"/>
      <c r="D19" s="1220"/>
      <c r="E19" s="1220"/>
      <c r="F19" s="1224" t="s">
        <v>1786</v>
      </c>
      <c r="G19" s="1221"/>
      <c r="H19" s="1220"/>
      <c r="I19" s="1220" t="s">
        <v>1797</v>
      </c>
      <c r="J19" s="1220"/>
      <c r="K19" s="1222"/>
      <c r="L19" s="1220"/>
      <c r="M19" s="1220"/>
      <c r="N19" s="1220"/>
    </row>
    <row r="20" spans="1:14" ht="18">
      <c r="A20" s="1220"/>
      <c r="B20" s="1220"/>
      <c r="C20" s="1220"/>
      <c r="D20" s="1220"/>
      <c r="E20" s="1220"/>
      <c r="F20" s="1224" t="s">
        <v>1800</v>
      </c>
      <c r="G20" s="1221"/>
      <c r="H20" s="1220"/>
      <c r="I20" s="1220" t="s">
        <v>1797</v>
      </c>
      <c r="J20" s="1220" t="s">
        <v>1797</v>
      </c>
      <c r="K20" s="1220" t="s">
        <v>1797</v>
      </c>
      <c r="L20" s="1220"/>
      <c r="M20" s="1220"/>
      <c r="N20" s="1225"/>
    </row>
    <row r="21" spans="1:14" ht="18">
      <c r="A21" s="1220"/>
      <c r="B21" s="1220"/>
      <c r="C21" s="1220"/>
      <c r="D21" s="1220"/>
      <c r="E21" s="1220"/>
      <c r="F21" s="1224" t="s">
        <v>1918</v>
      </c>
      <c r="G21" s="1221"/>
      <c r="H21" s="1220"/>
      <c r="I21" s="1220" t="s">
        <v>1797</v>
      </c>
      <c r="J21" s="1220" t="s">
        <v>1797</v>
      </c>
      <c r="K21" s="1220" t="s">
        <v>1797</v>
      </c>
      <c r="L21" s="1220"/>
      <c r="M21" s="1220"/>
      <c r="N21" s="1225"/>
    </row>
    <row r="22" spans="1:14" ht="18">
      <c r="A22" s="1220"/>
      <c r="B22" s="1220"/>
      <c r="C22" s="1220"/>
      <c r="D22" s="1220"/>
      <c r="E22" s="1220"/>
      <c r="F22" s="1224" t="s">
        <v>1801</v>
      </c>
      <c r="G22" s="1221"/>
      <c r="H22" s="1220"/>
      <c r="I22" s="1220" t="s">
        <v>1797</v>
      </c>
      <c r="J22" s="1220" t="s">
        <v>1797</v>
      </c>
      <c r="K22" s="1220" t="s">
        <v>1797</v>
      </c>
      <c r="L22" s="1220"/>
      <c r="M22" s="1220"/>
      <c r="N22" s="1225"/>
    </row>
    <row r="23" spans="1:14" ht="18">
      <c r="A23" s="1220"/>
      <c r="B23" s="1220"/>
      <c r="C23" s="1220"/>
      <c r="D23" s="1220"/>
      <c r="E23" s="1220"/>
      <c r="F23" s="1224" t="s">
        <v>1802</v>
      </c>
      <c r="G23" s="1221"/>
      <c r="H23" s="1220"/>
      <c r="I23" s="1220" t="s">
        <v>1797</v>
      </c>
      <c r="J23" s="1220" t="s">
        <v>1797</v>
      </c>
      <c r="K23" s="1220" t="s">
        <v>1797</v>
      </c>
      <c r="L23" s="1220"/>
      <c r="M23" s="1220"/>
      <c r="N23" s="1225"/>
    </row>
    <row r="24" spans="1:14" ht="18">
      <c r="A24" s="1220"/>
      <c r="B24" s="1220"/>
      <c r="C24" s="1220"/>
      <c r="D24" s="1220"/>
      <c r="E24" s="1220"/>
      <c r="F24" s="1224" t="s">
        <v>1803</v>
      </c>
      <c r="G24" s="1221"/>
      <c r="H24" s="1220"/>
      <c r="I24" s="1220" t="s">
        <v>1797</v>
      </c>
      <c r="J24" s="1220" t="s">
        <v>1797</v>
      </c>
      <c r="K24" s="1220" t="s">
        <v>1797</v>
      </c>
      <c r="L24" s="1220"/>
      <c r="M24" s="1220"/>
      <c r="N24" s="1225"/>
    </row>
    <row r="25" spans="1:14" ht="18">
      <c r="A25" s="1220"/>
      <c r="B25" s="1220"/>
      <c r="C25" s="1220"/>
      <c r="D25" s="1220"/>
      <c r="E25" s="1220"/>
      <c r="F25" s="1224" t="s">
        <v>1804</v>
      </c>
      <c r="G25" s="1221"/>
      <c r="H25" s="1220"/>
      <c r="I25" s="1220" t="s">
        <v>1797</v>
      </c>
      <c r="J25" s="1220" t="s">
        <v>1797</v>
      </c>
      <c r="K25" s="1220" t="s">
        <v>1797</v>
      </c>
      <c r="L25" s="1220"/>
      <c r="M25" s="1220"/>
      <c r="N25" s="1220"/>
    </row>
    <row r="26" spans="1:14" ht="18">
      <c r="A26" s="1220"/>
      <c r="B26" s="1220"/>
      <c r="C26" s="1220"/>
      <c r="D26" s="1220"/>
      <c r="E26" s="1220"/>
      <c r="F26" s="1224" t="s">
        <v>1787</v>
      </c>
      <c r="G26" s="1221"/>
      <c r="H26" s="1220"/>
      <c r="I26" s="1220" t="s">
        <v>1797</v>
      </c>
      <c r="J26" s="1220" t="s">
        <v>1797</v>
      </c>
      <c r="K26" s="1220" t="s">
        <v>1797</v>
      </c>
      <c r="L26" s="1220"/>
      <c r="M26" s="1220"/>
      <c r="N26" s="1220"/>
    </row>
    <row r="27" spans="1:14" ht="18">
      <c r="A27" s="1220"/>
      <c r="B27" s="1220"/>
      <c r="C27" s="1220"/>
      <c r="D27" s="1220"/>
      <c r="E27" s="1220"/>
      <c r="F27" s="1224" t="s">
        <v>1788</v>
      </c>
      <c r="G27" s="1221"/>
      <c r="H27" s="1220"/>
      <c r="I27" s="1220" t="s">
        <v>1798</v>
      </c>
      <c r="J27" s="1220"/>
      <c r="K27" s="1222"/>
      <c r="L27" s="1225"/>
      <c r="M27" s="1225"/>
      <c r="N27" s="1220"/>
    </row>
    <row r="28" spans="1:14" ht="18">
      <c r="A28" s="1220"/>
      <c r="B28" s="1220"/>
      <c r="C28" s="1220"/>
      <c r="D28" s="1220"/>
      <c r="E28" s="1220"/>
      <c r="F28" s="1224" t="s">
        <v>1789</v>
      </c>
      <c r="G28" s="1221"/>
      <c r="H28" s="1220"/>
      <c r="I28" s="1220" t="s">
        <v>1799</v>
      </c>
      <c r="J28" s="1220"/>
      <c r="K28" s="1222"/>
      <c r="L28" s="1225"/>
      <c r="M28" s="1225"/>
      <c r="N28" s="1220"/>
    </row>
    <row r="29" spans="1:14" ht="18">
      <c r="A29" s="1220"/>
      <c r="B29" s="1220"/>
      <c r="C29" s="1220"/>
      <c r="D29" s="1220"/>
      <c r="E29" s="1220"/>
      <c r="F29" s="1224"/>
      <c r="G29" s="1221"/>
      <c r="H29" s="1220"/>
      <c r="I29" s="1225"/>
      <c r="J29" s="1220"/>
      <c r="K29" s="1222"/>
      <c r="L29" s="1225"/>
      <c r="M29" s="1225"/>
      <c r="N29" s="1220"/>
    </row>
    <row r="30" spans="1:14" ht="18">
      <c r="A30" s="1220" t="s">
        <v>1805</v>
      </c>
      <c r="B30" s="1220"/>
      <c r="C30" s="1220"/>
      <c r="D30" s="1220"/>
      <c r="E30" s="1220"/>
      <c r="F30" s="1224"/>
      <c r="G30" s="1221"/>
      <c r="H30" s="1220"/>
      <c r="I30" s="1225"/>
      <c r="J30" s="1225"/>
      <c r="K30" s="1225"/>
      <c r="L30" s="1225"/>
      <c r="M30" s="1225"/>
      <c r="N30" s="1220"/>
    </row>
    <row r="31" spans="1:14" ht="18">
      <c r="A31" s="1220"/>
      <c r="B31" s="1220"/>
      <c r="C31" s="1220"/>
      <c r="D31" s="1220"/>
      <c r="E31" s="1220"/>
      <c r="F31" s="1224" t="s">
        <v>1806</v>
      </c>
      <c r="G31" s="1221"/>
      <c r="H31" s="1220"/>
      <c r="I31" s="1220" t="s">
        <v>1797</v>
      </c>
      <c r="J31" s="1220"/>
      <c r="K31" s="1222"/>
      <c r="L31" s="1225"/>
      <c r="M31" s="1225"/>
      <c r="N31" s="1220"/>
    </row>
    <row r="32" spans="1:14" ht="18">
      <c r="A32" s="1220"/>
      <c r="B32" s="1220"/>
      <c r="C32" s="1220"/>
      <c r="D32" s="1220"/>
      <c r="E32" s="1220"/>
      <c r="F32" s="1224"/>
      <c r="G32" s="1221"/>
      <c r="H32" s="1220"/>
      <c r="I32" s="1224" t="s">
        <v>1919</v>
      </c>
      <c r="J32" s="1220"/>
      <c r="K32" s="1222"/>
      <c r="L32" s="1222"/>
      <c r="M32" s="1222"/>
      <c r="N32" s="1220"/>
    </row>
    <row r="33" spans="1:14" ht="18">
      <c r="A33" s="1220"/>
      <c r="B33" s="1220"/>
      <c r="C33" s="1220"/>
      <c r="D33" s="1220"/>
      <c r="E33" s="1220"/>
      <c r="F33" s="1224"/>
      <c r="G33" s="1221"/>
      <c r="H33" s="1220"/>
      <c r="I33" s="1220"/>
      <c r="J33" s="1220"/>
      <c r="K33" s="1222"/>
      <c r="L33" s="1222"/>
      <c r="M33" s="1222"/>
      <c r="N33" s="1220"/>
    </row>
    <row r="34" spans="1:14" ht="15.75" customHeight="1">
      <c r="A34" s="1437" t="s">
        <v>1790</v>
      </c>
      <c r="B34" s="1437"/>
      <c r="C34" s="1437"/>
      <c r="D34" s="1437"/>
      <c r="E34" s="1437"/>
      <c r="F34" s="1437"/>
      <c r="G34" s="1437"/>
      <c r="H34" s="1437"/>
      <c r="I34" s="1437"/>
      <c r="J34" s="1437"/>
      <c r="K34" s="1437"/>
      <c r="L34" s="1437"/>
      <c r="M34" s="1437"/>
      <c r="N34" s="1437"/>
    </row>
    <row r="35" spans="1:14" ht="15.75" customHeight="1">
      <c r="A35" s="1437" t="s">
        <v>1807</v>
      </c>
      <c r="B35" s="1437"/>
      <c r="C35" s="1437"/>
      <c r="D35" s="1437"/>
      <c r="E35" s="1437"/>
      <c r="F35" s="1437"/>
      <c r="G35" s="1437"/>
      <c r="H35" s="1437"/>
      <c r="I35" s="1437"/>
      <c r="J35" s="1437"/>
      <c r="K35" s="1437"/>
      <c r="L35" s="1437"/>
      <c r="M35" s="1437"/>
      <c r="N35" s="1437"/>
    </row>
    <row r="36" spans="1:14" ht="18">
      <c r="A36" s="1220"/>
      <c r="B36" s="1220"/>
      <c r="C36" s="1220"/>
      <c r="D36" s="1220"/>
      <c r="E36" s="1220"/>
      <c r="F36" s="1224"/>
      <c r="G36" s="1221"/>
      <c r="H36" s="1220"/>
      <c r="I36" s="1220"/>
      <c r="J36" s="1220"/>
      <c r="K36" s="1222"/>
      <c r="L36" s="1222"/>
      <c r="M36" s="1222"/>
      <c r="N36" s="1220"/>
    </row>
    <row r="37" spans="1:14" ht="18">
      <c r="A37" s="1226"/>
      <c r="B37" s="1227"/>
      <c r="C37" s="1227"/>
      <c r="D37" s="1227"/>
      <c r="E37" s="1227"/>
      <c r="F37" s="1228"/>
      <c r="G37" s="1229"/>
      <c r="H37" s="1227"/>
      <c r="I37" s="1227"/>
      <c r="J37" s="1227"/>
      <c r="K37" s="1230"/>
      <c r="L37" s="1230"/>
      <c r="M37" s="1230"/>
      <c r="N37" s="1231"/>
    </row>
    <row r="38" spans="1:14" ht="18">
      <c r="A38" s="1232" t="s">
        <v>1791</v>
      </c>
      <c r="B38" s="1233"/>
      <c r="C38" s="1233"/>
      <c r="D38" s="1233"/>
      <c r="E38" s="1233"/>
      <c r="F38" s="1234"/>
      <c r="G38" s="1235"/>
      <c r="H38" s="1233"/>
      <c r="I38" s="1233"/>
      <c r="J38" s="1233"/>
      <c r="K38" s="1236"/>
      <c r="L38" s="1236"/>
      <c r="M38" s="1236"/>
      <c r="N38" s="1237"/>
    </row>
    <row r="39" spans="1:14" ht="18">
      <c r="A39" s="1238"/>
      <c r="B39" s="1239"/>
      <c r="C39" s="1239"/>
      <c r="D39" s="1239"/>
      <c r="E39" s="1239"/>
      <c r="F39" s="1240"/>
      <c r="G39" s="1241"/>
      <c r="H39" s="1239"/>
      <c r="I39" s="1239"/>
      <c r="J39" s="1239"/>
      <c r="K39" s="1242"/>
      <c r="L39" s="1242"/>
      <c r="M39" s="1242"/>
      <c r="N39" s="1243"/>
    </row>
    <row r="40" spans="1:14" ht="18">
      <c r="A40" s="1220"/>
      <c r="B40" s="1220"/>
      <c r="C40" s="1220"/>
      <c r="D40" s="1220"/>
      <c r="E40" s="1220"/>
      <c r="F40" s="1224"/>
      <c r="G40" s="1221"/>
      <c r="H40" s="1220"/>
      <c r="I40" s="1220"/>
      <c r="J40" s="1220"/>
      <c r="K40" s="1222"/>
      <c r="L40" s="1222"/>
      <c r="M40" s="1222"/>
      <c r="N40" s="1220"/>
    </row>
    <row r="41" spans="1:14" ht="15" customHeight="1">
      <c r="A41" s="1438" t="s">
        <v>1808</v>
      </c>
      <c r="B41" s="1438"/>
      <c r="C41" s="1438"/>
      <c r="D41" s="1438"/>
      <c r="E41" s="1438"/>
      <c r="F41" s="1438"/>
      <c r="G41" s="1438"/>
      <c r="H41" s="1438"/>
      <c r="I41" s="1438"/>
      <c r="J41" s="1438"/>
      <c r="K41" s="1438"/>
      <c r="L41" s="1438"/>
      <c r="M41" s="1438"/>
      <c r="N41" s="1438"/>
    </row>
    <row r="42" spans="1:14" ht="15" customHeight="1">
      <c r="A42" s="1438"/>
      <c r="B42" s="1438"/>
      <c r="C42" s="1438"/>
      <c r="D42" s="1438"/>
      <c r="E42" s="1438"/>
      <c r="F42" s="1438"/>
      <c r="G42" s="1438"/>
      <c r="H42" s="1438"/>
      <c r="I42" s="1438"/>
      <c r="J42" s="1438"/>
      <c r="K42" s="1438"/>
      <c r="L42" s="1438"/>
      <c r="M42" s="1438"/>
      <c r="N42" s="1438"/>
    </row>
    <row r="43" spans="1:14" ht="15" customHeight="1">
      <c r="A43" s="1438"/>
      <c r="B43" s="1438"/>
      <c r="C43" s="1438"/>
      <c r="D43" s="1438"/>
      <c r="E43" s="1438"/>
      <c r="F43" s="1438"/>
      <c r="G43" s="1438"/>
      <c r="H43" s="1438"/>
      <c r="I43" s="1438"/>
      <c r="J43" s="1438"/>
      <c r="K43" s="1438"/>
      <c r="L43" s="1438"/>
      <c r="M43" s="1438"/>
      <c r="N43" s="1438"/>
    </row>
    <row r="44" spans="1:14" ht="15" customHeight="1">
      <c r="A44" s="1438"/>
      <c r="B44" s="1438"/>
      <c r="C44" s="1438"/>
      <c r="D44" s="1438"/>
      <c r="E44" s="1438"/>
      <c r="F44" s="1438"/>
      <c r="G44" s="1438"/>
      <c r="H44" s="1438"/>
      <c r="I44" s="1438"/>
      <c r="J44" s="1438"/>
      <c r="K44" s="1438"/>
      <c r="L44" s="1438"/>
      <c r="M44" s="1438"/>
      <c r="N44" s="1438"/>
    </row>
    <row r="45" spans="1:14" ht="15" customHeight="1">
      <c r="A45" s="1438"/>
      <c r="B45" s="1438"/>
      <c r="C45" s="1438"/>
      <c r="D45" s="1438"/>
      <c r="E45" s="1438"/>
      <c r="F45" s="1438"/>
      <c r="G45" s="1438"/>
      <c r="H45" s="1438"/>
      <c r="I45" s="1438"/>
      <c r="J45" s="1438"/>
      <c r="K45" s="1438"/>
      <c r="L45" s="1438"/>
      <c r="M45" s="1438"/>
      <c r="N45" s="1438"/>
    </row>
    <row r="46" spans="1:14" ht="17.100000000000001" customHeight="1">
      <c r="A46" s="1244"/>
      <c r="B46" s="1244"/>
      <c r="C46" s="1244"/>
      <c r="D46" s="1244"/>
      <c r="E46" s="1244"/>
      <c r="F46" s="1244"/>
      <c r="G46" s="1244"/>
      <c r="H46" s="1244"/>
      <c r="I46" s="1244"/>
      <c r="J46" s="1244"/>
      <c r="K46" s="1244"/>
      <c r="L46" s="1244"/>
      <c r="M46" s="1362"/>
      <c r="N46" s="1244"/>
    </row>
    <row r="47" spans="1:14" ht="15.75" customHeight="1">
      <c r="A47" s="1245"/>
      <c r="B47" s="1245"/>
      <c r="C47" s="1245"/>
      <c r="D47" s="1245"/>
      <c r="E47" s="1245"/>
      <c r="F47" s="1245"/>
      <c r="G47" s="1245"/>
      <c r="H47" s="1245"/>
      <c r="I47" s="1245"/>
      <c r="J47" s="1245"/>
      <c r="K47" s="1245"/>
      <c r="L47" s="1245"/>
      <c r="M47" s="1245"/>
      <c r="N47" s="1245"/>
    </row>
    <row r="48" spans="1:14" ht="20.100000000000001" customHeight="1">
      <c r="A48" s="1439" t="s">
        <v>1809</v>
      </c>
      <c r="B48" s="1439"/>
      <c r="C48" s="1439"/>
      <c r="D48" s="1439"/>
      <c r="E48" s="1439"/>
      <c r="F48" s="1439"/>
      <c r="G48" s="1439"/>
      <c r="H48" s="1439"/>
      <c r="I48" s="1439"/>
      <c r="J48" s="1439"/>
      <c r="K48" s="1439"/>
      <c r="L48" s="1439"/>
      <c r="M48" s="1439"/>
      <c r="N48" s="1439"/>
    </row>
    <row r="49" spans="1:14" ht="20.100000000000001" customHeight="1">
      <c r="A49" s="1439"/>
      <c r="B49" s="1439"/>
      <c r="C49" s="1439"/>
      <c r="D49" s="1439"/>
      <c r="E49" s="1439"/>
      <c r="F49" s="1439"/>
      <c r="G49" s="1439"/>
      <c r="H49" s="1439"/>
      <c r="I49" s="1439"/>
      <c r="J49" s="1439"/>
      <c r="K49" s="1439"/>
      <c r="L49" s="1439"/>
      <c r="M49" s="1439"/>
      <c r="N49" s="1439"/>
    </row>
    <row r="50" spans="1:14" ht="20.100000000000001" customHeight="1">
      <c r="A50" s="1439"/>
      <c r="B50" s="1439"/>
      <c r="C50" s="1439"/>
      <c r="D50" s="1439"/>
      <c r="E50" s="1439"/>
      <c r="F50" s="1439"/>
      <c r="G50" s="1439"/>
      <c r="H50" s="1439"/>
      <c r="I50" s="1439"/>
      <c r="J50" s="1439"/>
      <c r="K50" s="1439"/>
      <c r="L50" s="1439"/>
      <c r="M50" s="1439"/>
      <c r="N50" s="1439"/>
    </row>
    <row r="51" spans="1:14" ht="20.100000000000001" customHeight="1">
      <c r="A51" s="1439"/>
      <c r="B51" s="1439"/>
      <c r="C51" s="1439"/>
      <c r="D51" s="1439"/>
      <c r="E51" s="1439"/>
      <c r="F51" s="1439"/>
      <c r="G51" s="1439"/>
      <c r="H51" s="1439"/>
      <c r="I51" s="1439"/>
      <c r="J51" s="1439"/>
      <c r="K51" s="1439"/>
      <c r="L51" s="1439"/>
      <c r="M51" s="1439"/>
      <c r="N51" s="1439"/>
    </row>
    <row r="52" spans="1:14" ht="15.75" customHeight="1">
      <c r="A52" s="1245"/>
      <c r="B52" s="1245"/>
      <c r="C52" s="1245"/>
      <c r="D52" s="1245"/>
      <c r="E52" s="1245"/>
      <c r="F52" s="1245"/>
      <c r="G52" s="1245"/>
      <c r="H52" s="1245"/>
      <c r="I52" s="1245"/>
      <c r="J52" s="1245"/>
      <c r="K52" s="1245"/>
      <c r="L52" s="1245"/>
      <c r="M52" s="1245"/>
      <c r="N52" s="1245"/>
    </row>
    <row r="53" spans="1:14" ht="18" customHeight="1">
      <c r="A53" s="1439" t="s">
        <v>1792</v>
      </c>
      <c r="B53" s="1439"/>
      <c r="C53" s="1439"/>
      <c r="D53" s="1439"/>
      <c r="E53" s="1439"/>
      <c r="F53" s="1439"/>
      <c r="G53" s="1439"/>
      <c r="H53" s="1439"/>
      <c r="I53" s="1439"/>
      <c r="J53" s="1439"/>
      <c r="K53" s="1439"/>
      <c r="L53" s="1439"/>
      <c r="M53" s="1439"/>
      <c r="N53" s="1439"/>
    </row>
    <row r="54" spans="1:14" ht="18" customHeight="1">
      <c r="A54" s="1439"/>
      <c r="B54" s="1439"/>
      <c r="C54" s="1439"/>
      <c r="D54" s="1439"/>
      <c r="E54" s="1439"/>
      <c r="F54" s="1439"/>
      <c r="G54" s="1439"/>
      <c r="H54" s="1439"/>
      <c r="I54" s="1439"/>
      <c r="J54" s="1439"/>
      <c r="K54" s="1439"/>
      <c r="L54" s="1439"/>
      <c r="M54" s="1439"/>
      <c r="N54" s="1439"/>
    </row>
    <row r="55" spans="1:14" ht="18" customHeight="1">
      <c r="A55" s="1439"/>
      <c r="B55" s="1439"/>
      <c r="C55" s="1439"/>
      <c r="D55" s="1439"/>
      <c r="E55" s="1439"/>
      <c r="F55" s="1439"/>
      <c r="G55" s="1439"/>
      <c r="H55" s="1439"/>
      <c r="I55" s="1439"/>
      <c r="J55" s="1439"/>
      <c r="K55" s="1439"/>
      <c r="L55" s="1439"/>
      <c r="M55" s="1439"/>
      <c r="N55" s="1439"/>
    </row>
    <row r="56" spans="1:14" ht="15.75" customHeight="1">
      <c r="A56" s="1246"/>
      <c r="B56" s="1246"/>
      <c r="C56" s="1246"/>
      <c r="D56" s="1246"/>
      <c r="E56" s="1246"/>
      <c r="F56" s="1246"/>
      <c r="G56" s="1246"/>
      <c r="H56" s="1246"/>
      <c r="I56" s="1246"/>
      <c r="J56" s="1246"/>
      <c r="K56" s="1246"/>
      <c r="L56" s="1246"/>
      <c r="M56" s="1246"/>
      <c r="N56" s="1246"/>
    </row>
    <row r="57" spans="1:14" ht="20.100000000000001" customHeight="1">
      <c r="A57" s="1439" t="s">
        <v>1793</v>
      </c>
      <c r="B57" s="1439"/>
      <c r="C57" s="1439"/>
      <c r="D57" s="1439"/>
      <c r="E57" s="1439"/>
      <c r="F57" s="1439"/>
      <c r="G57" s="1439"/>
      <c r="H57" s="1439"/>
      <c r="I57" s="1439"/>
      <c r="J57" s="1439"/>
      <c r="K57" s="1439"/>
      <c r="L57" s="1439"/>
      <c r="M57" s="1439"/>
      <c r="N57" s="1439"/>
    </row>
    <row r="58" spans="1:14" ht="20.100000000000001" customHeight="1">
      <c r="A58" s="1439"/>
      <c r="B58" s="1439"/>
      <c r="C58" s="1439"/>
      <c r="D58" s="1439"/>
      <c r="E58" s="1439"/>
      <c r="F58" s="1439"/>
      <c r="G58" s="1439"/>
      <c r="H58" s="1439"/>
      <c r="I58" s="1439"/>
      <c r="J58" s="1439"/>
      <c r="K58" s="1439"/>
      <c r="L58" s="1439"/>
      <c r="M58" s="1439"/>
      <c r="N58" s="1439"/>
    </row>
    <row r="59" spans="1:14" ht="15.75" customHeight="1">
      <c r="A59" s="1247"/>
      <c r="B59" s="1247"/>
      <c r="C59" s="1247"/>
      <c r="D59" s="1247"/>
      <c r="E59" s="1247"/>
      <c r="F59" s="1247"/>
      <c r="G59" s="1247"/>
      <c r="H59" s="1247"/>
      <c r="I59" s="1247"/>
      <c r="J59" s="1247"/>
      <c r="K59" s="1247"/>
      <c r="L59" s="1247"/>
      <c r="M59" s="1247"/>
      <c r="N59" s="1247"/>
    </row>
    <row r="60" spans="1:14" ht="18" customHeight="1">
      <c r="A60" s="1440" t="s">
        <v>1794</v>
      </c>
      <c r="B60" s="1440"/>
      <c r="C60" s="1440"/>
      <c r="D60" s="1440"/>
      <c r="E60" s="1440"/>
      <c r="F60" s="1440"/>
      <c r="G60" s="1440"/>
      <c r="H60" s="1440"/>
      <c r="I60" s="1440"/>
      <c r="J60" s="1440"/>
      <c r="K60" s="1440"/>
      <c r="L60" s="1440"/>
      <c r="M60" s="1440"/>
      <c r="N60" s="1440"/>
    </row>
    <row r="61" spans="1:14" ht="18" customHeight="1">
      <c r="A61" s="1440"/>
      <c r="B61" s="1440"/>
      <c r="C61" s="1440"/>
      <c r="D61" s="1440"/>
      <c r="E61" s="1440"/>
      <c r="F61" s="1440"/>
      <c r="G61" s="1440"/>
      <c r="H61" s="1440"/>
      <c r="I61" s="1440"/>
      <c r="J61" s="1440"/>
      <c r="K61" s="1440"/>
      <c r="L61" s="1440"/>
      <c r="M61" s="1440"/>
      <c r="N61" s="1440"/>
    </row>
    <row r="62" spans="1:14" ht="18">
      <c r="A62" s="1220"/>
      <c r="B62" s="1220"/>
      <c r="C62" s="1220"/>
      <c r="D62" s="1220"/>
      <c r="E62" s="1220"/>
      <c r="F62" s="1224"/>
      <c r="G62" s="1221"/>
      <c r="H62" s="1220"/>
      <c r="I62" s="1220"/>
      <c r="J62" s="1220"/>
      <c r="K62" s="1222"/>
      <c r="L62" s="1222"/>
      <c r="M62" s="1222"/>
      <c r="N62" s="1220"/>
    </row>
    <row r="63" spans="1:14" ht="20.100000000000001" customHeight="1">
      <c r="A63" s="1440" t="s">
        <v>1795</v>
      </c>
      <c r="B63" s="1440"/>
      <c r="C63" s="1440"/>
      <c r="D63" s="1440"/>
      <c r="E63" s="1440"/>
      <c r="F63" s="1440"/>
      <c r="G63" s="1440"/>
      <c r="H63" s="1440"/>
      <c r="I63" s="1440"/>
      <c r="J63" s="1440"/>
      <c r="K63" s="1440"/>
      <c r="L63" s="1440"/>
      <c r="M63" s="1440"/>
      <c r="N63" s="1440"/>
    </row>
    <row r="64" spans="1:14" ht="15.75" customHeight="1">
      <c r="A64" s="1440"/>
      <c r="B64" s="1440"/>
      <c r="C64" s="1440"/>
      <c r="D64" s="1440"/>
      <c r="E64" s="1440"/>
      <c r="F64" s="1440"/>
      <c r="G64" s="1440"/>
      <c r="H64" s="1440"/>
      <c r="I64" s="1440"/>
      <c r="J64" s="1440"/>
      <c r="K64" s="1440"/>
      <c r="L64" s="1440"/>
      <c r="M64" s="1440"/>
      <c r="N64" s="1440"/>
    </row>
    <row r="65" spans="1:14" ht="15.75" customHeight="1">
      <c r="A65" s="1248"/>
      <c r="B65" s="1248"/>
      <c r="C65" s="1248"/>
      <c r="D65" s="1248"/>
      <c r="E65" s="1248"/>
      <c r="F65" s="1248"/>
      <c r="G65" s="1248"/>
      <c r="H65" s="1248"/>
      <c r="I65" s="1248"/>
      <c r="J65" s="1248"/>
      <c r="K65" s="1248"/>
      <c r="L65" s="1248"/>
      <c r="M65" s="1248"/>
      <c r="N65" s="1248"/>
    </row>
    <row r="66" spans="1:14" ht="15.75" customHeight="1">
      <c r="A66" s="1441" t="s">
        <v>1796</v>
      </c>
      <c r="B66" s="1441"/>
      <c r="C66" s="1441"/>
      <c r="D66" s="1441"/>
      <c r="E66" s="1441"/>
      <c r="F66" s="1441"/>
      <c r="G66" s="1441"/>
      <c r="H66" s="1441"/>
      <c r="I66" s="1441"/>
      <c r="J66" s="1441"/>
      <c r="K66" s="1441"/>
      <c r="L66" s="1441"/>
      <c r="M66" s="1441"/>
      <c r="N66" s="1441"/>
    </row>
    <row r="67" spans="1:14" ht="15.75" customHeight="1">
      <c r="A67" s="1249"/>
      <c r="B67" s="1249"/>
      <c r="C67" s="1249"/>
      <c r="D67" s="1249"/>
      <c r="E67" s="1249"/>
      <c r="F67" s="1249"/>
      <c r="G67" s="1249"/>
      <c r="H67" s="1249"/>
      <c r="I67" s="1249"/>
      <c r="J67" s="1249"/>
      <c r="K67" s="1249"/>
      <c r="L67" s="1249"/>
      <c r="M67" s="1363"/>
      <c r="N67" s="1249"/>
    </row>
    <row r="68" spans="1:14" ht="23.25">
      <c r="A68" s="1436" t="s">
        <v>947</v>
      </c>
      <c r="B68" s="1436"/>
      <c r="C68" s="1436"/>
      <c r="D68" s="1436"/>
      <c r="E68" s="1436"/>
      <c r="F68" s="1436"/>
      <c r="G68" s="1436"/>
      <c r="H68" s="1436"/>
      <c r="I68" s="1436"/>
      <c r="J68" s="1436"/>
      <c r="K68" s="1436"/>
      <c r="L68" s="1436"/>
      <c r="M68" s="1436"/>
      <c r="N68" s="1436"/>
    </row>
    <row r="69" spans="1:14" ht="15.75" customHeight="1">
      <c r="C69" s="1250"/>
      <c r="D69" s="1250"/>
      <c r="E69" s="1250"/>
      <c r="F69" s="1250"/>
      <c r="G69" s="1250"/>
      <c r="H69" s="1250"/>
      <c r="I69" s="1250"/>
      <c r="J69" s="1250"/>
      <c r="K69" s="1250"/>
      <c r="L69" s="1250"/>
      <c r="M69" s="1250"/>
      <c r="N69" s="1250"/>
    </row>
    <row r="70" spans="1:14" ht="15.75" customHeight="1">
      <c r="C70" s="1250"/>
      <c r="D70" s="1250"/>
      <c r="E70" s="1250"/>
      <c r="F70" s="1250"/>
      <c r="G70" s="1250"/>
      <c r="H70" s="1250"/>
      <c r="I70" s="1250"/>
      <c r="J70" s="1250"/>
      <c r="K70" s="1250"/>
      <c r="L70" s="1250"/>
      <c r="M70" s="1250"/>
      <c r="N70" s="1250"/>
    </row>
    <row r="71" spans="1:14" ht="15.75" customHeight="1">
      <c r="C71" s="1250"/>
      <c r="D71" s="1250"/>
      <c r="E71" s="1250"/>
      <c r="F71" s="1250"/>
      <c r="G71" s="1250"/>
      <c r="H71" s="1250"/>
      <c r="I71" s="1250"/>
      <c r="J71" s="1250"/>
      <c r="K71" s="1250"/>
      <c r="L71" s="1250"/>
      <c r="M71" s="1250"/>
      <c r="N71" s="1250"/>
    </row>
    <row r="72" spans="1:14" ht="15.75" customHeight="1">
      <c r="C72" s="1250"/>
      <c r="D72" s="1250"/>
      <c r="E72" s="1250"/>
      <c r="F72" s="1250"/>
      <c r="G72" s="1250"/>
      <c r="H72" s="1250"/>
      <c r="I72" s="1250"/>
      <c r="J72" s="1250"/>
      <c r="K72" s="1250"/>
      <c r="L72" s="1250"/>
      <c r="M72" s="1250"/>
      <c r="N72" s="1250"/>
    </row>
    <row r="73" spans="1:14" ht="15.75" customHeight="1">
      <c r="C73" s="1250"/>
      <c r="D73" s="1250"/>
      <c r="E73" s="1250"/>
      <c r="F73" s="1250"/>
      <c r="G73" s="1250"/>
      <c r="H73" s="1250"/>
      <c r="I73" s="1250"/>
      <c r="J73" s="1250"/>
      <c r="K73" s="1250"/>
      <c r="L73" s="1250"/>
      <c r="M73" s="1250"/>
      <c r="N73" s="1250"/>
    </row>
    <row r="74" spans="1:14" ht="15.75" customHeight="1">
      <c r="C74" s="1250"/>
      <c r="D74" s="1250"/>
      <c r="E74" s="1250"/>
      <c r="F74" s="1250"/>
      <c r="G74" s="1250"/>
      <c r="H74" s="1250"/>
      <c r="I74" s="1250"/>
      <c r="J74" s="1250"/>
      <c r="K74" s="1250"/>
      <c r="L74" s="1250"/>
      <c r="M74" s="1250"/>
      <c r="N74" s="1250"/>
    </row>
    <row r="75" spans="1:14" ht="15.75" customHeight="1">
      <c r="C75" s="1250"/>
      <c r="D75" s="1250"/>
      <c r="E75" s="1250"/>
      <c r="F75" s="1250"/>
      <c r="G75" s="1250"/>
      <c r="H75" s="1250"/>
      <c r="I75" s="1250"/>
      <c r="J75" s="1250"/>
      <c r="K75" s="1250"/>
      <c r="L75" s="1250"/>
      <c r="M75" s="1250"/>
      <c r="N75" s="1250"/>
    </row>
    <row r="76" spans="1:14" ht="15.75" customHeight="1">
      <c r="C76" s="1250"/>
      <c r="D76" s="1250"/>
      <c r="E76" s="1250"/>
      <c r="F76" s="1250"/>
      <c r="G76" s="1250"/>
      <c r="H76" s="1250"/>
      <c r="I76" s="1250"/>
      <c r="J76" s="1250"/>
      <c r="K76" s="1250"/>
      <c r="L76" s="1250"/>
      <c r="M76" s="1250"/>
      <c r="N76" s="1250"/>
    </row>
    <row r="77" spans="1:14" ht="15.75" customHeight="1">
      <c r="C77" s="1250"/>
      <c r="D77" s="1250"/>
      <c r="E77" s="1250"/>
      <c r="F77" s="1250"/>
      <c r="G77" s="1250"/>
      <c r="H77" s="1250"/>
      <c r="I77" s="1250"/>
      <c r="J77" s="1250"/>
      <c r="K77" s="1250"/>
      <c r="L77" s="1250"/>
      <c r="M77" s="1250"/>
      <c r="N77" s="1250"/>
    </row>
    <row r="78" spans="1:14" ht="15.75" customHeight="1">
      <c r="C78" s="1250"/>
      <c r="D78" s="1250"/>
      <c r="E78" s="1250"/>
      <c r="F78" s="1250"/>
      <c r="G78" s="1250"/>
      <c r="H78" s="1250"/>
      <c r="I78" s="1250"/>
      <c r="J78" s="1250"/>
      <c r="K78" s="1250"/>
      <c r="L78" s="1250"/>
      <c r="M78" s="1250"/>
      <c r="N78" s="1250"/>
    </row>
    <row r="79" spans="1:14" ht="15.75" customHeight="1">
      <c r="C79" s="1250"/>
      <c r="D79" s="1250"/>
      <c r="E79" s="1250"/>
      <c r="F79" s="1250"/>
      <c r="G79" s="1250"/>
      <c r="H79" s="1250"/>
      <c r="I79" s="1250"/>
      <c r="J79" s="1250"/>
      <c r="K79" s="1250"/>
      <c r="L79" s="1250"/>
      <c r="M79" s="1250"/>
      <c r="N79" s="1250"/>
    </row>
    <row r="80" spans="1:14" ht="15.75" customHeight="1">
      <c r="C80" s="1250"/>
      <c r="D80" s="1250"/>
      <c r="E80" s="1250"/>
      <c r="F80" s="1250"/>
      <c r="G80" s="1250"/>
      <c r="H80" s="1250"/>
      <c r="I80" s="1250"/>
      <c r="J80" s="1250"/>
      <c r="K80" s="1250"/>
      <c r="L80" s="1250"/>
      <c r="M80" s="1250"/>
      <c r="N80" s="1250"/>
    </row>
    <row r="81" spans="3:14" ht="15.75" customHeight="1">
      <c r="C81" s="1250"/>
      <c r="D81" s="1250"/>
      <c r="E81" s="1250"/>
      <c r="F81" s="1250"/>
      <c r="G81" s="1250"/>
      <c r="H81" s="1250"/>
      <c r="I81" s="1250"/>
      <c r="J81" s="1250"/>
      <c r="K81" s="1250"/>
      <c r="L81" s="1250"/>
      <c r="M81" s="1250"/>
      <c r="N81" s="1250"/>
    </row>
    <row r="82" spans="3:14" ht="15.75" customHeight="1">
      <c r="C82" s="1250"/>
      <c r="D82" s="1250"/>
      <c r="E82" s="1250"/>
      <c r="F82" s="1250"/>
      <c r="G82" s="1250"/>
      <c r="H82" s="1250"/>
      <c r="I82" s="1250"/>
      <c r="J82" s="1250"/>
      <c r="K82" s="1250"/>
      <c r="L82" s="1250"/>
      <c r="M82" s="1250"/>
      <c r="N82" s="1250"/>
    </row>
    <row r="83" spans="3:14" ht="15.75" customHeight="1">
      <c r="C83" s="1250"/>
      <c r="D83" s="1250"/>
      <c r="E83" s="1250"/>
      <c r="F83" s="1250"/>
      <c r="G83" s="1250"/>
      <c r="H83" s="1250"/>
      <c r="I83" s="1250"/>
      <c r="J83" s="1250"/>
      <c r="K83" s="1250"/>
      <c r="L83" s="1250"/>
      <c r="M83" s="1250"/>
      <c r="N83" s="1250"/>
    </row>
  </sheetData>
  <mergeCells count="17">
    <mergeCell ref="A10:N13"/>
    <mergeCell ref="A2:N2"/>
    <mergeCell ref="A3:N3"/>
    <mergeCell ref="A4:N4"/>
    <mergeCell ref="A5:N5"/>
    <mergeCell ref="A8:N8"/>
    <mergeCell ref="A9:N9"/>
    <mergeCell ref="A68:N68"/>
    <mergeCell ref="A34:N34"/>
    <mergeCell ref="A35:N35"/>
    <mergeCell ref="A41:N45"/>
    <mergeCell ref="A48:N51"/>
    <mergeCell ref="A53:N55"/>
    <mergeCell ref="A57:N58"/>
    <mergeCell ref="A60:N61"/>
    <mergeCell ref="A63:N64"/>
    <mergeCell ref="A66:N66"/>
  </mergeCells>
  <printOptions horizontalCentered="1"/>
  <pageMargins left="0.75" right="0.75" top="0.25" bottom="0" header="0.5" footer="0"/>
  <pageSetup paperSize="14" scale="72" orientation="portrait" r:id="rId1"/>
  <headerFooter alignWithMargins="0">
    <oddFooter xml:space="preserve">&amp;C&amp;"Times New Roman,Bold"&amp;14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selection activeCell="A4" sqref="A4:L78"/>
    </sheetView>
  </sheetViews>
  <sheetFormatPr defaultRowHeight="12.75"/>
  <cols>
    <col min="1" max="1" width="9.5703125" customWidth="1"/>
    <col min="2" max="2" width="11.140625" customWidth="1"/>
    <col min="4" max="4" width="9.85546875" customWidth="1"/>
    <col min="5" max="5" width="9.5703125" customWidth="1"/>
    <col min="6" max="6" width="10" customWidth="1"/>
    <col min="7" max="7" width="10.140625" customWidth="1"/>
    <col min="8" max="8" width="10.7109375" customWidth="1"/>
    <col min="9" max="9" width="9.85546875" customWidth="1"/>
    <col min="10" max="10" width="11" customWidth="1"/>
    <col min="11" max="11" width="10.85546875" customWidth="1"/>
    <col min="12" max="12" width="14.7109375" customWidth="1"/>
  </cols>
  <sheetData>
    <row r="1" spans="1:12">
      <c r="A1" s="7"/>
      <c r="L1" s="51"/>
    </row>
    <row r="4" spans="1:12">
      <c r="A4" s="1449" t="s">
        <v>630</v>
      </c>
      <c r="B4" s="1449"/>
      <c r="C4" s="1449"/>
      <c r="D4" s="1449"/>
      <c r="E4" s="1449"/>
      <c r="F4" s="1449"/>
      <c r="G4" s="1449"/>
      <c r="H4" s="1449"/>
      <c r="I4" s="1449"/>
      <c r="J4" s="1449"/>
      <c r="K4" s="1449"/>
      <c r="L4" s="1449"/>
    </row>
    <row r="5" spans="1:12">
      <c r="A5" s="1449" t="s">
        <v>351</v>
      </c>
      <c r="B5" s="1449"/>
      <c r="C5" s="1449"/>
      <c r="D5" s="1449"/>
      <c r="E5" s="1449"/>
      <c r="F5" s="1449"/>
      <c r="G5" s="1449"/>
      <c r="H5" s="1449"/>
      <c r="I5" s="1449"/>
      <c r="J5" s="1449"/>
      <c r="K5" s="1449"/>
      <c r="L5" s="1449"/>
    </row>
    <row r="6" spans="1:12">
      <c r="A6" s="1449" t="s">
        <v>1726</v>
      </c>
      <c r="B6" s="1449"/>
      <c r="C6" s="1449"/>
      <c r="D6" s="1449"/>
      <c r="E6" s="1449"/>
      <c r="F6" s="1449"/>
      <c r="G6" s="1449"/>
      <c r="H6" s="1449"/>
      <c r="I6" s="1449"/>
      <c r="J6" s="1449"/>
      <c r="K6" s="1449"/>
      <c r="L6" s="1449"/>
    </row>
    <row r="9" spans="1:12" s="7" customFormat="1">
      <c r="A9" s="62"/>
      <c r="B9" s="64"/>
      <c r="C9" s="59"/>
      <c r="D9" s="64"/>
      <c r="E9" s="64"/>
      <c r="F9" s="59"/>
      <c r="G9" s="59"/>
      <c r="H9" s="59"/>
      <c r="I9" s="62"/>
      <c r="J9" s="59"/>
      <c r="K9" s="60"/>
      <c r="L9" s="64"/>
    </row>
    <row r="10" spans="1:12" s="7" customFormat="1">
      <c r="A10" s="55"/>
      <c r="B10" s="65" t="s">
        <v>631</v>
      </c>
      <c r="C10" s="19"/>
      <c r="D10" s="65" t="s">
        <v>632</v>
      </c>
      <c r="E10" s="66"/>
      <c r="F10" s="1675" t="s">
        <v>634</v>
      </c>
      <c r="G10" s="1676"/>
      <c r="H10" s="1677"/>
      <c r="I10" s="1684" t="s">
        <v>162</v>
      </c>
      <c r="J10" s="1685"/>
      <c r="K10" s="1686"/>
      <c r="L10" s="65" t="s">
        <v>635</v>
      </c>
    </row>
    <row r="11" spans="1:12" s="7" customFormat="1">
      <c r="A11" s="55" t="s">
        <v>163</v>
      </c>
      <c r="B11" s="65" t="s">
        <v>167</v>
      </c>
      <c r="C11" s="61" t="s">
        <v>164</v>
      </c>
      <c r="D11" s="65" t="s">
        <v>168</v>
      </c>
      <c r="E11" s="65" t="s">
        <v>633</v>
      </c>
      <c r="F11" s="1678"/>
      <c r="G11" s="1679"/>
      <c r="H11" s="1680"/>
      <c r="I11" s="1681" t="s">
        <v>166</v>
      </c>
      <c r="J11" s="1682"/>
      <c r="K11" s="1683"/>
      <c r="L11" s="65" t="s">
        <v>165</v>
      </c>
    </row>
    <row r="12" spans="1:12" s="7" customFormat="1">
      <c r="A12" s="55"/>
      <c r="B12" s="66"/>
      <c r="C12" s="19"/>
      <c r="D12" s="66"/>
      <c r="E12" s="66"/>
      <c r="F12" s="67" t="s">
        <v>165</v>
      </c>
      <c r="G12" s="67" t="s">
        <v>169</v>
      </c>
      <c r="H12" s="67" t="s">
        <v>170</v>
      </c>
      <c r="I12" s="61" t="s">
        <v>165</v>
      </c>
      <c r="J12" s="67" t="s">
        <v>169</v>
      </c>
      <c r="K12" s="56" t="s">
        <v>170</v>
      </c>
      <c r="L12" s="66"/>
    </row>
    <row r="13" spans="1:12" s="72" customFormat="1" ht="11.25">
      <c r="A13" s="68"/>
      <c r="B13" s="69"/>
      <c r="C13" s="70"/>
      <c r="D13" s="69"/>
      <c r="E13" s="69"/>
      <c r="F13" s="69"/>
      <c r="G13" s="69"/>
      <c r="H13" s="69"/>
      <c r="I13" s="70"/>
      <c r="J13" s="69"/>
      <c r="K13" s="71"/>
      <c r="L13" s="69"/>
    </row>
    <row r="14" spans="1:12">
      <c r="A14" s="4"/>
      <c r="B14" s="26"/>
      <c r="C14" s="3"/>
      <c r="D14" s="26"/>
      <c r="E14" s="26"/>
      <c r="F14" s="26"/>
      <c r="G14" s="26"/>
      <c r="H14" s="26"/>
      <c r="I14" s="3"/>
      <c r="J14" s="26"/>
      <c r="K14" s="3"/>
      <c r="L14" s="57"/>
    </row>
    <row r="15" spans="1:12">
      <c r="A15" s="100" t="s">
        <v>171</v>
      </c>
      <c r="B15" s="100" t="s">
        <v>171</v>
      </c>
      <c r="C15" s="100" t="s">
        <v>171</v>
      </c>
      <c r="D15" s="100" t="s">
        <v>171</v>
      </c>
      <c r="E15" s="100" t="s">
        <v>171</v>
      </c>
      <c r="F15" s="100" t="s">
        <v>171</v>
      </c>
      <c r="G15" s="100" t="s">
        <v>171</v>
      </c>
      <c r="H15" s="100" t="s">
        <v>171</v>
      </c>
      <c r="I15" s="100" t="s">
        <v>171</v>
      </c>
      <c r="J15" s="100" t="s">
        <v>171</v>
      </c>
      <c r="K15" s="100" t="s">
        <v>171</v>
      </c>
      <c r="L15" s="101" t="s">
        <v>171</v>
      </c>
    </row>
    <row r="16" spans="1:12">
      <c r="A16" s="4"/>
      <c r="B16" s="26"/>
      <c r="C16" s="3"/>
      <c r="D16" s="26"/>
      <c r="E16" s="26"/>
      <c r="F16" s="26"/>
      <c r="G16" s="26"/>
      <c r="H16" s="26"/>
      <c r="I16" s="3"/>
      <c r="J16" s="26"/>
      <c r="K16" s="3"/>
      <c r="L16" s="26"/>
    </row>
    <row r="17" spans="1:12">
      <c r="A17" s="4"/>
      <c r="B17" s="26"/>
      <c r="C17" s="3"/>
      <c r="D17" s="26"/>
      <c r="E17" s="26"/>
      <c r="F17" s="26"/>
      <c r="G17" s="26"/>
      <c r="H17" s="26"/>
      <c r="I17" s="3"/>
      <c r="J17" s="26"/>
      <c r="K17" s="3"/>
      <c r="L17" s="26"/>
    </row>
    <row r="18" spans="1:12">
      <c r="A18" s="4"/>
      <c r="B18" s="26"/>
      <c r="C18" s="3"/>
      <c r="D18" s="26"/>
      <c r="E18" s="26"/>
      <c r="F18" s="26"/>
      <c r="G18" s="26"/>
      <c r="H18" s="26"/>
      <c r="I18" s="3"/>
      <c r="J18" s="26"/>
      <c r="K18" s="3"/>
      <c r="L18" s="26"/>
    </row>
    <row r="19" spans="1:12">
      <c r="A19" s="4"/>
      <c r="B19" s="26"/>
      <c r="C19" s="3"/>
      <c r="D19" s="26"/>
      <c r="E19" s="26"/>
      <c r="F19" s="26"/>
      <c r="G19" s="26"/>
      <c r="H19" s="26"/>
      <c r="I19" s="3"/>
      <c r="J19" s="26"/>
      <c r="K19" s="3"/>
      <c r="L19" s="26"/>
    </row>
    <row r="20" spans="1:12">
      <c r="A20" s="4"/>
      <c r="B20" s="26"/>
      <c r="C20" s="3"/>
      <c r="D20" s="26"/>
      <c r="E20" s="26"/>
      <c r="F20" s="26"/>
      <c r="G20" s="26"/>
      <c r="H20" s="26"/>
      <c r="I20" s="3"/>
      <c r="J20" s="26"/>
      <c r="K20" s="3"/>
      <c r="L20" s="26"/>
    </row>
    <row r="21" spans="1:12">
      <c r="A21" s="4"/>
      <c r="B21" s="26"/>
      <c r="C21" s="3"/>
      <c r="D21" s="26"/>
      <c r="E21" s="26"/>
      <c r="F21" s="26"/>
      <c r="G21" s="26"/>
      <c r="H21" s="26"/>
      <c r="I21" s="3"/>
      <c r="J21" s="26"/>
      <c r="K21" s="3"/>
      <c r="L21" s="26"/>
    </row>
    <row r="22" spans="1:12">
      <c r="A22" s="4"/>
      <c r="B22" s="26"/>
      <c r="C22" s="3"/>
      <c r="D22" s="26"/>
      <c r="E22" s="26"/>
      <c r="F22" s="26"/>
      <c r="G22" s="26"/>
      <c r="H22" s="26"/>
      <c r="I22" s="3"/>
      <c r="J22" s="26"/>
      <c r="K22" s="3"/>
      <c r="L22" s="26"/>
    </row>
    <row r="23" spans="1:12">
      <c r="A23" s="4"/>
      <c r="B23" s="26"/>
      <c r="C23" s="3"/>
      <c r="D23" s="26"/>
      <c r="E23" s="26"/>
      <c r="F23" s="26"/>
      <c r="G23" s="26"/>
      <c r="H23" s="26"/>
      <c r="I23" s="3"/>
      <c r="J23" s="26"/>
      <c r="K23" s="3"/>
      <c r="L23" s="26"/>
    </row>
    <row r="24" spans="1:12">
      <c r="A24" s="4"/>
      <c r="B24" s="26"/>
      <c r="C24" s="3"/>
      <c r="D24" s="26"/>
      <c r="E24" s="26"/>
      <c r="F24" s="26"/>
      <c r="G24" s="26"/>
      <c r="H24" s="26"/>
      <c r="I24" s="3"/>
      <c r="J24" s="26"/>
      <c r="K24" s="3"/>
      <c r="L24" s="26"/>
    </row>
    <row r="25" spans="1:12">
      <c r="A25" s="4"/>
      <c r="B25" s="26"/>
      <c r="C25" s="3"/>
      <c r="D25" s="26"/>
      <c r="E25" s="26"/>
      <c r="F25" s="26"/>
      <c r="G25" s="26"/>
      <c r="H25" s="26"/>
      <c r="I25" s="3"/>
      <c r="J25" s="26"/>
      <c r="K25" s="3"/>
      <c r="L25" s="26"/>
    </row>
    <row r="26" spans="1:12">
      <c r="A26" s="4"/>
      <c r="B26" s="26"/>
      <c r="C26" s="3"/>
      <c r="D26" s="26"/>
      <c r="E26" s="26"/>
      <c r="F26" s="26"/>
      <c r="G26" s="26"/>
      <c r="H26" s="26"/>
      <c r="I26" s="3"/>
      <c r="J26" s="26"/>
      <c r="K26" s="3"/>
      <c r="L26" s="26"/>
    </row>
    <row r="27" spans="1:12">
      <c r="A27" s="4"/>
      <c r="B27" s="26"/>
      <c r="C27" s="3"/>
      <c r="D27" s="26"/>
      <c r="E27" s="26"/>
      <c r="F27" s="26"/>
      <c r="G27" s="26"/>
      <c r="H27" s="26"/>
      <c r="I27" s="3"/>
      <c r="J27" s="26"/>
      <c r="K27" s="3"/>
      <c r="L27" s="26"/>
    </row>
    <row r="28" spans="1:12">
      <c r="A28" s="4"/>
      <c r="B28" s="26"/>
      <c r="C28" s="3"/>
      <c r="D28" s="26"/>
      <c r="E28" s="26"/>
      <c r="F28" s="26"/>
      <c r="G28" s="26"/>
      <c r="H28" s="26"/>
      <c r="I28" s="3"/>
      <c r="J28" s="26"/>
      <c r="K28" s="3"/>
      <c r="L28" s="26"/>
    </row>
    <row r="29" spans="1:12">
      <c r="A29" s="4"/>
      <c r="B29" s="26"/>
      <c r="C29" s="3"/>
      <c r="D29" s="26"/>
      <c r="E29" s="26"/>
      <c r="F29" s="26"/>
      <c r="G29" s="26"/>
      <c r="H29" s="26"/>
      <c r="I29" s="3"/>
      <c r="J29" s="26"/>
      <c r="K29" s="3"/>
      <c r="L29" s="26"/>
    </row>
    <row r="30" spans="1:12">
      <c r="A30" s="4"/>
      <c r="B30" s="26"/>
      <c r="C30" s="3"/>
      <c r="D30" s="26"/>
      <c r="E30" s="26"/>
      <c r="F30" s="26"/>
      <c r="G30" s="26"/>
      <c r="H30" s="26"/>
      <c r="I30" s="3"/>
      <c r="J30" s="26"/>
      <c r="K30" s="3"/>
      <c r="L30" s="26"/>
    </row>
    <row r="31" spans="1:12">
      <c r="A31" s="4"/>
      <c r="B31" s="26"/>
      <c r="C31" s="3"/>
      <c r="D31" s="26"/>
      <c r="E31" s="26"/>
      <c r="F31" s="26"/>
      <c r="G31" s="26"/>
      <c r="H31" s="26"/>
      <c r="I31" s="3"/>
      <c r="J31" s="26"/>
      <c r="K31" s="3"/>
      <c r="L31" s="26"/>
    </row>
    <row r="32" spans="1:12">
      <c r="A32" s="4"/>
      <c r="B32" s="26"/>
      <c r="C32" s="3"/>
      <c r="D32" s="26"/>
      <c r="E32" s="26"/>
      <c r="F32" s="26"/>
      <c r="G32" s="26"/>
      <c r="H32" s="26"/>
      <c r="I32" s="3"/>
      <c r="J32" s="26"/>
      <c r="K32" s="3"/>
      <c r="L32" s="26"/>
    </row>
    <row r="33" spans="1:12">
      <c r="A33" s="4"/>
      <c r="B33" s="26"/>
      <c r="C33" s="3"/>
      <c r="D33" s="26"/>
      <c r="E33" s="26"/>
      <c r="F33" s="26"/>
      <c r="G33" s="26"/>
      <c r="H33" s="26"/>
      <c r="I33" s="3"/>
      <c r="J33" s="26"/>
      <c r="K33" s="3"/>
      <c r="L33" s="26"/>
    </row>
    <row r="34" spans="1:12">
      <c r="A34" s="4"/>
      <c r="B34" s="26"/>
      <c r="C34" s="3"/>
      <c r="D34" s="26"/>
      <c r="E34" s="26"/>
      <c r="F34" s="26"/>
      <c r="G34" s="26"/>
      <c r="H34" s="26"/>
      <c r="I34" s="3"/>
      <c r="J34" s="26"/>
      <c r="K34" s="3"/>
      <c r="L34" s="26"/>
    </row>
    <row r="35" spans="1:12">
      <c r="A35" s="4"/>
      <c r="B35" s="26"/>
      <c r="C35" s="3"/>
      <c r="D35" s="26"/>
      <c r="E35" s="26"/>
      <c r="F35" s="26"/>
      <c r="G35" s="26"/>
      <c r="H35" s="26"/>
      <c r="I35" s="3"/>
      <c r="J35" s="26"/>
      <c r="K35" s="3"/>
      <c r="L35" s="26"/>
    </row>
    <row r="36" spans="1:12">
      <c r="A36" s="4"/>
      <c r="B36" s="26"/>
      <c r="C36" s="3"/>
      <c r="D36" s="26"/>
      <c r="E36" s="26"/>
      <c r="F36" s="26"/>
      <c r="G36" s="26"/>
      <c r="H36" s="26"/>
      <c r="I36" s="3"/>
      <c r="J36" s="26"/>
      <c r="K36" s="3"/>
      <c r="L36" s="26"/>
    </row>
    <row r="37" spans="1:12">
      <c r="A37" s="4"/>
      <c r="B37" s="26"/>
      <c r="C37" s="3"/>
      <c r="D37" s="26"/>
      <c r="E37" s="26"/>
      <c r="F37" s="26"/>
      <c r="G37" s="26"/>
      <c r="H37" s="26"/>
      <c r="I37" s="3"/>
      <c r="J37" s="26"/>
      <c r="K37" s="3"/>
      <c r="L37" s="26"/>
    </row>
    <row r="38" spans="1:12">
      <c r="A38" s="4"/>
      <c r="B38" s="26"/>
      <c r="C38" s="3"/>
      <c r="D38" s="26"/>
      <c r="E38" s="26"/>
      <c r="F38" s="26"/>
      <c r="G38" s="26"/>
      <c r="H38" s="26"/>
      <c r="I38" s="3"/>
      <c r="J38" s="26"/>
      <c r="K38" s="3"/>
      <c r="L38" s="26"/>
    </row>
    <row r="39" spans="1:12">
      <c r="A39" s="4"/>
      <c r="B39" s="26"/>
      <c r="C39" s="3"/>
      <c r="D39" s="26"/>
      <c r="E39" s="26"/>
      <c r="F39" s="26"/>
      <c r="G39" s="26"/>
      <c r="H39" s="26"/>
      <c r="I39" s="3"/>
      <c r="J39" s="26"/>
      <c r="K39" s="3"/>
      <c r="L39" s="26"/>
    </row>
    <row r="40" spans="1:12">
      <c r="A40" s="4"/>
      <c r="B40" s="26"/>
      <c r="C40" s="3"/>
      <c r="D40" s="26"/>
      <c r="E40" s="26"/>
      <c r="F40" s="26"/>
      <c r="G40" s="26"/>
      <c r="H40" s="26"/>
      <c r="I40" s="3"/>
      <c r="J40" s="26"/>
      <c r="K40" s="3"/>
      <c r="L40" s="26"/>
    </row>
    <row r="41" spans="1:12">
      <c r="A41" s="4"/>
      <c r="B41" s="26"/>
      <c r="C41" s="3"/>
      <c r="D41" s="26"/>
      <c r="E41" s="26"/>
      <c r="F41" s="26"/>
      <c r="G41" s="26"/>
      <c r="H41" s="26"/>
      <c r="I41" s="3"/>
      <c r="J41" s="26"/>
      <c r="K41" s="3"/>
      <c r="L41" s="26"/>
    </row>
    <row r="42" spans="1:12">
      <c r="A42" s="4"/>
      <c r="B42" s="26"/>
      <c r="C42" s="3"/>
      <c r="D42" s="26"/>
      <c r="E42" s="26"/>
      <c r="F42" s="26"/>
      <c r="G42" s="26"/>
      <c r="H42" s="26"/>
      <c r="I42" s="3"/>
      <c r="J42" s="26"/>
      <c r="K42" s="3"/>
      <c r="L42" s="26"/>
    </row>
    <row r="43" spans="1:12">
      <c r="A43" s="4"/>
      <c r="B43" s="26"/>
      <c r="C43" s="3"/>
      <c r="D43" s="26"/>
      <c r="E43" s="26"/>
      <c r="F43" s="26"/>
      <c r="G43" s="26"/>
      <c r="H43" s="26"/>
      <c r="I43" s="3"/>
      <c r="J43" s="26"/>
      <c r="K43" s="3"/>
      <c r="L43" s="26"/>
    </row>
    <row r="44" spans="1:12">
      <c r="A44" s="4"/>
      <c r="B44" s="26"/>
      <c r="C44" s="3"/>
      <c r="D44" s="26"/>
      <c r="E44" s="26"/>
      <c r="F44" s="26"/>
      <c r="G44" s="26"/>
      <c r="H44" s="26"/>
      <c r="I44" s="3"/>
      <c r="J44" s="26"/>
      <c r="K44" s="3"/>
      <c r="L44" s="26"/>
    </row>
    <row r="45" spans="1:12">
      <c r="A45" s="4"/>
      <c r="B45" s="26"/>
      <c r="C45" s="3"/>
      <c r="D45" s="26"/>
      <c r="E45" s="26"/>
      <c r="F45" s="26"/>
      <c r="G45" s="26"/>
      <c r="H45" s="26"/>
      <c r="I45" s="3"/>
      <c r="J45" s="26"/>
      <c r="K45" s="3"/>
      <c r="L45" s="26"/>
    </row>
    <row r="46" spans="1:12">
      <c r="A46" s="4"/>
      <c r="B46" s="26"/>
      <c r="C46" s="3"/>
      <c r="D46" s="26"/>
      <c r="E46" s="26"/>
      <c r="F46" s="26"/>
      <c r="G46" s="26"/>
      <c r="H46" s="26"/>
      <c r="I46" s="3"/>
      <c r="J46" s="26"/>
      <c r="K46" s="3"/>
      <c r="L46" s="26"/>
    </row>
    <row r="47" spans="1:12">
      <c r="A47" s="4"/>
      <c r="B47" s="26"/>
      <c r="C47" s="3"/>
      <c r="D47" s="26"/>
      <c r="E47" s="26"/>
      <c r="F47" s="26"/>
      <c r="G47" s="26"/>
      <c r="H47" s="26"/>
      <c r="I47" s="3"/>
      <c r="J47" s="26"/>
      <c r="K47" s="3"/>
      <c r="L47" s="26"/>
    </row>
    <row r="48" spans="1:12">
      <c r="A48" s="4"/>
      <c r="B48" s="26"/>
      <c r="C48" s="3"/>
      <c r="D48" s="26"/>
      <c r="E48" s="26"/>
      <c r="F48" s="26"/>
      <c r="G48" s="26"/>
      <c r="H48" s="26"/>
      <c r="I48" s="3"/>
      <c r="J48" s="26"/>
      <c r="K48" s="3"/>
      <c r="L48" s="26"/>
    </row>
    <row r="49" spans="1:12">
      <c r="A49" s="4"/>
      <c r="B49" s="26"/>
      <c r="C49" s="3"/>
      <c r="D49" s="26"/>
      <c r="E49" s="26"/>
      <c r="F49" s="26"/>
      <c r="G49" s="26"/>
      <c r="H49" s="26"/>
      <c r="I49" s="3"/>
      <c r="J49" s="26"/>
      <c r="K49" s="3"/>
      <c r="L49" s="26"/>
    </row>
    <row r="50" spans="1:12">
      <c r="A50" s="4"/>
      <c r="B50" s="26"/>
      <c r="C50" s="3"/>
      <c r="D50" s="26"/>
      <c r="E50" s="26"/>
      <c r="F50" s="26"/>
      <c r="G50" s="26"/>
      <c r="H50" s="26"/>
      <c r="I50" s="3"/>
      <c r="J50" s="26"/>
      <c r="K50" s="3"/>
      <c r="L50" s="26"/>
    </row>
    <row r="51" spans="1:12">
      <c r="A51" s="4"/>
      <c r="B51" s="26"/>
      <c r="C51" s="3"/>
      <c r="D51" s="26"/>
      <c r="E51" s="26"/>
      <c r="F51" s="26"/>
      <c r="G51" s="26"/>
      <c r="H51" s="26"/>
      <c r="I51" s="3"/>
      <c r="J51" s="26"/>
      <c r="K51" s="3"/>
      <c r="L51" s="26"/>
    </row>
    <row r="52" spans="1:12">
      <c r="A52" s="4"/>
      <c r="B52" s="26"/>
      <c r="C52" s="3"/>
      <c r="D52" s="26"/>
      <c r="E52" s="26"/>
      <c r="F52" s="26"/>
      <c r="G52" s="26"/>
      <c r="H52" s="26"/>
      <c r="I52" s="3"/>
      <c r="J52" s="26"/>
      <c r="K52" s="3"/>
      <c r="L52" s="26"/>
    </row>
    <row r="53" spans="1:12">
      <c r="A53" s="4"/>
      <c r="B53" s="26"/>
      <c r="C53" s="3"/>
      <c r="D53" s="26"/>
      <c r="E53" s="26"/>
      <c r="F53" s="26"/>
      <c r="G53" s="26"/>
      <c r="H53" s="26"/>
      <c r="I53" s="3"/>
      <c r="J53" s="26"/>
      <c r="K53" s="3"/>
      <c r="L53" s="26"/>
    </row>
    <row r="54" spans="1:12">
      <c r="A54" s="4"/>
      <c r="B54" s="26"/>
      <c r="C54" s="3"/>
      <c r="D54" s="26"/>
      <c r="E54" s="26"/>
      <c r="F54" s="26"/>
      <c r="G54" s="26"/>
      <c r="H54" s="26"/>
      <c r="I54" s="3"/>
      <c r="J54" s="26"/>
      <c r="K54" s="3"/>
      <c r="L54" s="26"/>
    </row>
    <row r="55" spans="1:12">
      <c r="A55" s="4"/>
      <c r="B55" s="26"/>
      <c r="C55" s="3"/>
      <c r="D55" s="26"/>
      <c r="E55" s="26"/>
      <c r="F55" s="26"/>
      <c r="G55" s="26"/>
      <c r="H55" s="26"/>
      <c r="I55" s="3"/>
      <c r="J55" s="26"/>
      <c r="K55" s="3"/>
      <c r="L55" s="26"/>
    </row>
    <row r="56" spans="1:12">
      <c r="A56" s="4"/>
      <c r="B56" s="26"/>
      <c r="C56" s="3"/>
      <c r="D56" s="26"/>
      <c r="E56" s="26"/>
      <c r="F56" s="26"/>
      <c r="G56" s="26"/>
      <c r="H56" s="26"/>
      <c r="I56" s="3"/>
      <c r="J56" s="26"/>
      <c r="K56" s="3"/>
      <c r="L56" s="26"/>
    </row>
    <row r="57" spans="1:12">
      <c r="A57" s="4"/>
      <c r="B57" s="26"/>
      <c r="C57" s="3"/>
      <c r="D57" s="26"/>
      <c r="E57" s="26"/>
      <c r="F57" s="26"/>
      <c r="G57" s="26"/>
      <c r="H57" s="26"/>
      <c r="I57" s="3"/>
      <c r="J57" s="26"/>
      <c r="K57" s="3"/>
      <c r="L57" s="26"/>
    </row>
    <row r="58" spans="1:12">
      <c r="A58" s="4"/>
      <c r="B58" s="26"/>
      <c r="C58" s="3"/>
      <c r="D58" s="26"/>
      <c r="E58" s="26"/>
      <c r="F58" s="26"/>
      <c r="G58" s="26"/>
      <c r="H58" s="26"/>
      <c r="I58" s="3"/>
      <c r="J58" s="26"/>
      <c r="K58" s="3"/>
      <c r="L58" s="26"/>
    </row>
    <row r="59" spans="1:12">
      <c r="A59" s="4"/>
      <c r="B59" s="26"/>
      <c r="C59" s="3"/>
      <c r="D59" s="26"/>
      <c r="E59" s="26"/>
      <c r="F59" s="26"/>
      <c r="G59" s="26"/>
      <c r="H59" s="26"/>
      <c r="I59" s="3"/>
      <c r="J59" s="26"/>
      <c r="K59" s="3"/>
      <c r="L59" s="26"/>
    </row>
    <row r="60" spans="1:12">
      <c r="A60" s="4"/>
      <c r="B60" s="26"/>
      <c r="C60" s="3"/>
      <c r="D60" s="26"/>
      <c r="E60" s="26"/>
      <c r="F60" s="26"/>
      <c r="G60" s="26"/>
      <c r="H60" s="26"/>
      <c r="I60" s="3"/>
      <c r="J60" s="26"/>
      <c r="K60" s="3"/>
      <c r="L60" s="26"/>
    </row>
    <row r="61" spans="1:12">
      <c r="A61" s="4"/>
      <c r="B61" s="26"/>
      <c r="C61" s="3"/>
      <c r="D61" s="26"/>
      <c r="E61" s="26"/>
      <c r="F61" s="26"/>
      <c r="G61" s="26"/>
      <c r="H61" s="26"/>
      <c r="I61" s="3"/>
      <c r="J61" s="26"/>
      <c r="K61" s="3"/>
      <c r="L61" s="26"/>
    </row>
    <row r="62" spans="1:12">
      <c r="A62" s="4"/>
      <c r="B62" s="26"/>
      <c r="C62" s="3"/>
      <c r="D62" s="26"/>
      <c r="E62" s="26"/>
      <c r="F62" s="26"/>
      <c r="G62" s="26"/>
      <c r="H62" s="26"/>
      <c r="I62" s="3"/>
      <c r="J62" s="26"/>
      <c r="K62" s="3"/>
      <c r="L62" s="26"/>
    </row>
    <row r="63" spans="1:12">
      <c r="A63" s="4"/>
      <c r="B63" s="26"/>
      <c r="C63" s="3"/>
      <c r="D63" s="26"/>
      <c r="E63" s="26"/>
      <c r="F63" s="26"/>
      <c r="G63" s="26"/>
      <c r="H63" s="26"/>
      <c r="I63" s="3"/>
      <c r="J63" s="26"/>
      <c r="K63" s="3"/>
      <c r="L63" s="26"/>
    </row>
    <row r="64" spans="1:12">
      <c r="A64" s="4"/>
      <c r="B64" s="26"/>
      <c r="C64" s="3"/>
      <c r="D64" s="26"/>
      <c r="E64" s="26"/>
      <c r="F64" s="26"/>
      <c r="G64" s="26"/>
      <c r="H64" s="26"/>
      <c r="I64" s="3"/>
      <c r="J64" s="26"/>
      <c r="K64" s="3"/>
      <c r="L64" s="26"/>
    </row>
    <row r="65" spans="1:12">
      <c r="A65" s="4"/>
      <c r="B65" s="26"/>
      <c r="C65" s="3"/>
      <c r="D65" s="26"/>
      <c r="E65" s="26"/>
      <c r="F65" s="26"/>
      <c r="G65" s="26"/>
      <c r="H65" s="26"/>
      <c r="I65" s="3"/>
      <c r="J65" s="26"/>
      <c r="K65" s="3"/>
      <c r="L65" s="26"/>
    </row>
    <row r="66" spans="1:12">
      <c r="A66" s="4"/>
      <c r="B66" s="26"/>
      <c r="C66" s="3"/>
      <c r="D66" s="26"/>
      <c r="E66" s="26"/>
      <c r="F66" s="26"/>
      <c r="G66" s="26"/>
      <c r="H66" s="26"/>
      <c r="I66" s="3"/>
      <c r="J66" s="26"/>
      <c r="K66" s="3"/>
      <c r="L66" s="26"/>
    </row>
    <row r="67" spans="1:12">
      <c r="A67" s="4"/>
      <c r="B67" s="26"/>
      <c r="C67" s="3"/>
      <c r="D67" s="26"/>
      <c r="E67" s="26"/>
      <c r="F67" s="26"/>
      <c r="G67" s="26"/>
      <c r="H67" s="26"/>
      <c r="I67" s="3"/>
      <c r="J67" s="26"/>
      <c r="K67" s="3"/>
      <c r="L67" s="26"/>
    </row>
    <row r="68" spans="1:12">
      <c r="A68" s="4"/>
      <c r="B68" s="26"/>
      <c r="C68" s="3"/>
      <c r="D68" s="26"/>
      <c r="E68" s="26"/>
      <c r="F68" s="26"/>
      <c r="G68" s="26"/>
      <c r="H68" s="26"/>
      <c r="I68" s="3"/>
      <c r="J68" s="26"/>
      <c r="K68" s="3"/>
      <c r="L68" s="26"/>
    </row>
    <row r="69" spans="1:12">
      <c r="A69" s="4"/>
      <c r="B69" s="26"/>
      <c r="C69" s="3"/>
      <c r="D69" s="26"/>
      <c r="E69" s="26"/>
      <c r="F69" s="26"/>
      <c r="G69" s="26"/>
      <c r="H69" s="26"/>
      <c r="I69" s="3"/>
      <c r="J69" s="26"/>
      <c r="K69" s="3"/>
      <c r="L69" s="26"/>
    </row>
    <row r="70" spans="1:12">
      <c r="A70" s="5"/>
      <c r="B70" s="63"/>
      <c r="C70" s="58"/>
      <c r="D70" s="63"/>
      <c r="E70" s="63"/>
      <c r="F70" s="63"/>
      <c r="G70" s="63"/>
      <c r="H70" s="63"/>
      <c r="I70" s="58"/>
      <c r="J70" s="63"/>
      <c r="K70" s="58"/>
      <c r="L70" s="63"/>
    </row>
    <row r="74" spans="1:12">
      <c r="A74" s="7" t="s">
        <v>16</v>
      </c>
      <c r="J74" s="7" t="s">
        <v>636</v>
      </c>
    </row>
    <row r="77" spans="1:12">
      <c r="A77" s="1449" t="s">
        <v>783</v>
      </c>
      <c r="B77" s="1449"/>
      <c r="C77" s="1449"/>
      <c r="F77" s="1449"/>
      <c r="G77" s="1449"/>
      <c r="J77" s="1449" t="s">
        <v>1438</v>
      </c>
      <c r="K77" s="1449"/>
      <c r="L77" s="1449"/>
    </row>
    <row r="78" spans="1:12">
      <c r="A78" s="1673" t="s">
        <v>237</v>
      </c>
      <c r="B78" s="1673"/>
      <c r="C78" s="1673"/>
      <c r="F78" s="1673"/>
      <c r="G78" s="1673"/>
      <c r="J78" s="1674" t="s">
        <v>14</v>
      </c>
      <c r="K78" s="1673"/>
      <c r="L78" s="1673"/>
    </row>
    <row r="93" spans="1:12" ht="20.100000000000001" customHeight="1">
      <c r="A93" s="1671" t="s">
        <v>966</v>
      </c>
      <c r="B93" s="1672"/>
      <c r="C93" s="1672"/>
      <c r="D93" s="1672"/>
      <c r="E93" s="1672"/>
      <c r="F93" s="1672"/>
      <c r="G93" s="1672"/>
      <c r="H93" s="1672"/>
      <c r="I93" s="1672"/>
      <c r="J93" s="1672"/>
      <c r="K93" s="1672"/>
      <c r="L93" s="1672"/>
    </row>
  </sheetData>
  <mergeCells count="13">
    <mergeCell ref="A93:L93"/>
    <mergeCell ref="A4:L4"/>
    <mergeCell ref="A5:L5"/>
    <mergeCell ref="F77:G77"/>
    <mergeCell ref="F78:G78"/>
    <mergeCell ref="J77:L77"/>
    <mergeCell ref="J78:L78"/>
    <mergeCell ref="A6:L6"/>
    <mergeCell ref="F10:H11"/>
    <mergeCell ref="I11:K11"/>
    <mergeCell ref="A78:C78"/>
    <mergeCell ref="A77:C77"/>
    <mergeCell ref="I10:K10"/>
  </mergeCells>
  <printOptions horizontalCentered="1"/>
  <pageMargins left="0.5" right="0" top="0.75" bottom="0" header="0" footer="0"/>
  <pageSetup paperSize="14"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opLeftCell="A93" workbookViewId="0">
      <selection activeCell="J114" sqref="J114"/>
    </sheetView>
  </sheetViews>
  <sheetFormatPr defaultRowHeight="12.75"/>
  <cols>
    <col min="1" max="2" width="3.5703125" style="27" customWidth="1"/>
    <col min="3" max="3" width="1.85546875" style="27" customWidth="1"/>
    <col min="4" max="4" width="15.7109375" customWidth="1"/>
    <col min="5" max="5" width="21.85546875" customWidth="1"/>
    <col min="6" max="7" width="5" customWidth="1"/>
    <col min="8" max="8" width="19.140625" customWidth="1"/>
    <col min="9" max="9" width="29.5703125" customWidth="1"/>
  </cols>
  <sheetData>
    <row r="1" spans="1:9">
      <c r="A1" s="92"/>
      <c r="B1" s="77"/>
      <c r="C1" s="77"/>
      <c r="D1" s="6"/>
      <c r="E1" s="6"/>
      <c r="F1" s="6"/>
      <c r="G1" s="6"/>
      <c r="H1" s="6"/>
      <c r="I1" s="51"/>
    </row>
    <row r="3" spans="1:9">
      <c r="A3" s="1687" t="s">
        <v>1727</v>
      </c>
      <c r="B3" s="1687"/>
      <c r="C3" s="1687"/>
      <c r="D3" s="1687"/>
      <c r="E3" s="1687"/>
      <c r="F3" s="1687"/>
      <c r="G3" s="1687"/>
      <c r="H3" s="1687"/>
      <c r="I3" s="1687"/>
    </row>
    <row r="4" spans="1:9">
      <c r="A4" s="1687" t="s">
        <v>351</v>
      </c>
      <c r="B4" s="1687"/>
      <c r="C4" s="1687"/>
      <c r="D4" s="1687"/>
      <c r="E4" s="1687"/>
      <c r="F4" s="1687"/>
      <c r="G4" s="1687"/>
      <c r="H4" s="1687"/>
      <c r="I4" s="1687"/>
    </row>
    <row r="5" spans="1:9" ht="13.5" thickBot="1"/>
    <row r="6" spans="1:9">
      <c r="A6" s="78"/>
      <c r="B6" s="84"/>
      <c r="C6" s="84"/>
      <c r="D6" s="73"/>
      <c r="E6" s="73"/>
      <c r="F6" s="73"/>
      <c r="G6" s="73"/>
      <c r="H6" s="73"/>
      <c r="I6" s="74"/>
    </row>
    <row r="7" spans="1:9">
      <c r="A7" s="1691" t="s">
        <v>626</v>
      </c>
      <c r="B7" s="1461"/>
      <c r="C7" s="1461"/>
      <c r="D7" s="1461"/>
      <c r="E7" s="1461"/>
      <c r="F7" s="1461"/>
      <c r="G7" s="1461"/>
      <c r="H7" s="1461"/>
      <c r="I7" s="75" t="s">
        <v>637</v>
      </c>
    </row>
    <row r="8" spans="1:9">
      <c r="A8" s="79"/>
      <c r="B8" s="85"/>
      <c r="C8" s="85"/>
      <c r="D8" s="61"/>
      <c r="E8" s="61"/>
      <c r="F8" s="61"/>
      <c r="G8" s="61"/>
      <c r="H8" s="61"/>
      <c r="I8" s="75"/>
    </row>
    <row r="9" spans="1:9" ht="13.5" thickBot="1">
      <c r="A9" s="1688"/>
      <c r="B9" s="1689"/>
      <c r="C9" s="1689"/>
      <c r="D9" s="1689"/>
      <c r="E9" s="1689"/>
      <c r="F9" s="1689"/>
      <c r="G9" s="1689"/>
      <c r="H9" s="1690"/>
      <c r="I9" s="76"/>
    </row>
    <row r="10" spans="1:9">
      <c r="A10" s="80"/>
      <c r="B10" s="86"/>
      <c r="C10" s="86"/>
      <c r="D10" s="3"/>
      <c r="E10" s="3"/>
      <c r="F10" s="3"/>
      <c r="G10" s="3"/>
      <c r="H10" s="3"/>
      <c r="I10" s="94"/>
    </row>
    <row r="11" spans="1:9">
      <c r="A11" s="83" t="s">
        <v>638</v>
      </c>
      <c r="B11" s="87" t="s">
        <v>639</v>
      </c>
      <c r="C11" s="87"/>
      <c r="D11" s="3"/>
      <c r="E11" s="3"/>
      <c r="F11" s="3"/>
      <c r="G11" s="3"/>
      <c r="H11" s="3"/>
      <c r="I11" s="94"/>
    </row>
    <row r="12" spans="1:9">
      <c r="A12" s="81"/>
      <c r="B12" s="89" t="s">
        <v>640</v>
      </c>
      <c r="C12" s="89"/>
      <c r="D12" s="18" t="s">
        <v>365</v>
      </c>
      <c r="E12" s="18"/>
      <c r="F12" s="18"/>
      <c r="G12" s="18"/>
      <c r="H12" s="18"/>
      <c r="I12" s="94">
        <f>'LBP NO. 1'!N117</f>
        <v>1294000</v>
      </c>
    </row>
    <row r="13" spans="1:9">
      <c r="A13" s="81"/>
      <c r="B13" s="89" t="s">
        <v>641</v>
      </c>
      <c r="C13" s="86"/>
      <c r="D13" s="18" t="s">
        <v>642</v>
      </c>
      <c r="E13" s="18"/>
      <c r="F13" s="18"/>
      <c r="G13" s="18"/>
      <c r="H13" s="18"/>
      <c r="I13" s="94">
        <f>'LBP NO. 1'!N116</f>
        <v>154800</v>
      </c>
    </row>
    <row r="14" spans="1:9">
      <c r="A14" s="81"/>
      <c r="B14" s="89" t="s">
        <v>643</v>
      </c>
      <c r="C14" s="86"/>
      <c r="D14" s="18" t="s">
        <v>536</v>
      </c>
      <c r="E14" s="18"/>
      <c r="F14" s="18"/>
      <c r="G14" s="18"/>
      <c r="H14" s="18"/>
      <c r="I14" s="94">
        <f>'LBP NO. 1'!N115</f>
        <v>1118000</v>
      </c>
    </row>
    <row r="15" spans="1:9">
      <c r="A15" s="81"/>
      <c r="B15" s="89" t="s">
        <v>644</v>
      </c>
      <c r="C15" s="86"/>
      <c r="D15" s="90" t="s">
        <v>535</v>
      </c>
      <c r="E15" s="90"/>
      <c r="F15" s="90"/>
      <c r="G15" s="90"/>
      <c r="H15" s="90"/>
      <c r="I15" s="94">
        <f>'LBP NO. 1'!N114</f>
        <v>232200</v>
      </c>
    </row>
    <row r="16" spans="1:9">
      <c r="A16" s="81"/>
      <c r="B16" s="89" t="s">
        <v>645</v>
      </c>
      <c r="C16" s="86"/>
      <c r="D16" s="90" t="s">
        <v>646</v>
      </c>
      <c r="E16" s="90"/>
      <c r="F16" s="90"/>
      <c r="G16" s="90"/>
      <c r="H16" s="90"/>
      <c r="I16" s="95">
        <f>'LBP NO. 1'!N113</f>
        <v>5947000</v>
      </c>
    </row>
    <row r="17" spans="1:12" ht="13.5" thickBot="1">
      <c r="A17" s="81"/>
      <c r="B17" s="89"/>
      <c r="C17" s="86"/>
      <c r="D17" s="90"/>
      <c r="E17" s="90"/>
      <c r="F17" s="90"/>
      <c r="G17" s="90"/>
      <c r="H17" s="96" t="s">
        <v>155</v>
      </c>
      <c r="I17" s="98">
        <f>SUM(I12:I16)</f>
        <v>8746000</v>
      </c>
    </row>
    <row r="18" spans="1:12">
      <c r="A18" s="81"/>
      <c r="B18" s="89"/>
      <c r="C18" s="86"/>
      <c r="D18" s="90"/>
      <c r="E18" s="90"/>
      <c r="F18" s="90"/>
      <c r="G18" s="90"/>
      <c r="H18" s="90"/>
      <c r="I18" s="94"/>
    </row>
    <row r="19" spans="1:12">
      <c r="A19" s="81"/>
      <c r="B19" s="86"/>
      <c r="C19" s="86"/>
      <c r="D19" s="3"/>
      <c r="E19" s="3"/>
      <c r="F19" s="3"/>
      <c r="G19" s="3"/>
      <c r="H19" s="3"/>
      <c r="I19" s="94"/>
    </row>
    <row r="20" spans="1:12">
      <c r="A20" s="83" t="s">
        <v>290</v>
      </c>
      <c r="B20" s="87" t="s">
        <v>647</v>
      </c>
      <c r="C20" s="86"/>
      <c r="D20" s="3"/>
      <c r="E20" s="3"/>
      <c r="F20" s="3"/>
      <c r="G20" s="3"/>
      <c r="H20" s="3"/>
      <c r="I20" s="94"/>
    </row>
    <row r="21" spans="1:12">
      <c r="A21" s="81"/>
      <c r="B21" s="89" t="s">
        <v>648</v>
      </c>
      <c r="C21" s="86"/>
      <c r="D21" s="91" t="s">
        <v>651</v>
      </c>
      <c r="E21" s="91"/>
      <c r="F21" s="91"/>
      <c r="G21" s="91"/>
      <c r="H21" s="91"/>
      <c r="I21" s="94">
        <f>'LBP NO. 2a'!K102</f>
        <v>37503890.200000003</v>
      </c>
    </row>
    <row r="22" spans="1:12">
      <c r="A22" s="81"/>
      <c r="B22" s="89" t="s">
        <v>649</v>
      </c>
      <c r="C22" s="86"/>
      <c r="D22" s="90" t="s">
        <v>826</v>
      </c>
      <c r="E22" s="91"/>
      <c r="F22" s="91"/>
      <c r="G22" s="91"/>
      <c r="H22" s="91"/>
      <c r="I22" s="94">
        <f>'LBP NO. 2a'!K103</f>
        <v>10156472.550000001</v>
      </c>
    </row>
    <row r="23" spans="1:12">
      <c r="A23" s="81"/>
      <c r="B23" s="89" t="s">
        <v>650</v>
      </c>
      <c r="C23" s="86"/>
      <c r="D23" s="90" t="s">
        <v>652</v>
      </c>
      <c r="E23" s="90"/>
      <c r="F23" s="90"/>
      <c r="G23" s="90"/>
      <c r="H23" s="90"/>
      <c r="I23" s="94">
        <f>'LBP NO. 2a'!K104</f>
        <v>21000</v>
      </c>
    </row>
    <row r="24" spans="1:12">
      <c r="A24" s="81"/>
      <c r="B24" s="89" t="s">
        <v>825</v>
      </c>
      <c r="C24" s="86"/>
      <c r="D24" s="90" t="s">
        <v>549</v>
      </c>
      <c r="E24" s="90"/>
      <c r="F24" s="90"/>
      <c r="G24" s="90"/>
      <c r="H24" s="90"/>
      <c r="I24" s="94">
        <f>'LBP NO. 2'!M54</f>
        <v>82601</v>
      </c>
    </row>
    <row r="25" spans="1:12" ht="13.5" thickBot="1">
      <c r="A25" s="81"/>
      <c r="B25" s="89"/>
      <c r="C25" s="86"/>
      <c r="D25" s="90"/>
      <c r="E25" s="90"/>
      <c r="F25" s="90"/>
      <c r="G25" s="90"/>
      <c r="H25" s="96" t="s">
        <v>155</v>
      </c>
      <c r="I25" s="98">
        <f>SUM(I21:I24)</f>
        <v>47763963.75</v>
      </c>
    </row>
    <row r="26" spans="1:12">
      <c r="A26" s="81"/>
      <c r="B26" s="89"/>
      <c r="C26" s="86"/>
      <c r="D26" s="90"/>
      <c r="E26" s="90"/>
      <c r="F26" s="90"/>
      <c r="G26" s="90"/>
      <c r="H26" s="90"/>
      <c r="I26" s="94"/>
    </row>
    <row r="27" spans="1:12">
      <c r="A27" s="81"/>
      <c r="B27" s="89"/>
      <c r="C27" s="86"/>
      <c r="D27" s="90"/>
      <c r="E27" s="90"/>
      <c r="F27" s="90"/>
      <c r="G27" s="90"/>
      <c r="H27" s="90"/>
      <c r="I27" s="94"/>
    </row>
    <row r="28" spans="1:12">
      <c r="A28" s="81"/>
      <c r="B28" s="89"/>
      <c r="C28" s="86"/>
      <c r="D28" s="90"/>
      <c r="E28" s="90"/>
      <c r="F28" s="90"/>
      <c r="G28" s="90"/>
      <c r="H28" s="90"/>
      <c r="I28" s="95"/>
    </row>
    <row r="29" spans="1:12" ht="13.5" thickBot="1">
      <c r="A29" s="81"/>
      <c r="B29" s="89"/>
      <c r="C29" s="86"/>
      <c r="D29" s="90"/>
      <c r="E29" s="90"/>
      <c r="F29" s="90"/>
      <c r="G29" s="90"/>
      <c r="H29" s="96" t="s">
        <v>15</v>
      </c>
      <c r="I29" s="99">
        <f>I25+I17</f>
        <v>56509963.75</v>
      </c>
      <c r="L29" s="29"/>
    </row>
    <row r="30" spans="1:12" ht="13.5" thickTop="1">
      <c r="A30" s="82"/>
      <c r="B30" s="88"/>
      <c r="C30" s="88"/>
      <c r="D30" s="58"/>
      <c r="E30" s="58"/>
      <c r="F30" s="58"/>
      <c r="G30" s="58"/>
      <c r="H30" s="58"/>
      <c r="I30" s="95"/>
    </row>
    <row r="32" spans="1:12">
      <c r="A32" s="92" t="s">
        <v>16</v>
      </c>
    </row>
    <row r="35" spans="1:9" s="7" customFormat="1">
      <c r="A35" s="1687" t="s">
        <v>17</v>
      </c>
      <c r="B35" s="1687"/>
      <c r="C35" s="1687"/>
      <c r="D35" s="1687"/>
      <c r="E35" s="9"/>
      <c r="F35" s="2" t="s">
        <v>87</v>
      </c>
      <c r="G35" s="2"/>
      <c r="H35"/>
      <c r="I35" s="2" t="s">
        <v>249</v>
      </c>
    </row>
    <row r="36" spans="1:9">
      <c r="A36" s="1692" t="s">
        <v>18</v>
      </c>
      <c r="B36" s="1692"/>
      <c r="C36" s="1692"/>
      <c r="D36" s="1692"/>
      <c r="E36" s="8"/>
      <c r="F36" s="258" t="s">
        <v>971</v>
      </c>
      <c r="G36" s="47"/>
      <c r="I36" s="47" t="s">
        <v>13</v>
      </c>
    </row>
    <row r="39" spans="1:9">
      <c r="A39" s="92" t="s">
        <v>253</v>
      </c>
    </row>
    <row r="40" spans="1:9">
      <c r="A40" s="77"/>
    </row>
    <row r="42" spans="1:9">
      <c r="A42" s="1687" t="s">
        <v>1438</v>
      </c>
      <c r="B42" s="1687"/>
      <c r="C42" s="1687"/>
      <c r="D42" s="1687"/>
      <c r="E42" s="1687"/>
    </row>
    <row r="43" spans="1:9">
      <c r="A43" s="1695" t="s">
        <v>14</v>
      </c>
      <c r="B43" s="1692"/>
      <c r="C43" s="1692"/>
      <c r="D43" s="1692"/>
      <c r="E43" s="1692"/>
    </row>
    <row r="44" spans="1:9">
      <c r="A44" s="107"/>
      <c r="B44" s="107"/>
      <c r="C44" s="107"/>
      <c r="D44" s="107"/>
      <c r="E44" s="107"/>
    </row>
    <row r="45" spans="1:9">
      <c r="A45" s="107"/>
      <c r="B45" s="107"/>
      <c r="C45" s="107"/>
      <c r="D45" s="107"/>
      <c r="E45" s="107"/>
    </row>
    <row r="46" spans="1:9">
      <c r="A46" s="259"/>
      <c r="B46" s="259"/>
      <c r="C46" s="259"/>
      <c r="D46" s="259"/>
      <c r="E46" s="259"/>
    </row>
    <row r="47" spans="1:9">
      <c r="A47" s="259"/>
      <c r="B47" s="259"/>
      <c r="C47" s="259"/>
      <c r="D47" s="259"/>
      <c r="E47" s="259"/>
    </row>
    <row r="48" spans="1:9">
      <c r="A48" s="259"/>
      <c r="B48" s="259"/>
      <c r="C48" s="259"/>
      <c r="D48" s="259"/>
      <c r="E48" s="259"/>
    </row>
    <row r="49" spans="1:5">
      <c r="A49" s="259"/>
      <c r="B49" s="259"/>
      <c r="C49" s="259"/>
      <c r="D49" s="259"/>
      <c r="E49" s="259"/>
    </row>
    <row r="50" spans="1:5">
      <c r="A50" s="259"/>
      <c r="B50" s="259"/>
      <c r="C50" s="259"/>
      <c r="D50" s="259"/>
      <c r="E50" s="259"/>
    </row>
    <row r="51" spans="1:5">
      <c r="A51" s="259"/>
      <c r="B51" s="259"/>
      <c r="C51" s="259"/>
      <c r="D51" s="259"/>
      <c r="E51" s="259"/>
    </row>
    <row r="52" spans="1:5">
      <c r="A52" s="259"/>
      <c r="B52" s="259"/>
      <c r="C52" s="259"/>
      <c r="D52" s="259"/>
      <c r="E52" s="259"/>
    </row>
    <row r="53" spans="1:5">
      <c r="A53" s="259"/>
      <c r="B53" s="259"/>
      <c r="C53" s="259"/>
      <c r="D53" s="259"/>
      <c r="E53" s="259"/>
    </row>
    <row r="54" spans="1:5">
      <c r="A54" s="259"/>
      <c r="B54" s="259"/>
      <c r="C54" s="259"/>
      <c r="D54" s="259"/>
      <c r="E54" s="259"/>
    </row>
    <row r="55" spans="1:5">
      <c r="A55" s="259"/>
      <c r="B55" s="259"/>
      <c r="C55" s="259"/>
      <c r="D55" s="259"/>
      <c r="E55" s="259"/>
    </row>
    <row r="56" spans="1:5">
      <c r="A56" s="259"/>
      <c r="B56" s="259"/>
      <c r="C56" s="259"/>
      <c r="D56" s="259"/>
      <c r="E56" s="259"/>
    </row>
    <row r="57" spans="1:5">
      <c r="A57" s="259"/>
      <c r="B57" s="259"/>
      <c r="C57" s="259"/>
      <c r="D57" s="259"/>
      <c r="E57" s="259"/>
    </row>
    <row r="58" spans="1:5">
      <c r="A58" s="259"/>
      <c r="B58" s="259"/>
      <c r="C58" s="259"/>
      <c r="D58" s="259"/>
      <c r="E58" s="259"/>
    </row>
    <row r="59" spans="1:5">
      <c r="A59" s="259"/>
      <c r="B59" s="259"/>
      <c r="C59" s="259"/>
      <c r="D59" s="259"/>
      <c r="E59" s="259"/>
    </row>
    <row r="60" spans="1:5">
      <c r="A60" s="259"/>
      <c r="B60" s="259"/>
      <c r="C60" s="259"/>
      <c r="D60" s="259"/>
      <c r="E60" s="259"/>
    </row>
    <row r="61" spans="1:5">
      <c r="A61" s="107"/>
      <c r="B61" s="107"/>
      <c r="C61" s="107"/>
      <c r="D61" s="107"/>
      <c r="E61" s="107"/>
    </row>
    <row r="62" spans="1:5">
      <c r="A62" s="107"/>
      <c r="B62" s="107"/>
      <c r="C62" s="107"/>
      <c r="D62" s="107"/>
      <c r="E62" s="107"/>
    </row>
    <row r="63" spans="1:5">
      <c r="A63" s="107"/>
      <c r="B63" s="107"/>
      <c r="C63" s="107"/>
      <c r="D63" s="107"/>
      <c r="E63" s="107"/>
    </row>
    <row r="64" spans="1:5">
      <c r="A64" s="107"/>
      <c r="B64" s="107"/>
      <c r="C64" s="107"/>
      <c r="D64" s="107"/>
      <c r="E64" s="107"/>
    </row>
    <row r="65" spans="1:9">
      <c r="A65" s="107"/>
      <c r="B65" s="107"/>
      <c r="C65" s="107"/>
      <c r="D65" s="107"/>
      <c r="E65" s="107"/>
    </row>
    <row r="66" spans="1:9">
      <c r="A66" s="107"/>
      <c r="B66" s="107"/>
      <c r="C66" s="107"/>
      <c r="D66" s="107"/>
      <c r="E66" s="107"/>
    </row>
    <row r="67" spans="1:9">
      <c r="A67" s="107"/>
      <c r="B67" s="107"/>
      <c r="C67" s="107"/>
      <c r="D67" s="107"/>
      <c r="E67" s="107"/>
    </row>
    <row r="68" spans="1:9">
      <c r="A68" s="107"/>
      <c r="B68" s="107"/>
      <c r="C68" s="107"/>
      <c r="D68" s="107"/>
      <c r="E68" s="107"/>
    </row>
    <row r="69" spans="1:9" ht="20.100000000000001" customHeight="1">
      <c r="A69" s="1693" t="s">
        <v>967</v>
      </c>
      <c r="B69" s="1694"/>
      <c r="C69" s="1694"/>
      <c r="D69" s="1694"/>
      <c r="E69" s="1694"/>
      <c r="F69" s="1694"/>
      <c r="G69" s="1694"/>
      <c r="H69" s="1694"/>
      <c r="I69" s="1694"/>
    </row>
    <row r="70" spans="1:9">
      <c r="A70" s="92"/>
      <c r="B70" s="77"/>
      <c r="C70" s="77"/>
      <c r="D70" s="6"/>
      <c r="E70" s="6"/>
      <c r="F70" s="6"/>
      <c r="G70" s="6"/>
      <c r="H70" s="6"/>
      <c r="I70" s="51"/>
    </row>
    <row r="72" spans="1:9">
      <c r="A72" s="1687" t="s">
        <v>1727</v>
      </c>
      <c r="B72" s="1687"/>
      <c r="C72" s="1687"/>
      <c r="D72" s="1687"/>
      <c r="E72" s="1687"/>
      <c r="F72" s="1687"/>
      <c r="G72" s="1687"/>
      <c r="H72" s="1687"/>
      <c r="I72" s="1687"/>
    </row>
    <row r="73" spans="1:9">
      <c r="A73" s="1687" t="s">
        <v>351</v>
      </c>
      <c r="B73" s="1687"/>
      <c r="C73" s="1687"/>
      <c r="D73" s="1687"/>
      <c r="E73" s="1687"/>
      <c r="F73" s="1687"/>
      <c r="G73" s="1687"/>
      <c r="H73" s="1687"/>
      <c r="I73" s="1687"/>
    </row>
    <row r="74" spans="1:9">
      <c r="A74" s="93"/>
      <c r="B74" s="93"/>
      <c r="C74" s="93"/>
      <c r="D74" s="93"/>
      <c r="E74" s="93"/>
      <c r="F74" s="93"/>
      <c r="G74" s="93"/>
      <c r="H74" s="93"/>
      <c r="I74" s="93"/>
    </row>
    <row r="75" spans="1:9">
      <c r="A75" s="1687" t="s">
        <v>10</v>
      </c>
      <c r="B75" s="1687"/>
      <c r="C75" s="1687"/>
      <c r="D75" s="1687"/>
      <c r="E75" s="1687"/>
      <c r="F75" s="1687"/>
      <c r="G75" s="1687"/>
      <c r="H75" s="1687"/>
      <c r="I75" s="1687"/>
    </row>
    <row r="76" spans="1:9" ht="13.5" thickBot="1"/>
    <row r="77" spans="1:9">
      <c r="A77" s="78"/>
      <c r="B77" s="84"/>
      <c r="C77" s="84"/>
      <c r="D77" s="73"/>
      <c r="E77" s="73"/>
      <c r="F77" s="73"/>
      <c r="G77" s="73"/>
      <c r="H77" s="73"/>
      <c r="I77" s="74"/>
    </row>
    <row r="78" spans="1:9">
      <c r="A78" s="1691" t="s">
        <v>626</v>
      </c>
      <c r="B78" s="1461"/>
      <c r="C78" s="1461"/>
      <c r="D78" s="1461"/>
      <c r="E78" s="1461"/>
      <c r="F78" s="1461"/>
      <c r="G78" s="1461"/>
      <c r="H78" s="1461"/>
      <c r="I78" s="75" t="s">
        <v>637</v>
      </c>
    </row>
    <row r="79" spans="1:9">
      <c r="A79" s="79"/>
      <c r="B79" s="85"/>
      <c r="C79" s="85"/>
      <c r="D79" s="61"/>
      <c r="E79" s="61"/>
      <c r="F79" s="61"/>
      <c r="G79" s="61"/>
      <c r="H79" s="61"/>
      <c r="I79" s="75"/>
    </row>
    <row r="80" spans="1:9" ht="13.5" thickBot="1">
      <c r="A80" s="1688"/>
      <c r="B80" s="1689"/>
      <c r="C80" s="1689"/>
      <c r="D80" s="1689"/>
      <c r="E80" s="1689"/>
      <c r="F80" s="1689"/>
      <c r="G80" s="1689"/>
      <c r="H80" s="1690"/>
      <c r="I80" s="76"/>
    </row>
    <row r="81" spans="1:9">
      <c r="A81" s="80"/>
      <c r="B81" s="86"/>
      <c r="C81" s="86"/>
      <c r="D81" s="3"/>
      <c r="E81" s="3"/>
      <c r="F81" s="3"/>
      <c r="G81" s="3"/>
      <c r="H81" s="3"/>
      <c r="I81" s="94"/>
    </row>
    <row r="82" spans="1:9">
      <c r="A82" s="83" t="s">
        <v>638</v>
      </c>
      <c r="B82" s="87" t="s">
        <v>639</v>
      </c>
      <c r="C82" s="87"/>
      <c r="D82" s="3"/>
      <c r="E82" s="3"/>
      <c r="F82" s="3"/>
      <c r="G82" s="3"/>
      <c r="H82" s="3"/>
      <c r="I82" s="94"/>
    </row>
    <row r="83" spans="1:9">
      <c r="A83" s="81"/>
      <c r="B83" s="89" t="s">
        <v>640</v>
      </c>
      <c r="C83" s="89"/>
      <c r="D83" s="18" t="s">
        <v>365</v>
      </c>
      <c r="E83" s="18"/>
      <c r="F83" s="18"/>
      <c r="G83" s="18"/>
      <c r="H83" s="18"/>
      <c r="I83" s="94">
        <f>'LBP NO. 2'!M1002</f>
        <v>77000</v>
      </c>
    </row>
    <row r="84" spans="1:9">
      <c r="A84" s="81"/>
      <c r="B84" s="89" t="s">
        <v>641</v>
      </c>
      <c r="C84" s="86"/>
      <c r="D84" s="18" t="s">
        <v>642</v>
      </c>
      <c r="E84" s="18"/>
      <c r="F84" s="18"/>
      <c r="G84" s="18"/>
      <c r="H84" s="18"/>
      <c r="I84" s="94">
        <f>'LBP NO. 2'!M1001</f>
        <v>28800</v>
      </c>
    </row>
    <row r="85" spans="1:9">
      <c r="A85" s="81"/>
      <c r="B85" s="89" t="s">
        <v>643</v>
      </c>
      <c r="C85" s="86"/>
      <c r="D85" s="18" t="s">
        <v>536</v>
      </c>
      <c r="E85" s="18"/>
      <c r="F85" s="18"/>
      <c r="G85" s="18"/>
      <c r="H85" s="18"/>
      <c r="I85" s="94">
        <f>'LBP NO. 2'!M1000</f>
        <v>92000</v>
      </c>
    </row>
    <row r="86" spans="1:9">
      <c r="A86" s="81"/>
      <c r="B86" s="89" t="s">
        <v>644</v>
      </c>
      <c r="C86" s="86"/>
      <c r="D86" s="90" t="s">
        <v>535</v>
      </c>
      <c r="E86" s="90"/>
      <c r="F86" s="90"/>
      <c r="G86" s="90"/>
      <c r="H86" s="90"/>
      <c r="I86" s="94">
        <f>'LBP NO. 2'!M999</f>
        <v>43200</v>
      </c>
    </row>
    <row r="87" spans="1:9">
      <c r="A87" s="81"/>
      <c r="B87" s="89" t="s">
        <v>645</v>
      </c>
      <c r="C87" s="86"/>
      <c r="D87" s="90" t="s">
        <v>646</v>
      </c>
      <c r="E87" s="90"/>
      <c r="F87" s="90"/>
      <c r="G87" s="90"/>
      <c r="H87" s="90"/>
      <c r="I87" s="95">
        <f>'LBP NO. 2'!M998</f>
        <v>491000</v>
      </c>
    </row>
    <row r="88" spans="1:9">
      <c r="A88" s="81"/>
      <c r="B88" s="89"/>
      <c r="C88" s="86"/>
      <c r="D88" s="90"/>
      <c r="E88" s="90"/>
      <c r="F88" s="90"/>
      <c r="G88" s="90"/>
      <c r="H88" s="96" t="s">
        <v>155</v>
      </c>
      <c r="I88" s="97">
        <f>SUM(I83:I87)</f>
        <v>732000</v>
      </c>
    </row>
    <row r="89" spans="1:9">
      <c r="A89" s="81"/>
      <c r="B89" s="89"/>
      <c r="C89" s="86"/>
      <c r="D89" s="90"/>
      <c r="E89" s="90"/>
      <c r="F89" s="90"/>
      <c r="G89" s="90"/>
      <c r="H89" s="90"/>
      <c r="I89" s="94"/>
    </row>
    <row r="90" spans="1:9">
      <c r="A90" s="83" t="s">
        <v>290</v>
      </c>
      <c r="B90" s="87" t="s">
        <v>647</v>
      </c>
      <c r="C90" s="86"/>
      <c r="D90" s="3"/>
      <c r="E90" s="3"/>
      <c r="F90" s="3"/>
      <c r="G90" s="3"/>
      <c r="H90" s="3"/>
      <c r="I90" s="94"/>
    </row>
    <row r="91" spans="1:9">
      <c r="A91" s="81"/>
      <c r="B91" s="89" t="s">
        <v>648</v>
      </c>
      <c r="C91" s="86"/>
      <c r="D91" s="90" t="s">
        <v>826</v>
      </c>
      <c r="E91" s="91"/>
      <c r="F91" s="91"/>
      <c r="G91" s="91"/>
      <c r="H91" s="91"/>
      <c r="I91" s="95">
        <v>0</v>
      </c>
    </row>
    <row r="92" spans="1:9">
      <c r="A92" s="81"/>
      <c r="B92" s="89"/>
      <c r="C92" s="86"/>
      <c r="D92" s="90"/>
      <c r="E92" s="91"/>
      <c r="F92" s="91"/>
      <c r="G92" s="91"/>
      <c r="H92" s="96" t="s">
        <v>155</v>
      </c>
      <c r="I92" s="97">
        <f>I91</f>
        <v>0</v>
      </c>
    </row>
    <row r="93" spans="1:9">
      <c r="A93" s="81"/>
      <c r="B93" s="89"/>
      <c r="C93" s="86"/>
      <c r="D93" s="90"/>
      <c r="E93" s="91"/>
      <c r="F93" s="91"/>
      <c r="G93" s="91"/>
      <c r="H93" s="91"/>
      <c r="I93" s="94"/>
    </row>
    <row r="94" spans="1:9">
      <c r="A94" s="81"/>
      <c r="B94" s="89"/>
      <c r="C94" s="86"/>
      <c r="D94" s="90"/>
      <c r="E94" s="91"/>
      <c r="F94" s="91"/>
      <c r="G94" s="91"/>
      <c r="H94" s="91"/>
      <c r="I94" s="94"/>
    </row>
    <row r="95" spans="1:9" ht="13.5" thickBot="1">
      <c r="A95" s="81"/>
      <c r="B95" s="89"/>
      <c r="C95" s="86"/>
      <c r="D95" s="90"/>
      <c r="E95" s="91"/>
      <c r="F95" s="91"/>
      <c r="G95" s="91"/>
      <c r="H95" s="96" t="s">
        <v>15</v>
      </c>
      <c r="I95" s="99">
        <f>I92+I88</f>
        <v>732000</v>
      </c>
    </row>
    <row r="96" spans="1:9" ht="13.5" thickTop="1">
      <c r="A96" s="82"/>
      <c r="B96" s="88"/>
      <c r="C96" s="88"/>
      <c r="D96" s="58"/>
      <c r="E96" s="58"/>
      <c r="F96" s="58"/>
      <c r="G96" s="58"/>
      <c r="H96" s="58"/>
      <c r="I96" s="95"/>
    </row>
    <row r="98" spans="1:9">
      <c r="A98" s="92" t="s">
        <v>16</v>
      </c>
    </row>
    <row r="101" spans="1:9">
      <c r="A101" s="1687" t="s">
        <v>17</v>
      </c>
      <c r="B101" s="1687"/>
      <c r="C101" s="1687"/>
      <c r="D101" s="1687"/>
      <c r="E101" s="9"/>
      <c r="F101" s="2" t="s">
        <v>87</v>
      </c>
      <c r="G101" s="2"/>
      <c r="I101" s="2" t="s">
        <v>249</v>
      </c>
    </row>
    <row r="102" spans="1:9">
      <c r="A102" s="1692" t="s">
        <v>18</v>
      </c>
      <c r="B102" s="1692"/>
      <c r="C102" s="1692"/>
      <c r="D102" s="1692"/>
      <c r="E102" s="8"/>
      <c r="F102" s="258" t="s">
        <v>971</v>
      </c>
      <c r="G102" s="47"/>
      <c r="I102" s="47" t="s">
        <v>13</v>
      </c>
    </row>
    <row r="105" spans="1:9">
      <c r="A105" s="92" t="s">
        <v>253</v>
      </c>
    </row>
    <row r="106" spans="1:9">
      <c r="A106" s="77"/>
    </row>
    <row r="108" spans="1:9">
      <c r="A108" s="1687" t="s">
        <v>1438</v>
      </c>
      <c r="B108" s="1687"/>
      <c r="C108" s="1687"/>
      <c r="D108" s="1687"/>
      <c r="E108" s="1687"/>
    </row>
    <row r="109" spans="1:9">
      <c r="A109" s="1695" t="s">
        <v>14</v>
      </c>
      <c r="B109" s="1692"/>
      <c r="C109" s="1692"/>
      <c r="D109" s="1692"/>
      <c r="E109" s="1692"/>
    </row>
    <row r="139" spans="1:9" ht="20.100000000000001" customHeight="1">
      <c r="A139" s="1693" t="s">
        <v>974</v>
      </c>
      <c r="B139" s="1694"/>
      <c r="C139" s="1694"/>
      <c r="D139" s="1694"/>
      <c r="E139" s="1694"/>
      <c r="F139" s="1694"/>
      <c r="G139" s="1694"/>
      <c r="H139" s="1694"/>
      <c r="I139" s="1694"/>
    </row>
    <row r="155" spans="1:9" ht="20.25">
      <c r="A155" s="1696"/>
      <c r="B155" s="1696"/>
      <c r="C155" s="1696"/>
      <c r="D155" s="1696"/>
      <c r="E155" s="1696"/>
      <c r="F155" s="1696"/>
      <c r="G155" s="1696"/>
      <c r="H155" s="1696"/>
      <c r="I155" s="1696"/>
    </row>
  </sheetData>
  <mergeCells count="20">
    <mergeCell ref="A80:H80"/>
    <mergeCell ref="A101:D101"/>
    <mergeCell ref="A75:I75"/>
    <mergeCell ref="A139:I139"/>
    <mergeCell ref="A155:I155"/>
    <mergeCell ref="A102:D102"/>
    <mergeCell ref="A78:H78"/>
    <mergeCell ref="A108:E108"/>
    <mergeCell ref="A109:E109"/>
    <mergeCell ref="A3:I3"/>
    <mergeCell ref="A4:I4"/>
    <mergeCell ref="A9:H9"/>
    <mergeCell ref="A72:I72"/>
    <mergeCell ref="A73:I73"/>
    <mergeCell ref="A7:H7"/>
    <mergeCell ref="A35:D35"/>
    <mergeCell ref="A36:D36"/>
    <mergeCell ref="A69:I69"/>
    <mergeCell ref="A42:E42"/>
    <mergeCell ref="A43:E43"/>
  </mergeCells>
  <printOptions horizontalCentered="1"/>
  <pageMargins left="0.5" right="0" top="1.5" bottom="0" header="0" footer="0"/>
  <pageSetup paperSize="256"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158"/>
  <sheetViews>
    <sheetView topLeftCell="A4" workbookViewId="0">
      <selection activeCell="L29" sqref="L29"/>
    </sheetView>
  </sheetViews>
  <sheetFormatPr defaultColWidth="12.140625" defaultRowHeight="15.75"/>
  <cols>
    <col min="1" max="1" width="45.7109375" style="1125" customWidth="1"/>
    <col min="2" max="2" width="16.7109375" style="1125" customWidth="1"/>
    <col min="3" max="3" width="14.7109375" style="1125" customWidth="1"/>
    <col min="4" max="6" width="13.85546875" style="1125" hidden="1" customWidth="1"/>
    <col min="7" max="7" width="13.5703125" style="1125" customWidth="1"/>
    <col min="8" max="9" width="13.85546875" style="1125" hidden="1" customWidth="1"/>
    <col min="10" max="10" width="14.140625" style="1125" customWidth="1"/>
    <col min="11" max="11" width="12.5703125" style="1125" customWidth="1"/>
    <col min="12" max="12" width="15.42578125" style="1125" customWidth="1"/>
    <col min="13" max="13" width="16.140625" style="1125" customWidth="1"/>
    <col min="14" max="14" width="45" style="1125" customWidth="1"/>
    <col min="15" max="15" width="18.28515625" style="1125" customWidth="1"/>
    <col min="16" max="16" width="10.42578125" style="1125" customWidth="1"/>
    <col min="17" max="17" width="7.5703125" style="1125" customWidth="1"/>
    <col min="18" max="18" width="29.5703125" style="1125" customWidth="1"/>
    <col min="19" max="19" width="4.85546875" style="1125" customWidth="1"/>
    <col min="20" max="16384" width="12.140625" style="1125"/>
  </cols>
  <sheetData>
    <row r="1" spans="1:20">
      <c r="A1" s="1701" t="s">
        <v>1778</v>
      </c>
      <c r="B1" s="1701"/>
      <c r="C1" s="1701"/>
      <c r="D1" s="1701"/>
      <c r="E1" s="1701"/>
      <c r="F1" s="1701"/>
      <c r="G1" s="1701"/>
      <c r="H1" s="1701"/>
      <c r="I1" s="1701"/>
      <c r="J1" s="1701"/>
      <c r="K1" s="1701"/>
      <c r="L1" s="1701"/>
    </row>
    <row r="2" spans="1:20">
      <c r="A2" s="1701" t="s">
        <v>351</v>
      </c>
      <c r="B2" s="1701"/>
      <c r="C2" s="1701"/>
      <c r="D2" s="1701"/>
      <c r="E2" s="1701"/>
      <c r="F2" s="1701"/>
      <c r="G2" s="1701"/>
      <c r="H2" s="1701"/>
      <c r="I2" s="1701"/>
      <c r="J2" s="1701"/>
      <c r="K2" s="1701"/>
      <c r="L2" s="1701"/>
    </row>
    <row r="3" spans="1:20">
      <c r="A3" s="1126"/>
      <c r="B3" s="1126"/>
      <c r="C3" s="1126"/>
      <c r="D3" s="1126"/>
      <c r="E3" s="1126"/>
    </row>
    <row r="4" spans="1:20" ht="16.5" thickBot="1">
      <c r="A4" s="1700"/>
      <c r="B4" s="1700"/>
      <c r="C4" s="1700"/>
      <c r="D4" s="1700"/>
      <c r="E4" s="1700"/>
    </row>
    <row r="5" spans="1:20" ht="47.25">
      <c r="A5" s="1127" t="s">
        <v>3</v>
      </c>
      <c r="B5" s="1128" t="s">
        <v>612</v>
      </c>
      <c r="C5" s="1129" t="s">
        <v>1762</v>
      </c>
      <c r="D5" s="1130">
        <v>7611</v>
      </c>
      <c r="E5" s="1131" t="s">
        <v>1756</v>
      </c>
      <c r="F5" s="1130" t="s">
        <v>1757</v>
      </c>
      <c r="G5" s="1132" t="s">
        <v>1763</v>
      </c>
      <c r="H5" s="1132">
        <v>8751</v>
      </c>
      <c r="I5" s="1132">
        <v>8711</v>
      </c>
      <c r="J5" s="1133" t="s">
        <v>1764</v>
      </c>
      <c r="K5" s="1128" t="s">
        <v>1765</v>
      </c>
      <c r="L5" s="1134" t="s">
        <v>15</v>
      </c>
      <c r="N5" s="1135"/>
      <c r="T5" s="1136"/>
    </row>
    <row r="6" spans="1:20" ht="16.5" thickBot="1">
      <c r="A6" s="1137"/>
      <c r="B6" s="1138"/>
      <c r="C6" s="1139"/>
      <c r="D6" s="1140"/>
      <c r="E6" s="1141"/>
      <c r="F6" s="1140"/>
      <c r="G6" s="1142"/>
      <c r="H6" s="1142"/>
      <c r="I6" s="1142"/>
      <c r="J6" s="1143"/>
      <c r="K6" s="1144"/>
      <c r="L6" s="1145"/>
    </row>
    <row r="7" spans="1:20">
      <c r="A7" s="1146" t="s">
        <v>516</v>
      </c>
      <c r="B7" s="1147" t="s">
        <v>672</v>
      </c>
      <c r="C7" s="1148">
        <f>47752889-G7-J7</f>
        <v>31346394</v>
      </c>
      <c r="D7" s="1149">
        <v>3059352</v>
      </c>
      <c r="E7" s="1149">
        <v>6766084</v>
      </c>
      <c r="F7" s="1149">
        <v>2063312</v>
      </c>
      <c r="G7" s="1149">
        <f>SUM(D7:F7)</f>
        <v>11888748</v>
      </c>
      <c r="H7" s="1149">
        <v>1531656</v>
      </c>
      <c r="I7" s="1149">
        <v>2986091</v>
      </c>
      <c r="J7" s="1149">
        <f>SUM(H7:I7)</f>
        <v>4517747</v>
      </c>
      <c r="K7" s="1149">
        <v>0</v>
      </c>
      <c r="L7" s="1150">
        <f>SUM(C7+G7+J7+K7)</f>
        <v>47752889</v>
      </c>
      <c r="N7" s="1701" t="s">
        <v>1778</v>
      </c>
      <c r="O7" s="1701"/>
      <c r="P7" s="1701"/>
      <c r="Q7" s="1701"/>
      <c r="R7" s="1701"/>
      <c r="S7" s="1151"/>
      <c r="T7" s="1151"/>
    </row>
    <row r="8" spans="1:20">
      <c r="A8" s="1146" t="s">
        <v>420</v>
      </c>
      <c r="B8" s="1147" t="s">
        <v>728</v>
      </c>
      <c r="C8" s="1148">
        <f>1723800-G8-J8</f>
        <v>1723800</v>
      </c>
      <c r="D8" s="1149">
        <v>0</v>
      </c>
      <c r="E8" s="1149">
        <v>0</v>
      </c>
      <c r="F8" s="1149">
        <v>0</v>
      </c>
      <c r="G8" s="1149">
        <f>SUM(D8:F8)</f>
        <v>0</v>
      </c>
      <c r="H8" s="1149">
        <v>0</v>
      </c>
      <c r="I8" s="1149">
        <v>0</v>
      </c>
      <c r="J8" s="1149">
        <v>0</v>
      </c>
      <c r="K8" s="1149">
        <v>0</v>
      </c>
      <c r="L8" s="1150">
        <f>SUM(C8+G8+J8+K8)</f>
        <v>1723800</v>
      </c>
      <c r="N8" s="1152"/>
      <c r="O8" s="1152"/>
      <c r="P8" s="1152"/>
      <c r="Q8" s="1152"/>
      <c r="R8" s="1152"/>
      <c r="S8" s="1151"/>
      <c r="T8" s="1151"/>
    </row>
    <row r="9" spans="1:20">
      <c r="A9" s="1153" t="s">
        <v>518</v>
      </c>
      <c r="B9" s="1154" t="s">
        <v>673</v>
      </c>
      <c r="C9" s="1148">
        <f>3096000-G9-J9</f>
        <v>2088000</v>
      </c>
      <c r="D9" s="1148">
        <v>192000</v>
      </c>
      <c r="E9" s="1148">
        <v>384000</v>
      </c>
      <c r="F9" s="1148">
        <v>144000</v>
      </c>
      <c r="G9" s="1149">
        <f t="shared" ref="G9:G27" si="0">SUM(D9:F9)</f>
        <v>720000</v>
      </c>
      <c r="H9" s="1148">
        <v>72000</v>
      </c>
      <c r="I9" s="1148">
        <v>216000</v>
      </c>
      <c r="J9" s="1148">
        <f>SUM(H9:I9)</f>
        <v>288000</v>
      </c>
      <c r="K9" s="1148">
        <v>0</v>
      </c>
      <c r="L9" s="1155">
        <f t="shared" ref="L9:L28" si="1">SUM(C9+G9+J9+K9)</f>
        <v>3096000</v>
      </c>
      <c r="N9" s="1701" t="s">
        <v>351</v>
      </c>
      <c r="O9" s="1701"/>
      <c r="P9" s="1701"/>
      <c r="Q9" s="1701"/>
      <c r="R9" s="1701"/>
      <c r="S9" s="1151"/>
      <c r="T9" s="1151"/>
    </row>
    <row r="10" spans="1:20">
      <c r="A10" s="1153" t="s">
        <v>528</v>
      </c>
      <c r="B10" s="1154" t="s">
        <v>674</v>
      </c>
      <c r="C10" s="1148">
        <f>1785000-G10-J10</f>
        <v>1479000</v>
      </c>
      <c r="D10" s="1148">
        <f>76500</f>
        <v>76500</v>
      </c>
      <c r="E10" s="1148">
        <v>76500</v>
      </c>
      <c r="F10" s="1148">
        <v>0</v>
      </c>
      <c r="G10" s="1149">
        <f t="shared" si="0"/>
        <v>153000</v>
      </c>
      <c r="H10" s="1148">
        <v>76500</v>
      </c>
      <c r="I10" s="1148">
        <v>76500</v>
      </c>
      <c r="J10" s="1148">
        <f t="shared" ref="J10:J27" si="2">SUM(H10:I10)</f>
        <v>153000</v>
      </c>
      <c r="K10" s="1148">
        <v>0</v>
      </c>
      <c r="L10" s="1155">
        <f t="shared" si="1"/>
        <v>1785000</v>
      </c>
      <c r="N10" s="1126"/>
      <c r="O10" s="1126"/>
      <c r="P10" s="1126"/>
      <c r="Q10" s="1126"/>
      <c r="R10" s="1126"/>
      <c r="S10" s="1126"/>
      <c r="T10" s="1126"/>
    </row>
    <row r="11" spans="1:20" ht="16.5" thickBot="1">
      <c r="A11" s="1153" t="s">
        <v>527</v>
      </c>
      <c r="B11" s="1154" t="s">
        <v>675</v>
      </c>
      <c r="C11" s="1148">
        <f>1785000-G11-J11</f>
        <v>1479000</v>
      </c>
      <c r="D11" s="1148">
        <f>76500</f>
        <v>76500</v>
      </c>
      <c r="E11" s="1148">
        <v>76500</v>
      </c>
      <c r="F11" s="1148">
        <v>0</v>
      </c>
      <c r="G11" s="1149">
        <f t="shared" si="0"/>
        <v>153000</v>
      </c>
      <c r="H11" s="1148">
        <v>76500</v>
      </c>
      <c r="I11" s="1148">
        <v>76500</v>
      </c>
      <c r="J11" s="1148">
        <f t="shared" si="2"/>
        <v>153000</v>
      </c>
      <c r="K11" s="1148">
        <v>0</v>
      </c>
      <c r="L11" s="1155">
        <f t="shared" si="1"/>
        <v>1785000</v>
      </c>
      <c r="N11" s="1700" t="s">
        <v>10</v>
      </c>
      <c r="O11" s="1700"/>
      <c r="P11" s="1700"/>
      <c r="Q11" s="1700"/>
      <c r="R11" s="1700"/>
      <c r="S11" s="1156"/>
      <c r="T11" s="1156"/>
    </row>
    <row r="12" spans="1:20">
      <c r="A12" s="1153" t="s">
        <v>529</v>
      </c>
      <c r="B12" s="1154" t="s">
        <v>676</v>
      </c>
      <c r="C12" s="1148">
        <f>774000-G12-J12</f>
        <v>522000</v>
      </c>
      <c r="D12" s="1148">
        <v>48000</v>
      </c>
      <c r="E12" s="1148">
        <v>96000</v>
      </c>
      <c r="F12" s="1148">
        <v>36000</v>
      </c>
      <c r="G12" s="1149">
        <f t="shared" si="0"/>
        <v>180000</v>
      </c>
      <c r="H12" s="1148">
        <v>18000</v>
      </c>
      <c r="I12" s="1148">
        <v>54000</v>
      </c>
      <c r="J12" s="1148">
        <f t="shared" si="2"/>
        <v>72000</v>
      </c>
      <c r="K12" s="1148">
        <v>0</v>
      </c>
      <c r="L12" s="1155">
        <f t="shared" si="1"/>
        <v>774000</v>
      </c>
      <c r="N12" s="1157"/>
      <c r="O12" s="1157"/>
      <c r="P12" s="1158"/>
      <c r="Q12" s="1158"/>
      <c r="R12" s="1159"/>
    </row>
    <row r="13" spans="1:20">
      <c r="A13" s="1153" t="s">
        <v>530</v>
      </c>
      <c r="B13" s="1154" t="s">
        <v>693</v>
      </c>
      <c r="C13" s="1148">
        <v>0</v>
      </c>
      <c r="D13" s="1148">
        <v>108000</v>
      </c>
      <c r="E13" s="1148">
        <v>316800</v>
      </c>
      <c r="F13" s="1148">
        <v>118800</v>
      </c>
      <c r="G13" s="1149">
        <f t="shared" si="0"/>
        <v>543600</v>
      </c>
      <c r="H13" s="1148">
        <v>0</v>
      </c>
      <c r="I13" s="1148">
        <v>0</v>
      </c>
      <c r="J13" s="1148">
        <f t="shared" si="2"/>
        <v>0</v>
      </c>
      <c r="K13" s="1148">
        <v>0</v>
      </c>
      <c r="L13" s="1155">
        <f t="shared" si="1"/>
        <v>543600</v>
      </c>
      <c r="N13" s="1160"/>
      <c r="O13" s="1160"/>
      <c r="P13" s="1161"/>
      <c r="Q13" s="1161"/>
      <c r="R13" s="1162"/>
    </row>
    <row r="14" spans="1:20">
      <c r="A14" s="1153" t="s">
        <v>780</v>
      </c>
      <c r="B14" s="1154" t="s">
        <v>677</v>
      </c>
      <c r="C14" s="1148">
        <f>645000-G14-J14</f>
        <v>435000</v>
      </c>
      <c r="D14" s="1148">
        <v>40000</v>
      </c>
      <c r="E14" s="1148">
        <v>80000</v>
      </c>
      <c r="F14" s="1148">
        <v>30000</v>
      </c>
      <c r="G14" s="1149">
        <f t="shared" si="0"/>
        <v>150000</v>
      </c>
      <c r="H14" s="1148">
        <v>15000</v>
      </c>
      <c r="I14" s="1148">
        <v>45000</v>
      </c>
      <c r="J14" s="1148">
        <f t="shared" si="2"/>
        <v>60000</v>
      </c>
      <c r="K14" s="1148">
        <v>0</v>
      </c>
      <c r="L14" s="1155">
        <f t="shared" si="1"/>
        <v>645000</v>
      </c>
      <c r="N14" s="1163" t="s">
        <v>3</v>
      </c>
      <c r="O14" s="1705" t="s">
        <v>612</v>
      </c>
      <c r="P14" s="1706"/>
      <c r="Q14" s="1707"/>
      <c r="R14" s="1162" t="s">
        <v>15</v>
      </c>
    </row>
    <row r="15" spans="1:20">
      <c r="A15" s="1153" t="s">
        <v>531</v>
      </c>
      <c r="B15" s="1154" t="s">
        <v>678</v>
      </c>
      <c r="C15" s="1148">
        <f>60000-G15-J15</f>
        <v>45000</v>
      </c>
      <c r="D15" s="1148">
        <v>0</v>
      </c>
      <c r="E15" s="1148">
        <v>10000</v>
      </c>
      <c r="F15" s="1148">
        <v>5000</v>
      </c>
      <c r="G15" s="1149">
        <f t="shared" si="0"/>
        <v>15000</v>
      </c>
      <c r="H15" s="1148">
        <v>0</v>
      </c>
      <c r="I15" s="1148">
        <v>0</v>
      </c>
      <c r="J15" s="1148">
        <f t="shared" si="2"/>
        <v>0</v>
      </c>
      <c r="K15" s="1148">
        <v>0</v>
      </c>
      <c r="L15" s="1155">
        <f t="shared" si="1"/>
        <v>60000</v>
      </c>
      <c r="N15" s="1160"/>
      <c r="O15" s="1160"/>
      <c r="P15" s="1161"/>
      <c r="Q15" s="1161"/>
      <c r="R15" s="1164"/>
    </row>
    <row r="16" spans="1:20" s="1165" customFormat="1" ht="16.5" hidden="1" thickBot="1">
      <c r="A16" s="1153" t="s">
        <v>1766</v>
      </c>
      <c r="B16" s="1154" t="s">
        <v>678</v>
      </c>
      <c r="C16" s="1148">
        <v>0</v>
      </c>
      <c r="D16" s="1148">
        <v>0</v>
      </c>
      <c r="E16" s="1148">
        <v>0</v>
      </c>
      <c r="F16" s="1148">
        <v>0</v>
      </c>
      <c r="G16" s="1149">
        <f t="shared" si="0"/>
        <v>0</v>
      </c>
      <c r="H16" s="1148">
        <v>0</v>
      </c>
      <c r="I16" s="1148">
        <v>0</v>
      </c>
      <c r="J16" s="1148">
        <f t="shared" si="2"/>
        <v>0</v>
      </c>
      <c r="K16" s="1148">
        <v>0</v>
      </c>
      <c r="L16" s="1155">
        <f t="shared" si="1"/>
        <v>0</v>
      </c>
      <c r="N16" s="1137"/>
      <c r="O16" s="1137"/>
      <c r="P16" s="1166"/>
      <c r="Q16" s="1167"/>
      <c r="R16" s="1144"/>
      <c r="S16" s="1125"/>
      <c r="T16" s="1125"/>
    </row>
    <row r="17" spans="1:18">
      <c r="A17" s="1153" t="s">
        <v>532</v>
      </c>
      <c r="B17" s="1154" t="s">
        <v>694</v>
      </c>
      <c r="C17" s="1148">
        <v>0</v>
      </c>
      <c r="D17" s="1148">
        <v>167080.79999999999</v>
      </c>
      <c r="E17" s="1148">
        <v>546687</v>
      </c>
      <c r="F17" s="1148">
        <v>173241</v>
      </c>
      <c r="G17" s="1149">
        <f t="shared" si="0"/>
        <v>887008.8</v>
      </c>
      <c r="H17" s="1148">
        <v>0</v>
      </c>
      <c r="I17" s="1148">
        <v>0</v>
      </c>
      <c r="J17" s="1148">
        <f t="shared" si="2"/>
        <v>0</v>
      </c>
      <c r="K17" s="1148">
        <v>0</v>
      </c>
      <c r="L17" s="1155">
        <f t="shared" si="1"/>
        <v>887008.8</v>
      </c>
      <c r="N17" s="1146" t="s">
        <v>516</v>
      </c>
      <c r="O17" s="1708" t="s">
        <v>672</v>
      </c>
      <c r="P17" s="1709"/>
      <c r="Q17" s="1710"/>
      <c r="R17" s="1150">
        <f>'LBP NO. 2'!M983</f>
        <v>4087998</v>
      </c>
    </row>
    <row r="18" spans="1:18">
      <c r="A18" s="1153" t="s">
        <v>360</v>
      </c>
      <c r="B18" s="1154" t="s">
        <v>695</v>
      </c>
      <c r="C18" s="1148">
        <f>195000</f>
        <v>195000</v>
      </c>
      <c r="D18" s="1148">
        <v>0</v>
      </c>
      <c r="E18" s="1148">
        <v>0</v>
      </c>
      <c r="F18" s="1148">
        <v>0</v>
      </c>
      <c r="G18" s="1149">
        <f t="shared" si="0"/>
        <v>0</v>
      </c>
      <c r="H18" s="1148">
        <v>0</v>
      </c>
      <c r="I18" s="1148">
        <v>0</v>
      </c>
      <c r="J18" s="1148">
        <f t="shared" si="2"/>
        <v>0</v>
      </c>
      <c r="K18" s="1148">
        <v>0</v>
      </c>
      <c r="L18" s="1155">
        <f t="shared" si="1"/>
        <v>195000</v>
      </c>
      <c r="N18" s="1153" t="s">
        <v>518</v>
      </c>
      <c r="O18" s="1697" t="s">
        <v>673</v>
      </c>
      <c r="P18" s="1698"/>
      <c r="Q18" s="1699"/>
      <c r="R18" s="1155">
        <f>'LBP NO. 2'!M986</f>
        <v>576000</v>
      </c>
    </row>
    <row r="19" spans="1:18">
      <c r="A19" s="1153" t="s">
        <v>533</v>
      </c>
      <c r="B19" s="1154" t="s">
        <v>679</v>
      </c>
      <c r="C19" s="1148">
        <f>645000-G19-J19</f>
        <v>435000</v>
      </c>
      <c r="D19" s="1148">
        <v>40000</v>
      </c>
      <c r="E19" s="1148">
        <v>80000</v>
      </c>
      <c r="F19" s="1148">
        <v>30000</v>
      </c>
      <c r="G19" s="1149">
        <f t="shared" si="0"/>
        <v>150000</v>
      </c>
      <c r="H19" s="1148">
        <v>15000</v>
      </c>
      <c r="I19" s="1148">
        <v>45000</v>
      </c>
      <c r="J19" s="1148">
        <f t="shared" si="2"/>
        <v>60000</v>
      </c>
      <c r="K19" s="1148">
        <v>0</v>
      </c>
      <c r="L19" s="1155">
        <f t="shared" si="1"/>
        <v>645000</v>
      </c>
      <c r="N19" s="1153" t="s">
        <v>529</v>
      </c>
      <c r="O19" s="1697" t="s">
        <v>676</v>
      </c>
      <c r="P19" s="1698"/>
      <c r="Q19" s="1699"/>
      <c r="R19" s="1155">
        <f>'LBP NO. 2'!M987</f>
        <v>144000</v>
      </c>
    </row>
    <row r="20" spans="1:18">
      <c r="A20" s="1153" t="s">
        <v>790</v>
      </c>
      <c r="B20" s="1154" t="s">
        <v>678</v>
      </c>
      <c r="C20" s="1148">
        <f>4121653-G20-J20</f>
        <v>2755608</v>
      </c>
      <c r="D20" s="1148">
        <v>254946</v>
      </c>
      <c r="E20" s="1148">
        <v>563206</v>
      </c>
      <c r="F20" s="1148">
        <v>171501</v>
      </c>
      <c r="G20" s="1149">
        <f t="shared" si="0"/>
        <v>989653</v>
      </c>
      <c r="H20" s="1148">
        <v>127638</v>
      </c>
      <c r="I20" s="1148">
        <v>248754</v>
      </c>
      <c r="J20" s="1148">
        <f t="shared" si="2"/>
        <v>376392</v>
      </c>
      <c r="K20" s="1148">
        <v>0</v>
      </c>
      <c r="L20" s="1155">
        <f t="shared" si="1"/>
        <v>4121653</v>
      </c>
      <c r="N20" s="1153" t="s">
        <v>530</v>
      </c>
      <c r="O20" s="1697" t="s">
        <v>693</v>
      </c>
      <c r="P20" s="1698"/>
      <c r="Q20" s="1699"/>
      <c r="R20" s="1155">
        <f>'LBP NO. 2'!M988</f>
        <v>19800</v>
      </c>
    </row>
    <row r="21" spans="1:18">
      <c r="A21" s="1153" t="s">
        <v>534</v>
      </c>
      <c r="B21" s="1154" t="s">
        <v>680</v>
      </c>
      <c r="C21" s="1148">
        <f>4124629-G21-J21</f>
        <v>2756527</v>
      </c>
      <c r="D21" s="1148">
        <v>254946</v>
      </c>
      <c r="E21" s="1148">
        <v>564207</v>
      </c>
      <c r="F21" s="1148">
        <v>172213</v>
      </c>
      <c r="G21" s="1149">
        <f t="shared" si="0"/>
        <v>991366</v>
      </c>
      <c r="H21" s="1148">
        <v>127638</v>
      </c>
      <c r="I21" s="1148">
        <v>249098</v>
      </c>
      <c r="J21" s="1148">
        <f t="shared" si="2"/>
        <v>376736</v>
      </c>
      <c r="K21" s="1148">
        <v>0</v>
      </c>
      <c r="L21" s="1155">
        <f t="shared" si="1"/>
        <v>4124629</v>
      </c>
      <c r="N21" s="1153" t="s">
        <v>780</v>
      </c>
      <c r="O21" s="1697" t="s">
        <v>677</v>
      </c>
      <c r="P21" s="1698"/>
      <c r="Q21" s="1699"/>
      <c r="R21" s="1155">
        <f>'LBP NO. 2'!M989</f>
        <v>120000</v>
      </c>
    </row>
    <row r="22" spans="1:18">
      <c r="A22" s="1153" t="s">
        <v>646</v>
      </c>
      <c r="B22" s="1154" t="s">
        <v>681</v>
      </c>
      <c r="C22" s="1148">
        <f>5947000-G22-J22</f>
        <v>3976500</v>
      </c>
      <c r="D22" s="1148">
        <v>367500</v>
      </c>
      <c r="E22" s="1148">
        <v>812000</v>
      </c>
      <c r="F22" s="1148">
        <v>248000</v>
      </c>
      <c r="G22" s="1149">
        <f t="shared" si="0"/>
        <v>1427500</v>
      </c>
      <c r="H22" s="1148">
        <v>184000</v>
      </c>
      <c r="I22" s="1148">
        <v>359000</v>
      </c>
      <c r="J22" s="1148">
        <f t="shared" si="2"/>
        <v>543000</v>
      </c>
      <c r="K22" s="1148">
        <v>0</v>
      </c>
      <c r="L22" s="1155">
        <f t="shared" si="1"/>
        <v>5947000</v>
      </c>
      <c r="N22" s="1153" t="s">
        <v>531</v>
      </c>
      <c r="O22" s="1697" t="s">
        <v>678</v>
      </c>
      <c r="P22" s="1698"/>
      <c r="Q22" s="1699"/>
      <c r="R22" s="1155">
        <f>'LBP NO. 2'!M990</f>
        <v>5000</v>
      </c>
    </row>
    <row r="23" spans="1:18">
      <c r="A23" s="1153" t="s">
        <v>535</v>
      </c>
      <c r="B23" s="1154" t="s">
        <v>682</v>
      </c>
      <c r="C23" s="1148">
        <f>232200-G23-J23</f>
        <v>156600</v>
      </c>
      <c r="D23" s="1148">
        <v>14400</v>
      </c>
      <c r="E23" s="1148">
        <v>28800</v>
      </c>
      <c r="F23" s="1148">
        <v>10800</v>
      </c>
      <c r="G23" s="1149">
        <f t="shared" si="0"/>
        <v>54000</v>
      </c>
      <c r="H23" s="1148">
        <v>5400</v>
      </c>
      <c r="I23" s="1148">
        <v>16200</v>
      </c>
      <c r="J23" s="1148">
        <f t="shared" si="2"/>
        <v>21600</v>
      </c>
      <c r="K23" s="1148">
        <v>0</v>
      </c>
      <c r="L23" s="1155">
        <f t="shared" si="1"/>
        <v>232200</v>
      </c>
      <c r="N23" s="1153" t="s">
        <v>532</v>
      </c>
      <c r="O23" s="1697" t="s">
        <v>694</v>
      </c>
      <c r="P23" s="1698"/>
      <c r="Q23" s="1699"/>
      <c r="R23" s="1155">
        <f>'LBP NO. 2'!M993</f>
        <v>21336</v>
      </c>
    </row>
    <row r="24" spans="1:18">
      <c r="A24" s="1153" t="s">
        <v>536</v>
      </c>
      <c r="B24" s="1154" t="s">
        <v>683</v>
      </c>
      <c r="C24" s="1148">
        <f>1118000-G24-J24</f>
        <v>747500</v>
      </c>
      <c r="D24" s="1148">
        <v>69000</v>
      </c>
      <c r="E24" s="1148">
        <v>152500</v>
      </c>
      <c r="F24" s="1148">
        <v>46500</v>
      </c>
      <c r="G24" s="1149">
        <f t="shared" si="0"/>
        <v>268000</v>
      </c>
      <c r="H24" s="1148">
        <v>35000</v>
      </c>
      <c r="I24" s="1148">
        <v>67500</v>
      </c>
      <c r="J24" s="1148">
        <f t="shared" si="2"/>
        <v>102500</v>
      </c>
      <c r="K24" s="1148">
        <v>0</v>
      </c>
      <c r="L24" s="1155">
        <f t="shared" si="1"/>
        <v>1118000</v>
      </c>
      <c r="N24" s="1153" t="s">
        <v>360</v>
      </c>
      <c r="O24" s="1697" t="s">
        <v>695</v>
      </c>
      <c r="P24" s="1698"/>
      <c r="Q24" s="1699"/>
      <c r="R24" s="1155">
        <f>'LBP NO. 2'!M994</f>
        <v>100000</v>
      </c>
    </row>
    <row r="25" spans="1:18">
      <c r="A25" s="1153" t="s">
        <v>642</v>
      </c>
      <c r="B25" s="1154" t="s">
        <v>684</v>
      </c>
      <c r="C25" s="1148">
        <f>154800-G25-J25</f>
        <v>104400</v>
      </c>
      <c r="D25" s="1148">
        <v>9600</v>
      </c>
      <c r="E25" s="1148">
        <v>19200</v>
      </c>
      <c r="F25" s="1148">
        <v>7200</v>
      </c>
      <c r="G25" s="1149">
        <f t="shared" si="0"/>
        <v>36000</v>
      </c>
      <c r="H25" s="1148">
        <v>3600</v>
      </c>
      <c r="I25" s="1148">
        <v>10800</v>
      </c>
      <c r="J25" s="1148">
        <f t="shared" si="2"/>
        <v>14400</v>
      </c>
      <c r="K25" s="1148">
        <v>0</v>
      </c>
      <c r="L25" s="1155">
        <f t="shared" si="1"/>
        <v>154800</v>
      </c>
      <c r="N25" s="1153" t="s">
        <v>533</v>
      </c>
      <c r="O25" s="1697" t="s">
        <v>679</v>
      </c>
      <c r="P25" s="1698"/>
      <c r="Q25" s="1699"/>
      <c r="R25" s="1155">
        <f>'LBP NO. 2'!M995</f>
        <v>120000</v>
      </c>
    </row>
    <row r="26" spans="1:18">
      <c r="A26" s="1153" t="s">
        <v>365</v>
      </c>
      <c r="B26" s="1154" t="s">
        <v>685</v>
      </c>
      <c r="C26" s="1148">
        <f>1294000-G26-J26</f>
        <v>529000</v>
      </c>
      <c r="D26" s="1148">
        <v>0</v>
      </c>
      <c r="E26" s="1148">
        <v>0</v>
      </c>
      <c r="F26" s="1148">
        <v>765000</v>
      </c>
      <c r="G26" s="1149">
        <f t="shared" si="0"/>
        <v>765000</v>
      </c>
      <c r="H26" s="1148">
        <v>0</v>
      </c>
      <c r="I26" s="1148">
        <v>0</v>
      </c>
      <c r="J26" s="1148">
        <f t="shared" si="2"/>
        <v>0</v>
      </c>
      <c r="K26" s="1148">
        <v>0</v>
      </c>
      <c r="L26" s="1155">
        <f t="shared" si="1"/>
        <v>1294000</v>
      </c>
      <c r="N26" s="1153" t="s">
        <v>790</v>
      </c>
      <c r="O26" s="1697" t="s">
        <v>678</v>
      </c>
      <c r="P26" s="1698"/>
      <c r="Q26" s="1699"/>
      <c r="R26" s="1155">
        <f>'LBP NO. 2'!M996</f>
        <v>340620</v>
      </c>
    </row>
    <row r="27" spans="1:18" ht="16.5" thickBot="1">
      <c r="A27" s="1153" t="s">
        <v>537</v>
      </c>
      <c r="B27" s="1154" t="s">
        <v>685</v>
      </c>
      <c r="C27" s="1148">
        <v>0</v>
      </c>
      <c r="D27" s="1148">
        <v>0</v>
      </c>
      <c r="E27" s="1148">
        <v>25000</v>
      </c>
      <c r="F27" s="1148">
        <v>0</v>
      </c>
      <c r="G27" s="1149">
        <f t="shared" si="0"/>
        <v>25000</v>
      </c>
      <c r="H27" s="1148">
        <v>0</v>
      </c>
      <c r="I27" s="1148">
        <v>0</v>
      </c>
      <c r="J27" s="1148">
        <f t="shared" si="2"/>
        <v>0</v>
      </c>
      <c r="K27" s="1148">
        <v>0</v>
      </c>
      <c r="L27" s="1155">
        <f t="shared" si="1"/>
        <v>25000</v>
      </c>
      <c r="N27" s="1153" t="s">
        <v>1492</v>
      </c>
      <c r="O27" s="1697" t="s">
        <v>678</v>
      </c>
      <c r="P27" s="1698"/>
      <c r="Q27" s="1699"/>
      <c r="R27" s="1155">
        <v>0</v>
      </c>
    </row>
    <row r="28" spans="1:18" ht="16.5" hidden="1" thickBot="1">
      <c r="A28" s="1168" t="s">
        <v>538</v>
      </c>
      <c r="B28" s="1169" t="s">
        <v>696</v>
      </c>
      <c r="C28" s="1170">
        <v>0</v>
      </c>
      <c r="D28" s="1170">
        <v>0</v>
      </c>
      <c r="E28" s="1170">
        <v>0</v>
      </c>
      <c r="F28" s="1170">
        <v>0</v>
      </c>
      <c r="G28" s="1170">
        <f>SUM(D28:F28)</f>
        <v>0</v>
      </c>
      <c r="H28" s="1170">
        <v>0</v>
      </c>
      <c r="I28" s="1170">
        <v>0</v>
      </c>
      <c r="J28" s="1170">
        <f>SUM(H28:I28)</f>
        <v>0</v>
      </c>
      <c r="K28" s="1170">
        <v>0</v>
      </c>
      <c r="L28" s="1155">
        <f t="shared" si="1"/>
        <v>0</v>
      </c>
      <c r="N28" s="1153" t="s">
        <v>534</v>
      </c>
      <c r="O28" s="1697" t="s">
        <v>680</v>
      </c>
      <c r="P28" s="1698"/>
      <c r="Q28" s="1699"/>
      <c r="R28" s="1155">
        <f>'LBP NO. 2'!M997</f>
        <v>340713</v>
      </c>
    </row>
    <row r="29" spans="1:18" ht="16.5" thickBot="1">
      <c r="A29" s="1171" t="s">
        <v>1767</v>
      </c>
      <c r="B29" s="1172"/>
      <c r="C29" s="1173">
        <f>SUM(C7:C28)</f>
        <v>50774329</v>
      </c>
      <c r="D29" s="1173">
        <f t="shared" ref="D29:L29" si="3">SUM(D7:D28)</f>
        <v>4777824.8</v>
      </c>
      <c r="E29" s="1173">
        <f t="shared" si="3"/>
        <v>10597484</v>
      </c>
      <c r="F29" s="1173">
        <f t="shared" si="3"/>
        <v>4021567</v>
      </c>
      <c r="G29" s="1173">
        <f t="shared" si="3"/>
        <v>19396875.800000001</v>
      </c>
      <c r="H29" s="1173">
        <f t="shared" si="3"/>
        <v>2287932</v>
      </c>
      <c r="I29" s="1173">
        <f t="shared" si="3"/>
        <v>4450443</v>
      </c>
      <c r="J29" s="1173">
        <f t="shared" si="3"/>
        <v>6738375</v>
      </c>
      <c r="K29" s="1173">
        <f t="shared" si="3"/>
        <v>0</v>
      </c>
      <c r="L29" s="1173">
        <f t="shared" si="3"/>
        <v>76909579.799999997</v>
      </c>
      <c r="N29" s="1153" t="s">
        <v>646</v>
      </c>
      <c r="O29" s="1697" t="s">
        <v>681</v>
      </c>
      <c r="P29" s="1698"/>
      <c r="Q29" s="1699"/>
      <c r="R29" s="1155">
        <f>'LBP NO. 2'!M998</f>
        <v>491000</v>
      </c>
    </row>
    <row r="30" spans="1:18">
      <c r="A30" s="1146" t="s">
        <v>540</v>
      </c>
      <c r="B30" s="1147" t="s">
        <v>686</v>
      </c>
      <c r="C30" s="1149">
        <f>3271940-G30-J30</f>
        <v>2707000</v>
      </c>
      <c r="D30" s="1149">
        <v>108000</v>
      </c>
      <c r="E30" s="1149">
        <v>191774</v>
      </c>
      <c r="F30" s="1149">
        <v>95166</v>
      </c>
      <c r="G30" s="1149">
        <f>SUM(D30:F30)</f>
        <v>394940</v>
      </c>
      <c r="H30" s="1149">
        <v>38000</v>
      </c>
      <c r="I30" s="1149">
        <v>132000</v>
      </c>
      <c r="J30" s="1149">
        <f>SUM(H30:I30)</f>
        <v>170000</v>
      </c>
      <c r="K30" s="1149">
        <v>0</v>
      </c>
      <c r="L30" s="1155">
        <f t="shared" ref="L30:L70" si="4">SUM(C30+G30+J30+K30)</f>
        <v>3271940</v>
      </c>
      <c r="N30" s="1153" t="s">
        <v>535</v>
      </c>
      <c r="O30" s="1697" t="s">
        <v>682</v>
      </c>
      <c r="P30" s="1698"/>
      <c r="Q30" s="1699"/>
      <c r="R30" s="1155">
        <f>'LBP NO. 2'!M999</f>
        <v>43200</v>
      </c>
    </row>
    <row r="31" spans="1:18">
      <c r="A31" s="1153" t="s">
        <v>421</v>
      </c>
      <c r="B31" s="1154" t="s">
        <v>687</v>
      </c>
      <c r="C31" s="1148">
        <f>2565401-G31-J31</f>
        <v>2079000</v>
      </c>
      <c r="D31" s="1148">
        <v>120000</v>
      </c>
      <c r="E31" s="1148">
        <v>102478</v>
      </c>
      <c r="F31" s="1148">
        <v>43923</v>
      </c>
      <c r="G31" s="1149">
        <f t="shared" ref="G31:G48" si="5">SUM(D31:F31)</f>
        <v>266401</v>
      </c>
      <c r="H31" s="1148">
        <v>40000</v>
      </c>
      <c r="I31" s="1148">
        <v>180000</v>
      </c>
      <c r="J31" s="1148">
        <f>SUM(H31:I31)</f>
        <v>220000</v>
      </c>
      <c r="K31" s="1148">
        <v>0</v>
      </c>
      <c r="L31" s="1155">
        <f t="shared" si="4"/>
        <v>2565401</v>
      </c>
      <c r="N31" s="1153" t="s">
        <v>536</v>
      </c>
      <c r="O31" s="1697" t="s">
        <v>683</v>
      </c>
      <c r="P31" s="1698"/>
      <c r="Q31" s="1699"/>
      <c r="R31" s="1155">
        <f>'LBP NO. 2'!M1000</f>
        <v>92000</v>
      </c>
    </row>
    <row r="32" spans="1:18">
      <c r="A32" s="1153" t="s">
        <v>371</v>
      </c>
      <c r="B32" s="1154" t="s">
        <v>688</v>
      </c>
      <c r="C32" s="1148">
        <f>3672410-G32-J32</f>
        <v>3096402</v>
      </c>
      <c r="D32" s="1148">
        <v>200000</v>
      </c>
      <c r="E32" s="1148">
        <v>124410</v>
      </c>
      <c r="F32" s="1148">
        <v>121598</v>
      </c>
      <c r="G32" s="1149">
        <f t="shared" si="5"/>
        <v>446008</v>
      </c>
      <c r="H32" s="1148">
        <v>80000</v>
      </c>
      <c r="I32" s="1148">
        <v>50000</v>
      </c>
      <c r="J32" s="1148">
        <f t="shared" ref="J32:J48" si="6">SUM(H32:I32)</f>
        <v>130000</v>
      </c>
      <c r="K32" s="1148">
        <v>0</v>
      </c>
      <c r="L32" s="1155">
        <f t="shared" si="4"/>
        <v>3672410</v>
      </c>
      <c r="N32" s="1153" t="s">
        <v>642</v>
      </c>
      <c r="O32" s="1697" t="s">
        <v>684</v>
      </c>
      <c r="P32" s="1698"/>
      <c r="Q32" s="1699"/>
      <c r="R32" s="1155">
        <f>'LBP NO. 2'!M1001</f>
        <v>28800</v>
      </c>
    </row>
    <row r="33" spans="1:18">
      <c r="A33" s="1153" t="s">
        <v>541</v>
      </c>
      <c r="B33" s="1154" t="s">
        <v>697</v>
      </c>
      <c r="C33" s="1148">
        <v>200000</v>
      </c>
      <c r="D33" s="1148">
        <v>0</v>
      </c>
      <c r="E33" s="1148">
        <v>0</v>
      </c>
      <c r="F33" s="1148">
        <v>0</v>
      </c>
      <c r="G33" s="1149">
        <f t="shared" si="5"/>
        <v>0</v>
      </c>
      <c r="H33" s="1148">
        <v>0</v>
      </c>
      <c r="I33" s="1148">
        <v>0</v>
      </c>
      <c r="J33" s="1148">
        <f t="shared" si="6"/>
        <v>0</v>
      </c>
      <c r="K33" s="1148">
        <v>0</v>
      </c>
      <c r="L33" s="1155">
        <f t="shared" si="4"/>
        <v>200000</v>
      </c>
      <c r="N33" s="1153" t="s">
        <v>365</v>
      </c>
      <c r="O33" s="1697" t="s">
        <v>685</v>
      </c>
      <c r="P33" s="1698"/>
      <c r="Q33" s="1699"/>
      <c r="R33" s="1155">
        <f>'LBP NO. 2'!M1002</f>
        <v>77000</v>
      </c>
    </row>
    <row r="34" spans="1:18">
      <c r="A34" s="1153" t="s">
        <v>542</v>
      </c>
      <c r="B34" s="1154" t="s">
        <v>698</v>
      </c>
      <c r="C34" s="1148">
        <v>0</v>
      </c>
      <c r="D34" s="1148">
        <v>0</v>
      </c>
      <c r="E34" s="1148">
        <v>1403645</v>
      </c>
      <c r="F34" s="1148">
        <v>1397420</v>
      </c>
      <c r="G34" s="1149">
        <f t="shared" si="5"/>
        <v>2801065</v>
      </c>
      <c r="H34" s="1148">
        <v>0</v>
      </c>
      <c r="I34" s="1148">
        <v>0</v>
      </c>
      <c r="J34" s="1148">
        <f t="shared" si="6"/>
        <v>0</v>
      </c>
      <c r="K34" s="1148">
        <v>0</v>
      </c>
      <c r="L34" s="1155">
        <f t="shared" si="4"/>
        <v>2801065</v>
      </c>
      <c r="N34" s="1153" t="s">
        <v>538</v>
      </c>
      <c r="O34" s="1697" t="s">
        <v>696</v>
      </c>
      <c r="P34" s="1698"/>
      <c r="Q34" s="1699"/>
      <c r="R34" s="1155">
        <f>'LBP NO. 2'!M1003</f>
        <v>400000</v>
      </c>
    </row>
    <row r="35" spans="1:18" ht="16.5" thickBot="1">
      <c r="A35" s="1153" t="s">
        <v>543</v>
      </c>
      <c r="B35" s="1154" t="s">
        <v>699</v>
      </c>
      <c r="C35" s="1148">
        <v>0</v>
      </c>
      <c r="D35" s="1148">
        <v>0</v>
      </c>
      <c r="E35" s="1148">
        <v>197150</v>
      </c>
      <c r="F35" s="1148">
        <v>0</v>
      </c>
      <c r="G35" s="1149">
        <f t="shared" si="5"/>
        <v>197150</v>
      </c>
      <c r="H35" s="1148">
        <v>0</v>
      </c>
      <c r="I35" s="1148">
        <v>0</v>
      </c>
      <c r="J35" s="1148">
        <f t="shared" si="6"/>
        <v>0</v>
      </c>
      <c r="K35" s="1148">
        <v>0</v>
      </c>
      <c r="L35" s="1155">
        <f t="shared" si="4"/>
        <v>197150</v>
      </c>
      <c r="N35" s="1153" t="s">
        <v>1493</v>
      </c>
      <c r="O35" s="1702" t="s">
        <v>696</v>
      </c>
      <c r="P35" s="1703"/>
      <c r="Q35" s="1704"/>
      <c r="R35" s="1155">
        <f>'LBP NO. 2'!M1004</f>
        <v>600000</v>
      </c>
    </row>
    <row r="36" spans="1:18" ht="16.5" thickBot="1">
      <c r="A36" s="1153" t="s">
        <v>1768</v>
      </c>
      <c r="B36" s="1154" t="s">
        <v>700</v>
      </c>
      <c r="C36" s="1148">
        <f>750000</f>
        <v>750000</v>
      </c>
      <c r="D36" s="1148">
        <v>0</v>
      </c>
      <c r="E36" s="1148">
        <v>0</v>
      </c>
      <c r="F36" s="1148">
        <v>0</v>
      </c>
      <c r="G36" s="1149">
        <f t="shared" si="5"/>
        <v>0</v>
      </c>
      <c r="H36" s="1148">
        <v>0</v>
      </c>
      <c r="I36" s="1148">
        <v>0</v>
      </c>
      <c r="J36" s="1148">
        <f t="shared" si="6"/>
        <v>0</v>
      </c>
      <c r="K36" s="1148">
        <v>0</v>
      </c>
      <c r="L36" s="1155">
        <f t="shared" si="4"/>
        <v>750000</v>
      </c>
      <c r="N36" s="1171" t="s">
        <v>1767</v>
      </c>
      <c r="O36" s="1702" t="s">
        <v>696</v>
      </c>
      <c r="P36" s="1703"/>
      <c r="Q36" s="1704"/>
      <c r="R36" s="1174">
        <f>SUM(R17:R35)</f>
        <v>7607467</v>
      </c>
    </row>
    <row r="37" spans="1:18">
      <c r="A37" s="1153" t="s">
        <v>544</v>
      </c>
      <c r="B37" s="1154" t="s">
        <v>689</v>
      </c>
      <c r="C37" s="1148">
        <f>27950-G37-J37</f>
        <v>25750</v>
      </c>
      <c r="D37" s="1148">
        <f>1200</f>
        <v>1200</v>
      </c>
      <c r="E37" s="1148">
        <v>0</v>
      </c>
      <c r="F37" s="1148">
        <v>0</v>
      </c>
      <c r="G37" s="1149">
        <f t="shared" si="5"/>
        <v>1200</v>
      </c>
      <c r="H37" s="1148">
        <v>0</v>
      </c>
      <c r="I37" s="1148">
        <v>1000</v>
      </c>
      <c r="J37" s="1148">
        <f t="shared" si="6"/>
        <v>1000</v>
      </c>
      <c r="K37" s="1148">
        <v>0</v>
      </c>
      <c r="L37" s="1155">
        <f t="shared" si="4"/>
        <v>27950</v>
      </c>
      <c r="N37" s="1146" t="s">
        <v>540</v>
      </c>
      <c r="O37" s="1713" t="s">
        <v>686</v>
      </c>
      <c r="P37" s="1714"/>
      <c r="Q37" s="1715"/>
      <c r="R37" s="1150">
        <f>'LBP NO. 2'!M1008</f>
        <v>50000</v>
      </c>
    </row>
    <row r="38" spans="1:18">
      <c r="A38" s="1153" t="s">
        <v>545</v>
      </c>
      <c r="B38" s="1154" t="s">
        <v>690</v>
      </c>
      <c r="C38" s="1148">
        <v>96000</v>
      </c>
      <c r="D38" s="1148">
        <v>0</v>
      </c>
      <c r="E38" s="1148">
        <v>0</v>
      </c>
      <c r="F38" s="1148">
        <v>0</v>
      </c>
      <c r="G38" s="1149">
        <f t="shared" si="5"/>
        <v>0</v>
      </c>
      <c r="H38" s="1148">
        <v>0</v>
      </c>
      <c r="I38" s="1148">
        <v>0</v>
      </c>
      <c r="J38" s="1148">
        <f t="shared" si="6"/>
        <v>0</v>
      </c>
      <c r="K38" s="1148">
        <v>0</v>
      </c>
      <c r="L38" s="1155">
        <f t="shared" si="4"/>
        <v>96000</v>
      </c>
      <c r="N38" s="1153" t="s">
        <v>421</v>
      </c>
      <c r="O38" s="1697" t="s">
        <v>687</v>
      </c>
      <c r="P38" s="1698"/>
      <c r="Q38" s="1699"/>
      <c r="R38" s="1150">
        <f>'LBP NO. 2'!M1009</f>
        <v>40000</v>
      </c>
    </row>
    <row r="39" spans="1:18">
      <c r="A39" s="1153" t="s">
        <v>546</v>
      </c>
      <c r="B39" s="1154" t="s">
        <v>690</v>
      </c>
      <c r="C39" s="1148">
        <f>968400-G39-J39</f>
        <v>824400</v>
      </c>
      <c r="D39" s="1148">
        <v>36000</v>
      </c>
      <c r="E39" s="1148">
        <v>36000</v>
      </c>
      <c r="F39" s="1148">
        <v>0</v>
      </c>
      <c r="G39" s="1149">
        <f t="shared" si="5"/>
        <v>72000</v>
      </c>
      <c r="H39" s="1148">
        <v>36000</v>
      </c>
      <c r="I39" s="1148">
        <v>36000</v>
      </c>
      <c r="J39" s="1148">
        <f t="shared" si="6"/>
        <v>72000</v>
      </c>
      <c r="K39" s="1148">
        <v>0</v>
      </c>
      <c r="L39" s="1155">
        <f t="shared" si="4"/>
        <v>968400</v>
      </c>
      <c r="N39" s="1153" t="s">
        <v>371</v>
      </c>
      <c r="O39" s="1697" t="s">
        <v>688</v>
      </c>
      <c r="P39" s="1698"/>
      <c r="Q39" s="1699"/>
      <c r="R39" s="1150">
        <f>'LBP NO. 2'!M1010</f>
        <v>450000</v>
      </c>
    </row>
    <row r="40" spans="1:18">
      <c r="A40" s="1153" t="s">
        <v>547</v>
      </c>
      <c r="B40" s="1154" t="s">
        <v>701</v>
      </c>
      <c r="C40" s="1148">
        <v>1300000</v>
      </c>
      <c r="D40" s="1148">
        <v>0</v>
      </c>
      <c r="E40" s="1148">
        <v>0</v>
      </c>
      <c r="F40" s="1148">
        <v>0</v>
      </c>
      <c r="G40" s="1149">
        <f t="shared" si="5"/>
        <v>0</v>
      </c>
      <c r="H40" s="1148">
        <v>0</v>
      </c>
      <c r="I40" s="1148">
        <v>0</v>
      </c>
      <c r="J40" s="1148">
        <f t="shared" si="6"/>
        <v>0</v>
      </c>
      <c r="K40" s="1148">
        <v>0</v>
      </c>
      <c r="L40" s="1155">
        <f t="shared" si="4"/>
        <v>1300000</v>
      </c>
      <c r="N40" s="1153" t="s">
        <v>370</v>
      </c>
      <c r="O40" s="1697" t="s">
        <v>729</v>
      </c>
      <c r="P40" s="1698"/>
      <c r="Q40" s="1699"/>
      <c r="R40" s="1155">
        <f>'[5]LBP NO. 2'!M1017</f>
        <v>0</v>
      </c>
    </row>
    <row r="41" spans="1:18">
      <c r="A41" s="1153" t="s">
        <v>548</v>
      </c>
      <c r="B41" s="1154" t="s">
        <v>702</v>
      </c>
      <c r="C41" s="1148">
        <v>250000</v>
      </c>
      <c r="D41" s="1148">
        <v>0</v>
      </c>
      <c r="E41" s="1148">
        <v>0</v>
      </c>
      <c r="F41" s="1148">
        <v>0</v>
      </c>
      <c r="G41" s="1149">
        <f t="shared" si="5"/>
        <v>0</v>
      </c>
      <c r="H41" s="1148">
        <v>0</v>
      </c>
      <c r="I41" s="1148">
        <v>0</v>
      </c>
      <c r="J41" s="1148">
        <f t="shared" si="6"/>
        <v>0</v>
      </c>
      <c r="K41" s="1148">
        <v>0</v>
      </c>
      <c r="L41" s="1155">
        <f t="shared" si="4"/>
        <v>250000</v>
      </c>
      <c r="N41" s="1153" t="s">
        <v>546</v>
      </c>
      <c r="O41" s="1697" t="s">
        <v>690</v>
      </c>
      <c r="P41" s="1698"/>
      <c r="Q41" s="1699"/>
      <c r="R41" s="1155">
        <f>'LBP NO. 2'!M1012</f>
        <v>12000</v>
      </c>
    </row>
    <row r="42" spans="1:18">
      <c r="A42" s="1153" t="s">
        <v>1769</v>
      </c>
      <c r="B42" s="1154" t="s">
        <v>703</v>
      </c>
      <c r="C42" s="1148">
        <v>300000</v>
      </c>
      <c r="D42" s="1148">
        <v>0</v>
      </c>
      <c r="E42" s="1148">
        <v>0</v>
      </c>
      <c r="F42" s="1148">
        <v>0</v>
      </c>
      <c r="G42" s="1149">
        <f t="shared" si="5"/>
        <v>0</v>
      </c>
      <c r="H42" s="1148">
        <v>0</v>
      </c>
      <c r="I42" s="1148">
        <v>0</v>
      </c>
      <c r="J42" s="1148">
        <f t="shared" si="6"/>
        <v>0</v>
      </c>
      <c r="K42" s="1148">
        <v>0</v>
      </c>
      <c r="L42" s="1155">
        <f t="shared" si="4"/>
        <v>300000</v>
      </c>
      <c r="N42" s="1153" t="s">
        <v>369</v>
      </c>
      <c r="O42" s="1697" t="s">
        <v>730</v>
      </c>
      <c r="P42" s="1698"/>
      <c r="Q42" s="1699"/>
      <c r="R42" s="1155">
        <f>'[5]LBP NO. 2'!M1019</f>
        <v>0</v>
      </c>
    </row>
    <row r="43" spans="1:18">
      <c r="A43" s="1153" t="s">
        <v>907</v>
      </c>
      <c r="B43" s="1154" t="s">
        <v>691</v>
      </c>
      <c r="C43" s="1148">
        <f>933241-G43-J43</f>
        <v>804000</v>
      </c>
      <c r="D43" s="1148">
        <v>50000</v>
      </c>
      <c r="E43" s="1148">
        <v>14600</v>
      </c>
      <c r="F43" s="1148">
        <v>14641</v>
      </c>
      <c r="G43" s="1149">
        <f t="shared" si="5"/>
        <v>79241</v>
      </c>
      <c r="H43" s="1148">
        <v>30000</v>
      </c>
      <c r="I43" s="1148">
        <v>20000</v>
      </c>
      <c r="J43" s="1148">
        <f t="shared" si="6"/>
        <v>50000</v>
      </c>
      <c r="K43" s="1148">
        <v>0</v>
      </c>
      <c r="L43" s="1155">
        <f t="shared" si="4"/>
        <v>933241</v>
      </c>
      <c r="N43" s="1153" t="s">
        <v>928</v>
      </c>
      <c r="O43" s="1697" t="s">
        <v>929</v>
      </c>
      <c r="P43" s="1698"/>
      <c r="Q43" s="1699"/>
      <c r="R43" s="1155">
        <f>'LBP NO. 2'!M1014</f>
        <v>276000</v>
      </c>
    </row>
    <row r="44" spans="1:18">
      <c r="A44" s="1153" t="s">
        <v>931</v>
      </c>
      <c r="B44" s="1154" t="s">
        <v>929</v>
      </c>
      <c r="C44" s="1148">
        <v>300000</v>
      </c>
      <c r="D44" s="1148">
        <v>0</v>
      </c>
      <c r="E44" s="1148">
        <v>0</v>
      </c>
      <c r="F44" s="1148">
        <v>0</v>
      </c>
      <c r="G44" s="1149">
        <f t="shared" si="5"/>
        <v>0</v>
      </c>
      <c r="H44" s="1148">
        <v>0</v>
      </c>
      <c r="I44" s="1148">
        <v>0</v>
      </c>
      <c r="J44" s="1148">
        <f t="shared" si="6"/>
        <v>0</v>
      </c>
      <c r="K44" s="1148">
        <v>0</v>
      </c>
      <c r="L44" s="1155">
        <f t="shared" si="4"/>
        <v>300000</v>
      </c>
      <c r="N44" s="1153" t="s">
        <v>907</v>
      </c>
      <c r="O44" s="1697" t="s">
        <v>930</v>
      </c>
      <c r="P44" s="1698"/>
      <c r="Q44" s="1699"/>
      <c r="R44" s="1155">
        <f>'LBP NO. 2'!M1015</f>
        <v>40000</v>
      </c>
    </row>
    <row r="45" spans="1:18" ht="16.5" thickBot="1">
      <c r="A45" s="1153" t="s">
        <v>549</v>
      </c>
      <c r="B45" s="1154" t="s">
        <v>704</v>
      </c>
      <c r="C45" s="1148">
        <f>82601</f>
        <v>82601</v>
      </c>
      <c r="D45" s="1148">
        <v>0</v>
      </c>
      <c r="E45" s="1148">
        <v>0</v>
      </c>
      <c r="F45" s="1148">
        <v>0</v>
      </c>
      <c r="G45" s="1149">
        <f t="shared" si="5"/>
        <v>0</v>
      </c>
      <c r="H45" s="1148">
        <v>0</v>
      </c>
      <c r="I45" s="1148">
        <v>0</v>
      </c>
      <c r="J45" s="1148">
        <f t="shared" si="6"/>
        <v>0</v>
      </c>
      <c r="K45" s="1148">
        <v>0</v>
      </c>
      <c r="L45" s="1155">
        <f t="shared" si="4"/>
        <v>82601</v>
      </c>
      <c r="N45" s="1153" t="s">
        <v>368</v>
      </c>
      <c r="O45" s="1697" t="s">
        <v>731</v>
      </c>
      <c r="P45" s="1698"/>
      <c r="Q45" s="1699"/>
      <c r="R45" s="1155">
        <f>'LBP NO. 2'!M1016</f>
        <v>270000</v>
      </c>
    </row>
    <row r="46" spans="1:18" ht="16.5" thickBot="1">
      <c r="A46" s="1153" t="s">
        <v>550</v>
      </c>
      <c r="B46" s="1154" t="s">
        <v>704</v>
      </c>
      <c r="C46" s="1148">
        <v>0</v>
      </c>
      <c r="D46" s="1148">
        <v>1837840</v>
      </c>
      <c r="E46" s="1148">
        <v>0</v>
      </c>
      <c r="F46" s="1148">
        <v>0</v>
      </c>
      <c r="G46" s="1149">
        <f t="shared" si="5"/>
        <v>1837840</v>
      </c>
      <c r="H46" s="1148">
        <v>0</v>
      </c>
      <c r="I46" s="1148">
        <v>847932.2</v>
      </c>
      <c r="J46" s="1148">
        <f t="shared" si="6"/>
        <v>847932.2</v>
      </c>
      <c r="K46" s="1148">
        <v>0</v>
      </c>
      <c r="L46" s="1155">
        <f t="shared" si="4"/>
        <v>2685772.2</v>
      </c>
      <c r="N46" s="1171" t="s">
        <v>1770</v>
      </c>
      <c r="O46" s="1175"/>
      <c r="P46" s="1176"/>
      <c r="Q46" s="1176"/>
      <c r="R46" s="1174">
        <f>SUM(R37:R45)</f>
        <v>1138000</v>
      </c>
    </row>
    <row r="47" spans="1:18">
      <c r="A47" s="1153" t="s">
        <v>1614</v>
      </c>
      <c r="B47" s="1154"/>
      <c r="C47" s="1148"/>
      <c r="D47" s="1148">
        <v>3500000</v>
      </c>
      <c r="E47" s="1148">
        <v>4000000</v>
      </c>
      <c r="F47" s="1148"/>
      <c r="G47" s="1149">
        <f t="shared" si="5"/>
        <v>7500000</v>
      </c>
      <c r="H47" s="1148"/>
      <c r="I47" s="1148">
        <v>2000000</v>
      </c>
      <c r="J47" s="1148">
        <f t="shared" si="6"/>
        <v>2000000</v>
      </c>
      <c r="K47" s="1148"/>
      <c r="L47" s="1155">
        <f t="shared" si="4"/>
        <v>9500000</v>
      </c>
      <c r="N47" s="1153" t="s">
        <v>829</v>
      </c>
      <c r="O47" s="1697" t="s">
        <v>1527</v>
      </c>
      <c r="P47" s="1698"/>
      <c r="Q47" s="1699"/>
      <c r="R47" s="1155">
        <f>'LBP NO. 2'!M1022</f>
        <v>100000</v>
      </c>
    </row>
    <row r="48" spans="1:18">
      <c r="A48" s="1153" t="s">
        <v>551</v>
      </c>
      <c r="B48" s="1154" t="s">
        <v>705</v>
      </c>
      <c r="C48" s="1148">
        <f>300000</f>
        <v>300000</v>
      </c>
      <c r="D48" s="1148">
        <v>0</v>
      </c>
      <c r="E48" s="1148">
        <v>0</v>
      </c>
      <c r="F48" s="1148">
        <v>0</v>
      </c>
      <c r="G48" s="1149">
        <f t="shared" si="5"/>
        <v>0</v>
      </c>
      <c r="H48" s="1148">
        <v>0</v>
      </c>
      <c r="I48" s="1148">
        <v>0</v>
      </c>
      <c r="J48" s="1148">
        <f t="shared" si="6"/>
        <v>0</v>
      </c>
      <c r="K48" s="1148">
        <v>0</v>
      </c>
      <c r="L48" s="1155">
        <f t="shared" si="4"/>
        <v>300000</v>
      </c>
      <c r="N48" s="1153"/>
      <c r="O48" s="1708"/>
      <c r="P48" s="1709"/>
      <c r="Q48" s="1710"/>
      <c r="R48" s="1155"/>
    </row>
    <row r="49" spans="1:19" ht="16.5" thickBot="1">
      <c r="A49" s="1168" t="s">
        <v>552</v>
      </c>
      <c r="B49" s="1169" t="s">
        <v>692</v>
      </c>
      <c r="C49" s="1170">
        <f>754641-G49-J49</f>
        <v>398000</v>
      </c>
      <c r="D49" s="1170">
        <v>150000</v>
      </c>
      <c r="E49" s="1170">
        <v>111500</v>
      </c>
      <c r="F49" s="1170">
        <v>75141</v>
      </c>
      <c r="G49" s="1170">
        <f>SUM(D49:F49)</f>
        <v>336641</v>
      </c>
      <c r="H49" s="1170">
        <v>10000</v>
      </c>
      <c r="I49" s="1170">
        <v>10000</v>
      </c>
      <c r="J49" s="1170">
        <f>SUM(H49:I49)</f>
        <v>20000</v>
      </c>
      <c r="K49" s="1170">
        <v>0</v>
      </c>
      <c r="L49" s="1155">
        <f t="shared" si="4"/>
        <v>754641</v>
      </c>
      <c r="N49" s="1177" t="s">
        <v>1771</v>
      </c>
      <c r="O49" s="1178"/>
      <c r="P49" s="1179"/>
      <c r="Q49" s="1180"/>
      <c r="R49" s="1181">
        <f>SUM(R47:R48)</f>
        <v>100000</v>
      </c>
    </row>
    <row r="50" spans="1:19" ht="16.5" thickBot="1">
      <c r="A50" s="1171" t="s">
        <v>1770</v>
      </c>
      <c r="B50" s="1172"/>
      <c r="C50" s="1173">
        <f t="shared" ref="C50:K50" si="7">SUM(C30:C49)</f>
        <v>13513153</v>
      </c>
      <c r="D50" s="1173">
        <f t="shared" si="7"/>
        <v>6003040</v>
      </c>
      <c r="E50" s="1173">
        <f t="shared" si="7"/>
        <v>6181557</v>
      </c>
      <c r="F50" s="1173">
        <f t="shared" si="7"/>
        <v>1747889</v>
      </c>
      <c r="G50" s="1173">
        <f t="shared" si="7"/>
        <v>13932486</v>
      </c>
      <c r="H50" s="1173">
        <f t="shared" si="7"/>
        <v>234000</v>
      </c>
      <c r="I50" s="1173">
        <f t="shared" si="7"/>
        <v>3276932.2</v>
      </c>
      <c r="J50" s="1173">
        <f t="shared" si="7"/>
        <v>3510932.2</v>
      </c>
      <c r="K50" s="1173">
        <f t="shared" si="7"/>
        <v>0</v>
      </c>
      <c r="L50" s="1174">
        <f t="shared" si="4"/>
        <v>30956571.199999999</v>
      </c>
      <c r="N50" s="1182" t="s">
        <v>613</v>
      </c>
      <c r="O50" s="1183"/>
      <c r="P50" s="1176"/>
      <c r="Q50" s="1176"/>
      <c r="R50" s="1184">
        <f>SUM(R49+R46+R36)</f>
        <v>8845467</v>
      </c>
    </row>
    <row r="51" spans="1:19" hidden="1">
      <c r="A51" s="1146" t="s">
        <v>836</v>
      </c>
      <c r="B51" s="1147" t="s">
        <v>837</v>
      </c>
      <c r="C51" s="1149">
        <v>0</v>
      </c>
      <c r="D51" s="1149">
        <v>0</v>
      </c>
      <c r="E51" s="1149">
        <v>0</v>
      </c>
      <c r="F51" s="1149"/>
      <c r="G51" s="1149">
        <f>SUM(D51:F51)</f>
        <v>0</v>
      </c>
      <c r="H51" s="1149">
        <v>0</v>
      </c>
      <c r="I51" s="1149">
        <v>0</v>
      </c>
      <c r="J51" s="1149">
        <f>SUM(H51:I51)</f>
        <v>0</v>
      </c>
      <c r="K51" s="1149">
        <v>0</v>
      </c>
      <c r="L51" s="1155">
        <f t="shared" si="4"/>
        <v>0</v>
      </c>
      <c r="N51" s="1185"/>
      <c r="O51" s="1186"/>
      <c r="P51" s="1161"/>
      <c r="Q51" s="1161"/>
      <c r="R51" s="1187"/>
    </row>
    <row r="52" spans="1:19" hidden="1">
      <c r="A52" s="1146" t="s">
        <v>1584</v>
      </c>
      <c r="B52" s="1147" t="s">
        <v>1583</v>
      </c>
      <c r="C52" s="1149">
        <v>0</v>
      </c>
      <c r="D52" s="1149">
        <v>0</v>
      </c>
      <c r="E52" s="1149">
        <v>0</v>
      </c>
      <c r="F52" s="1149">
        <v>0</v>
      </c>
      <c r="G52" s="1149">
        <f t="shared" ref="G52:G59" si="8">SUM(D52:F52)</f>
        <v>0</v>
      </c>
      <c r="H52" s="1149">
        <v>0</v>
      </c>
      <c r="I52" s="1149">
        <v>0</v>
      </c>
      <c r="J52" s="1149">
        <f t="shared" ref="J52:J57" si="9">SUM(H52:I52)</f>
        <v>0</v>
      </c>
      <c r="K52" s="1149"/>
      <c r="L52" s="1155">
        <f t="shared" si="4"/>
        <v>0</v>
      </c>
    </row>
    <row r="53" spans="1:19" hidden="1">
      <c r="A53" s="1153" t="s">
        <v>671</v>
      </c>
      <c r="B53" s="1154" t="s">
        <v>831</v>
      </c>
      <c r="C53" s="1148">
        <v>0</v>
      </c>
      <c r="D53" s="1148">
        <v>0</v>
      </c>
      <c r="E53" s="1148">
        <v>0</v>
      </c>
      <c r="F53" s="1148">
        <v>0</v>
      </c>
      <c r="G53" s="1149">
        <f t="shared" si="8"/>
        <v>0</v>
      </c>
      <c r="H53" s="1148">
        <v>0</v>
      </c>
      <c r="I53" s="1148">
        <v>0</v>
      </c>
      <c r="J53" s="1149">
        <f t="shared" si="9"/>
        <v>0</v>
      </c>
      <c r="K53" s="1148">
        <v>0</v>
      </c>
      <c r="L53" s="1155">
        <f t="shared" si="4"/>
        <v>0</v>
      </c>
    </row>
    <row r="54" spans="1:19" hidden="1">
      <c r="A54" s="1153" t="s">
        <v>829</v>
      </c>
      <c r="B54" s="1154" t="s">
        <v>1527</v>
      </c>
      <c r="C54" s="1148">
        <v>0</v>
      </c>
      <c r="D54" s="1188">
        <v>0</v>
      </c>
      <c r="E54" s="1188">
        <v>0</v>
      </c>
      <c r="F54" s="1188">
        <v>0</v>
      </c>
      <c r="G54" s="1149">
        <f t="shared" si="8"/>
        <v>0</v>
      </c>
      <c r="H54" s="1148">
        <v>0</v>
      </c>
      <c r="I54" s="1148">
        <v>0</v>
      </c>
      <c r="J54" s="1149">
        <f t="shared" si="9"/>
        <v>0</v>
      </c>
      <c r="K54" s="1148">
        <v>0</v>
      </c>
      <c r="L54" s="1155">
        <f t="shared" si="4"/>
        <v>0</v>
      </c>
    </row>
    <row r="55" spans="1:19">
      <c r="A55" s="1153" t="s">
        <v>838</v>
      </c>
      <c r="B55" s="1154" t="s">
        <v>841</v>
      </c>
      <c r="C55" s="1148">
        <f>1000000</f>
        <v>1000000</v>
      </c>
      <c r="D55" s="1188">
        <v>0</v>
      </c>
      <c r="E55" s="1188">
        <v>0</v>
      </c>
      <c r="F55" s="1188">
        <v>0</v>
      </c>
      <c r="G55" s="1149">
        <f t="shared" si="8"/>
        <v>0</v>
      </c>
      <c r="H55" s="1148">
        <v>0</v>
      </c>
      <c r="I55" s="1148">
        <v>0</v>
      </c>
      <c r="J55" s="1149">
        <f t="shared" si="9"/>
        <v>0</v>
      </c>
      <c r="K55" s="1148">
        <v>0</v>
      </c>
      <c r="L55" s="1155">
        <f t="shared" si="4"/>
        <v>1000000</v>
      </c>
    </row>
    <row r="56" spans="1:19" hidden="1">
      <c r="A56" s="1153" t="s">
        <v>839</v>
      </c>
      <c r="B56" s="1189" t="s">
        <v>840</v>
      </c>
      <c r="C56" s="1148">
        <v>0</v>
      </c>
      <c r="D56" s="1148">
        <v>0</v>
      </c>
      <c r="E56" s="1148">
        <v>0</v>
      </c>
      <c r="F56" s="1148">
        <v>0</v>
      </c>
      <c r="G56" s="1149">
        <f t="shared" si="8"/>
        <v>0</v>
      </c>
      <c r="H56" s="1148">
        <v>0</v>
      </c>
      <c r="I56" s="1148">
        <v>0</v>
      </c>
      <c r="J56" s="1149">
        <f t="shared" si="9"/>
        <v>0</v>
      </c>
      <c r="K56" s="1148">
        <v>0</v>
      </c>
      <c r="L56" s="1155">
        <f t="shared" si="4"/>
        <v>0</v>
      </c>
      <c r="P56" s="1190"/>
    </row>
    <row r="57" spans="1:19" ht="16.5" thickBot="1">
      <c r="A57" s="1153" t="s">
        <v>903</v>
      </c>
      <c r="B57" s="1189" t="s">
        <v>904</v>
      </c>
      <c r="C57" s="1148">
        <v>900000</v>
      </c>
      <c r="D57" s="1148"/>
      <c r="E57" s="1148">
        <v>0</v>
      </c>
      <c r="F57" s="1148">
        <v>0</v>
      </c>
      <c r="G57" s="1149">
        <f t="shared" si="8"/>
        <v>0</v>
      </c>
      <c r="H57" s="1148">
        <v>0</v>
      </c>
      <c r="I57" s="1148">
        <v>0</v>
      </c>
      <c r="J57" s="1149">
        <f t="shared" si="9"/>
        <v>0</v>
      </c>
      <c r="K57" s="1148">
        <v>0</v>
      </c>
      <c r="L57" s="1155">
        <f t="shared" si="4"/>
        <v>900000</v>
      </c>
      <c r="N57" s="1135" t="s">
        <v>16</v>
      </c>
      <c r="Q57" s="1191" t="s">
        <v>253</v>
      </c>
      <c r="R57" s="1126"/>
    </row>
    <row r="58" spans="1:19" ht="15.75" hidden="1" customHeight="1">
      <c r="A58" s="1153" t="s">
        <v>842</v>
      </c>
      <c r="B58" s="1154" t="s">
        <v>843</v>
      </c>
      <c r="C58" s="1148">
        <v>0</v>
      </c>
      <c r="D58" s="1148">
        <v>0</v>
      </c>
      <c r="E58" s="1148">
        <v>0</v>
      </c>
      <c r="F58" s="1148">
        <v>0</v>
      </c>
      <c r="G58" s="1149">
        <f t="shared" si="8"/>
        <v>0</v>
      </c>
      <c r="H58" s="1148">
        <v>0</v>
      </c>
      <c r="I58" s="1148">
        <v>0</v>
      </c>
      <c r="J58" s="1148">
        <f t="shared" ref="J58:J61" si="10">SUM(H58:I58)</f>
        <v>0</v>
      </c>
      <c r="K58" s="1148">
        <v>0</v>
      </c>
      <c r="L58" s="1155">
        <f t="shared" si="4"/>
        <v>0</v>
      </c>
    </row>
    <row r="59" spans="1:19" ht="15.75" hidden="1" customHeight="1">
      <c r="A59" s="1168" t="s">
        <v>1463</v>
      </c>
      <c r="B59" s="1154" t="s">
        <v>923</v>
      </c>
      <c r="C59" s="1170">
        <v>0</v>
      </c>
      <c r="D59" s="1170"/>
      <c r="E59" s="1170">
        <v>0</v>
      </c>
      <c r="F59" s="1170">
        <v>0</v>
      </c>
      <c r="G59" s="1149">
        <f t="shared" si="8"/>
        <v>0</v>
      </c>
      <c r="H59" s="1170">
        <v>0</v>
      </c>
      <c r="I59" s="1170">
        <v>0</v>
      </c>
      <c r="J59" s="1148">
        <f t="shared" si="10"/>
        <v>0</v>
      </c>
      <c r="K59" s="1170">
        <v>0</v>
      </c>
      <c r="L59" s="1155">
        <f t="shared" si="4"/>
        <v>0</v>
      </c>
      <c r="O59" s="1135"/>
      <c r="P59" s="1135"/>
    </row>
    <row r="60" spans="1:19" ht="15.75" hidden="1" customHeight="1">
      <c r="A60" s="1168" t="s">
        <v>1523</v>
      </c>
      <c r="B60" s="1169" t="s">
        <v>1522</v>
      </c>
      <c r="C60" s="1170">
        <v>0</v>
      </c>
      <c r="D60" s="1170"/>
      <c r="E60" s="1170">
        <v>0</v>
      </c>
      <c r="F60" s="1170">
        <v>0</v>
      </c>
      <c r="G60" s="1170">
        <v>0</v>
      </c>
      <c r="H60" s="1170">
        <v>0</v>
      </c>
      <c r="I60" s="1170">
        <v>0</v>
      </c>
      <c r="J60" s="1170">
        <v>0</v>
      </c>
      <c r="K60" s="1170">
        <v>0</v>
      </c>
      <c r="L60" s="1155">
        <f t="shared" si="4"/>
        <v>0</v>
      </c>
      <c r="N60" s="1434" t="s">
        <v>17</v>
      </c>
      <c r="O60" s="1701" t="s">
        <v>783</v>
      </c>
      <c r="P60" s="1701"/>
      <c r="Q60" s="1701" t="s">
        <v>1772</v>
      </c>
      <c r="R60" s="1701"/>
    </row>
    <row r="61" spans="1:19" ht="16.5" hidden="1" customHeight="1" thickBot="1">
      <c r="A61" s="1168" t="s">
        <v>833</v>
      </c>
      <c r="B61" s="1192" t="s">
        <v>835</v>
      </c>
      <c r="C61" s="1170">
        <v>0</v>
      </c>
      <c r="D61" s="1193">
        <v>0</v>
      </c>
      <c r="E61" s="1193">
        <v>0</v>
      </c>
      <c r="F61" s="1193">
        <v>0</v>
      </c>
      <c r="G61" s="1170">
        <f t="shared" ref="G61" si="11">SUM(D61:F61)</f>
        <v>0</v>
      </c>
      <c r="H61" s="1170">
        <v>0</v>
      </c>
      <c r="I61" s="1170">
        <v>0</v>
      </c>
      <c r="J61" s="1170">
        <f t="shared" si="10"/>
        <v>0</v>
      </c>
      <c r="K61" s="1170">
        <v>0</v>
      </c>
      <c r="L61" s="1155">
        <f t="shared" si="4"/>
        <v>0</v>
      </c>
      <c r="N61" s="1435" t="s">
        <v>18</v>
      </c>
      <c r="O61" s="1711" t="s">
        <v>237</v>
      </c>
      <c r="P61" s="1711"/>
      <c r="Q61" s="1711" t="s">
        <v>14</v>
      </c>
      <c r="R61" s="1711"/>
    </row>
    <row r="62" spans="1:19" ht="16.5" thickBot="1">
      <c r="A62" s="1171" t="s">
        <v>1771</v>
      </c>
      <c r="B62" s="1194"/>
      <c r="C62" s="1173">
        <f t="shared" ref="C62:L62" si="12">SUM(C51:C61)</f>
        <v>1900000</v>
      </c>
      <c r="D62" s="1173">
        <f t="shared" si="12"/>
        <v>0</v>
      </c>
      <c r="E62" s="1173">
        <f t="shared" si="12"/>
        <v>0</v>
      </c>
      <c r="F62" s="1173">
        <f t="shared" si="12"/>
        <v>0</v>
      </c>
      <c r="G62" s="1173">
        <f t="shared" si="12"/>
        <v>0</v>
      </c>
      <c r="H62" s="1173">
        <f t="shared" si="12"/>
        <v>0</v>
      </c>
      <c r="I62" s="1173">
        <f t="shared" si="12"/>
        <v>0</v>
      </c>
      <c r="J62" s="1173">
        <f t="shared" si="12"/>
        <v>0</v>
      </c>
      <c r="K62" s="1173">
        <f t="shared" si="12"/>
        <v>0</v>
      </c>
      <c r="L62" s="1174">
        <f t="shared" si="12"/>
        <v>1900000</v>
      </c>
    </row>
    <row r="63" spans="1:19">
      <c r="A63" s="1195" t="s">
        <v>784</v>
      </c>
      <c r="B63" s="1147">
        <v>1181</v>
      </c>
      <c r="C63" s="1149">
        <v>0</v>
      </c>
      <c r="D63" s="1150">
        <v>0</v>
      </c>
      <c r="E63" s="1150"/>
      <c r="F63" s="1150"/>
      <c r="G63" s="1150">
        <f>1100000</f>
        <v>1100000</v>
      </c>
      <c r="H63" s="1150"/>
      <c r="I63" s="1150"/>
      <c r="J63" s="1149">
        <v>0</v>
      </c>
      <c r="K63" s="1149">
        <v>0</v>
      </c>
      <c r="L63" s="1150">
        <f t="shared" si="4"/>
        <v>1100000</v>
      </c>
      <c r="N63" s="1434" t="s">
        <v>17</v>
      </c>
      <c r="O63" s="1151" t="s">
        <v>783</v>
      </c>
      <c r="Q63" s="1701" t="s">
        <v>1438</v>
      </c>
      <c r="R63" s="1701"/>
      <c r="S63" s="1151"/>
    </row>
    <row r="64" spans="1:19">
      <c r="A64" s="1196" t="s">
        <v>785</v>
      </c>
      <c r="B64" s="1154">
        <v>1191</v>
      </c>
      <c r="C64" s="1148">
        <v>0</v>
      </c>
      <c r="D64" s="1155">
        <v>0</v>
      </c>
      <c r="E64" s="1155"/>
      <c r="F64" s="1155"/>
      <c r="G64" s="1155">
        <f>635000</f>
        <v>635000</v>
      </c>
      <c r="H64" s="1155"/>
      <c r="I64" s="1155"/>
      <c r="J64" s="1148">
        <v>0</v>
      </c>
      <c r="K64" s="1148">
        <v>0</v>
      </c>
      <c r="L64" s="1155">
        <f t="shared" si="4"/>
        <v>635000</v>
      </c>
      <c r="N64" s="1435" t="s">
        <v>18</v>
      </c>
      <c r="O64" s="1197" t="s">
        <v>237</v>
      </c>
      <c r="Q64" s="1711" t="s">
        <v>14</v>
      </c>
      <c r="R64" s="1711"/>
      <c r="S64" s="1197"/>
    </row>
    <row r="65" spans="1:261" s="1135" customFormat="1">
      <c r="A65" s="1196" t="s">
        <v>786</v>
      </c>
      <c r="B65" s="1154">
        <v>1158</v>
      </c>
      <c r="C65" s="1155">
        <v>70000</v>
      </c>
      <c r="D65" s="1148">
        <v>0</v>
      </c>
      <c r="E65" s="1148"/>
      <c r="F65" s="1148"/>
      <c r="G65" s="1148">
        <v>0</v>
      </c>
      <c r="H65" s="1148"/>
      <c r="I65" s="1148"/>
      <c r="J65" s="1148">
        <v>0</v>
      </c>
      <c r="K65" s="1148">
        <v>0</v>
      </c>
      <c r="L65" s="1155">
        <f t="shared" si="4"/>
        <v>70000</v>
      </c>
      <c r="N65" s="1125"/>
      <c r="O65" s="1125"/>
      <c r="P65" s="1125"/>
      <c r="Q65" s="1125"/>
      <c r="R65" s="1125"/>
      <c r="S65" s="1125"/>
      <c r="T65" s="1125"/>
    </row>
    <row r="66" spans="1:261">
      <c r="A66" s="1196" t="s">
        <v>787</v>
      </c>
      <c r="B66" s="1154">
        <v>1111</v>
      </c>
      <c r="C66" s="1148">
        <v>0</v>
      </c>
      <c r="D66" s="1148">
        <v>0</v>
      </c>
      <c r="E66" s="1148"/>
      <c r="F66" s="1148"/>
      <c r="G66" s="1148">
        <v>0</v>
      </c>
      <c r="H66" s="1148"/>
      <c r="I66" s="1148"/>
      <c r="J66" s="1148">
        <v>0</v>
      </c>
      <c r="K66" s="1155">
        <v>100000</v>
      </c>
      <c r="L66" s="1155">
        <f t="shared" si="4"/>
        <v>100000</v>
      </c>
    </row>
    <row r="67" spans="1:261">
      <c r="A67" s="1196" t="s">
        <v>788</v>
      </c>
      <c r="B67" s="1154" t="s">
        <v>262</v>
      </c>
      <c r="C67" s="1155">
        <v>33000</v>
      </c>
      <c r="D67" s="1148">
        <v>0</v>
      </c>
      <c r="E67" s="1148"/>
      <c r="F67" s="1148"/>
      <c r="G67" s="1148">
        <v>0</v>
      </c>
      <c r="H67" s="1148"/>
      <c r="I67" s="1148"/>
      <c r="J67" s="1148">
        <v>0</v>
      </c>
      <c r="K67" s="1148">
        <v>0</v>
      </c>
      <c r="L67" s="1155">
        <f t="shared" si="4"/>
        <v>33000</v>
      </c>
    </row>
    <row r="68" spans="1:261">
      <c r="A68" s="1196" t="s">
        <v>789</v>
      </c>
      <c r="B68" s="1154" t="s">
        <v>26</v>
      </c>
      <c r="C68" s="1155">
        <v>33000</v>
      </c>
      <c r="D68" s="1148">
        <v>0</v>
      </c>
      <c r="E68" s="1148"/>
      <c r="F68" s="1148"/>
      <c r="G68" s="1148">
        <v>0</v>
      </c>
      <c r="H68" s="1148"/>
      <c r="I68" s="1148"/>
      <c r="J68" s="1148">
        <v>0</v>
      </c>
      <c r="K68" s="1148">
        <v>0</v>
      </c>
      <c r="L68" s="1155">
        <f t="shared" si="4"/>
        <v>33000</v>
      </c>
    </row>
    <row r="69" spans="1:261" ht="17.25" customHeight="1">
      <c r="A69" s="1196" t="s">
        <v>792</v>
      </c>
      <c r="B69" s="1154" t="s">
        <v>27</v>
      </c>
      <c r="C69" s="1148">
        <v>0</v>
      </c>
      <c r="D69" s="1148">
        <v>0</v>
      </c>
      <c r="E69" s="1148"/>
      <c r="F69" s="1148"/>
      <c r="G69" s="1148">
        <v>0</v>
      </c>
      <c r="H69" s="1148"/>
      <c r="I69" s="1148"/>
      <c r="J69" s="1148">
        <v>0</v>
      </c>
      <c r="K69" s="1155">
        <v>200000</v>
      </c>
      <c r="L69" s="1155">
        <f t="shared" si="4"/>
        <v>200000</v>
      </c>
      <c r="N69" s="1522" t="s">
        <v>1773</v>
      </c>
      <c r="O69" s="1712"/>
      <c r="P69" s="1712"/>
      <c r="Q69" s="1712"/>
      <c r="R69" s="1712"/>
    </row>
    <row r="70" spans="1:261">
      <c r="A70" s="1196" t="s">
        <v>793</v>
      </c>
      <c r="B70" s="1154" t="s">
        <v>28</v>
      </c>
      <c r="C70" s="1148">
        <v>0</v>
      </c>
      <c r="D70" s="1148">
        <v>0</v>
      </c>
      <c r="E70" s="1148"/>
      <c r="F70" s="1148"/>
      <c r="G70" s="1148">
        <v>0</v>
      </c>
      <c r="H70" s="1148"/>
      <c r="I70" s="1148"/>
      <c r="J70" s="1148">
        <v>0</v>
      </c>
      <c r="K70" s="1155">
        <v>200000</v>
      </c>
      <c r="L70" s="1155">
        <f t="shared" si="4"/>
        <v>200000</v>
      </c>
      <c r="M70" s="1198"/>
      <c r="U70" s="1198"/>
      <c r="V70" s="1198"/>
      <c r="W70" s="1198"/>
      <c r="X70" s="1198"/>
      <c r="Y70" s="1198"/>
      <c r="Z70" s="1198"/>
      <c r="AA70" s="1198"/>
      <c r="AB70" s="1198"/>
      <c r="AC70" s="1198"/>
      <c r="AD70" s="1198"/>
      <c r="AE70" s="1198"/>
      <c r="AF70" s="1198"/>
      <c r="AG70" s="1198"/>
      <c r="AH70" s="1198"/>
      <c r="AI70" s="1198"/>
      <c r="AJ70" s="1198"/>
      <c r="AK70" s="1198"/>
      <c r="AL70" s="1198"/>
      <c r="AM70" s="1198"/>
      <c r="AN70" s="1198"/>
      <c r="AO70" s="1198"/>
      <c r="AP70" s="1198"/>
      <c r="AQ70" s="1198"/>
      <c r="AR70" s="1198"/>
      <c r="AS70" s="1198"/>
      <c r="AT70" s="1198"/>
      <c r="AU70" s="1198"/>
      <c r="AV70" s="1198"/>
      <c r="AW70" s="1198"/>
      <c r="AX70" s="1198"/>
      <c r="AY70" s="1198"/>
      <c r="AZ70" s="1198"/>
      <c r="BA70" s="1198"/>
      <c r="BB70" s="1198"/>
      <c r="BC70" s="1198"/>
      <c r="BD70" s="1198"/>
      <c r="BE70" s="1198"/>
      <c r="BF70" s="1198"/>
      <c r="BG70" s="1198"/>
      <c r="BH70" s="1198"/>
      <c r="BI70" s="1198"/>
      <c r="BJ70" s="1198"/>
      <c r="BK70" s="1198"/>
      <c r="BL70" s="1198"/>
      <c r="BM70" s="1198"/>
      <c r="BN70" s="1198"/>
      <c r="BO70" s="1198"/>
      <c r="BP70" s="1198"/>
      <c r="BQ70" s="1198"/>
      <c r="BR70" s="1198"/>
      <c r="BS70" s="1198"/>
      <c r="BT70" s="1198"/>
      <c r="BU70" s="1198"/>
      <c r="BV70" s="1198"/>
      <c r="BW70" s="1198"/>
      <c r="BX70" s="1198"/>
      <c r="BY70" s="1198"/>
      <c r="BZ70" s="1198"/>
      <c r="CA70" s="1198"/>
      <c r="CB70" s="1198"/>
      <c r="CC70" s="1198"/>
      <c r="CD70" s="1198"/>
      <c r="CE70" s="1198"/>
      <c r="CF70" s="1198"/>
      <c r="CG70" s="1198"/>
      <c r="CH70" s="1198"/>
      <c r="CI70" s="1198"/>
      <c r="CJ70" s="1198"/>
      <c r="CK70" s="1198"/>
      <c r="CL70" s="1198"/>
      <c r="CM70" s="1198"/>
      <c r="CN70" s="1198"/>
      <c r="CO70" s="1198"/>
      <c r="CP70" s="1198"/>
      <c r="CQ70" s="1198"/>
      <c r="CR70" s="1198"/>
      <c r="CS70" s="1198"/>
      <c r="CT70" s="1198"/>
      <c r="CU70" s="1198"/>
      <c r="CV70" s="1198"/>
      <c r="CW70" s="1198"/>
      <c r="CX70" s="1198"/>
      <c r="CY70" s="1198"/>
      <c r="CZ70" s="1198"/>
      <c r="DA70" s="1198"/>
      <c r="DB70" s="1198"/>
      <c r="DC70" s="1198"/>
      <c r="DD70" s="1198"/>
      <c r="DE70" s="1198"/>
      <c r="DF70" s="1198"/>
      <c r="DG70" s="1198"/>
      <c r="DH70" s="1198"/>
      <c r="DI70" s="1198"/>
      <c r="DJ70" s="1198"/>
      <c r="DK70" s="1198"/>
      <c r="DL70" s="1198"/>
      <c r="DM70" s="1198"/>
      <c r="DN70" s="1198"/>
      <c r="DO70" s="1198"/>
      <c r="DP70" s="1198"/>
      <c r="DQ70" s="1198"/>
      <c r="DR70" s="1198"/>
      <c r="DS70" s="1198"/>
      <c r="DT70" s="1198"/>
      <c r="DU70" s="1198"/>
      <c r="DV70" s="1198"/>
      <c r="DW70" s="1198"/>
      <c r="DX70" s="1198"/>
      <c r="DY70" s="1198"/>
      <c r="DZ70" s="1198"/>
      <c r="EA70" s="1198"/>
      <c r="EB70" s="1198"/>
      <c r="EC70" s="1198"/>
      <c r="ED70" s="1198"/>
      <c r="EE70" s="1198"/>
      <c r="EF70" s="1198"/>
      <c r="EG70" s="1198"/>
      <c r="EH70" s="1198"/>
      <c r="EI70" s="1198"/>
      <c r="EJ70" s="1198"/>
      <c r="EK70" s="1198"/>
      <c r="EL70" s="1198"/>
      <c r="EM70" s="1198"/>
      <c r="EN70" s="1198"/>
      <c r="EO70" s="1198"/>
      <c r="EP70" s="1198"/>
      <c r="EQ70" s="1198"/>
      <c r="ER70" s="1198"/>
      <c r="ES70" s="1198"/>
      <c r="ET70" s="1198"/>
      <c r="EU70" s="1198"/>
      <c r="EV70" s="1198"/>
      <c r="EW70" s="1198"/>
      <c r="EX70" s="1198"/>
      <c r="EY70" s="1198"/>
      <c r="EZ70" s="1198"/>
      <c r="FA70" s="1198"/>
      <c r="FB70" s="1198"/>
      <c r="FC70" s="1198"/>
      <c r="FD70" s="1198"/>
      <c r="FE70" s="1198"/>
      <c r="FF70" s="1198"/>
      <c r="FG70" s="1198"/>
      <c r="FH70" s="1198"/>
      <c r="FI70" s="1198"/>
      <c r="FJ70" s="1198"/>
      <c r="FK70" s="1198"/>
      <c r="FL70" s="1198"/>
      <c r="FM70" s="1198"/>
      <c r="FN70" s="1198"/>
      <c r="FO70" s="1198"/>
      <c r="FP70" s="1198"/>
      <c r="FQ70" s="1198"/>
      <c r="FR70" s="1198"/>
      <c r="FS70" s="1198"/>
      <c r="FT70" s="1198"/>
      <c r="FU70" s="1198"/>
      <c r="FV70" s="1198"/>
      <c r="FW70" s="1198"/>
      <c r="FX70" s="1198"/>
      <c r="FY70" s="1198"/>
      <c r="FZ70" s="1198"/>
      <c r="GA70" s="1198"/>
      <c r="GB70" s="1198"/>
      <c r="GC70" s="1198"/>
      <c r="GD70" s="1198"/>
      <c r="GE70" s="1198"/>
      <c r="GF70" s="1198"/>
      <c r="GG70" s="1198"/>
      <c r="GH70" s="1198"/>
      <c r="GI70" s="1198"/>
      <c r="GJ70" s="1198"/>
      <c r="GK70" s="1198"/>
      <c r="GL70" s="1198"/>
      <c r="GM70" s="1198"/>
      <c r="GN70" s="1198"/>
      <c r="GO70" s="1198"/>
      <c r="GP70" s="1198"/>
      <c r="GQ70" s="1198"/>
      <c r="GR70" s="1198"/>
      <c r="GS70" s="1198"/>
      <c r="GT70" s="1198"/>
      <c r="GU70" s="1198"/>
      <c r="GV70" s="1198"/>
      <c r="GW70" s="1198"/>
      <c r="GX70" s="1198"/>
      <c r="GY70" s="1198"/>
      <c r="GZ70" s="1198"/>
      <c r="HA70" s="1198"/>
      <c r="HB70" s="1198"/>
      <c r="HC70" s="1198"/>
      <c r="HD70" s="1198"/>
      <c r="HE70" s="1198"/>
      <c r="HF70" s="1198"/>
      <c r="HG70" s="1198"/>
      <c r="HH70" s="1198"/>
      <c r="HI70" s="1198"/>
      <c r="HJ70" s="1198"/>
      <c r="HK70" s="1198"/>
      <c r="HL70" s="1198"/>
      <c r="HM70" s="1198"/>
      <c r="HN70" s="1198"/>
      <c r="HO70" s="1198"/>
      <c r="HP70" s="1198"/>
      <c r="HQ70" s="1198"/>
      <c r="HR70" s="1198"/>
      <c r="HS70" s="1198"/>
      <c r="HT70" s="1198"/>
      <c r="HU70" s="1198"/>
      <c r="HV70" s="1198"/>
      <c r="HW70" s="1198"/>
      <c r="HX70" s="1198"/>
      <c r="HY70" s="1198"/>
      <c r="HZ70" s="1198"/>
      <c r="IA70" s="1198"/>
      <c r="IB70" s="1198"/>
      <c r="IC70" s="1198"/>
      <c r="ID70" s="1198"/>
      <c r="IE70" s="1198"/>
      <c r="IF70" s="1198"/>
      <c r="IG70" s="1198"/>
      <c r="IH70" s="1198"/>
      <c r="II70" s="1198"/>
      <c r="IJ70" s="1198"/>
      <c r="IK70" s="1198"/>
      <c r="IL70" s="1198"/>
      <c r="IM70" s="1198"/>
      <c r="IN70" s="1198"/>
      <c r="IO70" s="1198"/>
      <c r="IP70" s="1198"/>
      <c r="IQ70" s="1198"/>
      <c r="IR70" s="1198"/>
      <c r="IS70" s="1198"/>
      <c r="IT70" s="1198"/>
      <c r="IU70" s="1198"/>
      <c r="IV70" s="1198"/>
      <c r="IW70" s="1198"/>
      <c r="IX70" s="1198"/>
      <c r="IY70" s="1198"/>
      <c r="IZ70" s="1198"/>
      <c r="JA70" s="1198"/>
    </row>
    <row r="71" spans="1:261">
      <c r="A71" s="1199"/>
      <c r="B71" s="1200"/>
      <c r="C71" s="1201"/>
      <c r="D71" s="1201"/>
      <c r="E71" s="1201"/>
      <c r="F71" s="1201"/>
      <c r="G71" s="1201"/>
      <c r="H71" s="1201"/>
      <c r="I71" s="1201"/>
      <c r="J71" s="1201"/>
      <c r="K71" s="1202"/>
      <c r="L71" s="1202"/>
      <c r="M71" s="1161"/>
      <c r="U71" s="1161"/>
      <c r="V71" s="1161"/>
      <c r="W71" s="1161"/>
      <c r="X71" s="1161"/>
      <c r="Y71" s="1161"/>
      <c r="Z71" s="1161"/>
      <c r="AA71" s="1161"/>
      <c r="AB71" s="1161"/>
      <c r="AC71" s="1161"/>
      <c r="AD71" s="1161"/>
      <c r="AE71" s="1161"/>
      <c r="AF71" s="1161"/>
      <c r="AG71" s="1161"/>
      <c r="AH71" s="1161"/>
      <c r="AI71" s="1161"/>
      <c r="AJ71" s="1161"/>
      <c r="AK71" s="1161"/>
      <c r="AL71" s="1161"/>
      <c r="AM71" s="1161"/>
      <c r="AN71" s="1161"/>
      <c r="AO71" s="1161"/>
      <c r="AP71" s="1161"/>
      <c r="AQ71" s="1161"/>
      <c r="AR71" s="1161"/>
      <c r="AS71" s="1161"/>
      <c r="AT71" s="1161"/>
      <c r="AU71" s="1161"/>
      <c r="AV71" s="1161"/>
      <c r="AW71" s="1161"/>
      <c r="AX71" s="1161"/>
      <c r="AY71" s="1161"/>
      <c r="AZ71" s="1161"/>
      <c r="BA71" s="1161"/>
      <c r="BB71" s="1161"/>
      <c r="BC71" s="1161"/>
      <c r="BD71" s="1161"/>
      <c r="BE71" s="1161"/>
      <c r="BF71" s="1161"/>
      <c r="BG71" s="1161"/>
      <c r="BH71" s="1161"/>
      <c r="BI71" s="1161"/>
      <c r="BJ71" s="1161"/>
      <c r="BK71" s="1161"/>
      <c r="BL71" s="1161"/>
      <c r="BM71" s="1161"/>
      <c r="BN71" s="1161"/>
      <c r="BO71" s="1161"/>
      <c r="BP71" s="1161"/>
      <c r="BQ71" s="1161"/>
      <c r="BR71" s="1161"/>
      <c r="BS71" s="1161"/>
      <c r="BT71" s="1161"/>
      <c r="BU71" s="1161"/>
      <c r="BV71" s="1161"/>
      <c r="BW71" s="1161"/>
      <c r="BX71" s="1161"/>
      <c r="BY71" s="1161"/>
      <c r="BZ71" s="1161"/>
      <c r="CA71" s="1161"/>
      <c r="CB71" s="1161"/>
      <c r="CC71" s="1161"/>
      <c r="CD71" s="1161"/>
      <c r="CE71" s="1161"/>
      <c r="CF71" s="1161"/>
      <c r="CG71" s="1161"/>
      <c r="CH71" s="1161"/>
      <c r="CI71" s="1161"/>
      <c r="CJ71" s="1161"/>
      <c r="CK71" s="1161"/>
      <c r="CL71" s="1161"/>
      <c r="CM71" s="1161"/>
      <c r="CN71" s="1161"/>
      <c r="CO71" s="1161"/>
      <c r="CP71" s="1161"/>
      <c r="CQ71" s="1161"/>
      <c r="CR71" s="1161"/>
      <c r="CS71" s="1161"/>
      <c r="CT71" s="1161"/>
      <c r="CU71" s="1161"/>
      <c r="CV71" s="1161"/>
      <c r="CW71" s="1161"/>
      <c r="CX71" s="1161"/>
      <c r="CY71" s="1161"/>
      <c r="CZ71" s="1161"/>
      <c r="DA71" s="1161"/>
      <c r="DB71" s="1161"/>
      <c r="DC71" s="1161"/>
      <c r="DD71" s="1161"/>
      <c r="DE71" s="1161"/>
      <c r="DF71" s="1161"/>
      <c r="DG71" s="1161"/>
      <c r="DH71" s="1161"/>
      <c r="DI71" s="1161"/>
      <c r="DJ71" s="1161"/>
      <c r="DK71" s="1161"/>
      <c r="DL71" s="1161"/>
      <c r="DM71" s="1161"/>
      <c r="DN71" s="1161"/>
      <c r="DO71" s="1161"/>
      <c r="DP71" s="1161"/>
      <c r="DQ71" s="1161"/>
      <c r="DR71" s="1161"/>
      <c r="DS71" s="1161"/>
      <c r="DT71" s="1161"/>
      <c r="DU71" s="1161"/>
      <c r="DV71" s="1161"/>
      <c r="DW71" s="1161"/>
      <c r="DX71" s="1161"/>
      <c r="DY71" s="1161"/>
      <c r="DZ71" s="1161"/>
      <c r="EA71" s="1161"/>
      <c r="EB71" s="1161"/>
      <c r="EC71" s="1161"/>
      <c r="ED71" s="1161"/>
      <c r="EE71" s="1161"/>
      <c r="EF71" s="1161"/>
      <c r="EG71" s="1161"/>
      <c r="EH71" s="1161"/>
      <c r="EI71" s="1161"/>
      <c r="EJ71" s="1161"/>
      <c r="EK71" s="1161"/>
      <c r="EL71" s="1161"/>
      <c r="EM71" s="1161"/>
      <c r="EN71" s="1161"/>
      <c r="EO71" s="1161"/>
      <c r="EP71" s="1161"/>
      <c r="EQ71" s="1161"/>
      <c r="ER71" s="1161"/>
      <c r="ES71" s="1161"/>
      <c r="ET71" s="1161"/>
      <c r="EU71" s="1161"/>
      <c r="EV71" s="1161"/>
      <c r="EW71" s="1161"/>
      <c r="EX71" s="1161"/>
      <c r="EY71" s="1161"/>
      <c r="EZ71" s="1161"/>
      <c r="FA71" s="1161"/>
      <c r="FB71" s="1161"/>
      <c r="FC71" s="1161"/>
      <c r="FD71" s="1161"/>
      <c r="FE71" s="1161"/>
      <c r="FF71" s="1161"/>
      <c r="FG71" s="1161"/>
      <c r="FH71" s="1161"/>
      <c r="FI71" s="1161"/>
      <c r="FJ71" s="1161"/>
      <c r="FK71" s="1161"/>
      <c r="FL71" s="1161"/>
      <c r="FM71" s="1161"/>
      <c r="FN71" s="1161"/>
      <c r="FO71" s="1161"/>
      <c r="FP71" s="1161"/>
      <c r="FQ71" s="1161"/>
      <c r="FR71" s="1161"/>
      <c r="FS71" s="1161"/>
      <c r="FT71" s="1161"/>
      <c r="FU71" s="1161"/>
      <c r="FV71" s="1161"/>
      <c r="FW71" s="1161"/>
      <c r="FX71" s="1161"/>
      <c r="FY71" s="1161"/>
      <c r="FZ71" s="1161"/>
      <c r="GA71" s="1161"/>
      <c r="GB71" s="1161"/>
      <c r="GC71" s="1161"/>
      <c r="GD71" s="1161"/>
      <c r="GE71" s="1161"/>
      <c r="GF71" s="1161"/>
      <c r="GG71" s="1161"/>
      <c r="GH71" s="1161"/>
      <c r="GI71" s="1161"/>
      <c r="GJ71" s="1161"/>
      <c r="GK71" s="1161"/>
      <c r="GL71" s="1161"/>
      <c r="GM71" s="1161"/>
      <c r="GN71" s="1161"/>
      <c r="GO71" s="1161"/>
      <c r="GP71" s="1161"/>
      <c r="GQ71" s="1161"/>
      <c r="GR71" s="1161"/>
      <c r="GS71" s="1161"/>
      <c r="GT71" s="1161"/>
      <c r="GU71" s="1161"/>
      <c r="GV71" s="1161"/>
      <c r="GW71" s="1161"/>
      <c r="GX71" s="1161"/>
      <c r="GY71" s="1161"/>
      <c r="GZ71" s="1161"/>
      <c r="HA71" s="1161"/>
      <c r="HB71" s="1161"/>
      <c r="HC71" s="1161"/>
      <c r="HD71" s="1161"/>
      <c r="HE71" s="1161"/>
      <c r="HF71" s="1161"/>
      <c r="HG71" s="1161"/>
      <c r="HH71" s="1161"/>
      <c r="HI71" s="1161"/>
      <c r="HJ71" s="1161"/>
      <c r="HK71" s="1161"/>
      <c r="HL71" s="1161"/>
      <c r="HM71" s="1161"/>
      <c r="HN71" s="1161"/>
      <c r="HO71" s="1161"/>
      <c r="HP71" s="1161"/>
      <c r="HQ71" s="1161"/>
      <c r="HR71" s="1161"/>
      <c r="HS71" s="1161"/>
      <c r="HT71" s="1161"/>
      <c r="HU71" s="1161"/>
      <c r="HV71" s="1161"/>
      <c r="HW71" s="1161"/>
      <c r="HX71" s="1161"/>
      <c r="HY71" s="1161"/>
      <c r="HZ71" s="1161"/>
      <c r="IA71" s="1161"/>
      <c r="IB71" s="1161"/>
      <c r="IC71" s="1161"/>
      <c r="ID71" s="1161"/>
      <c r="IE71" s="1161"/>
      <c r="IF71" s="1161"/>
      <c r="IG71" s="1161"/>
      <c r="IH71" s="1161"/>
      <c r="II71" s="1161"/>
      <c r="IJ71" s="1161"/>
      <c r="IK71" s="1161"/>
      <c r="IL71" s="1161"/>
      <c r="IM71" s="1161"/>
      <c r="IN71" s="1161"/>
      <c r="IO71" s="1161"/>
      <c r="IP71" s="1161"/>
      <c r="IQ71" s="1161"/>
      <c r="IR71" s="1161"/>
      <c r="IS71" s="1161"/>
      <c r="IT71" s="1161"/>
      <c r="IU71" s="1161"/>
      <c r="IV71" s="1161"/>
      <c r="IW71" s="1161"/>
      <c r="IX71" s="1161"/>
      <c r="IY71" s="1161"/>
      <c r="IZ71" s="1161"/>
      <c r="JA71" s="1161"/>
    </row>
    <row r="72" spans="1:261">
      <c r="A72" s="1199"/>
      <c r="B72" s="1200"/>
      <c r="C72" s="1201"/>
      <c r="D72" s="1201"/>
      <c r="E72" s="1201"/>
      <c r="F72" s="1201"/>
      <c r="G72" s="1201"/>
      <c r="H72" s="1201"/>
      <c r="I72" s="1201"/>
      <c r="J72" s="1201"/>
      <c r="K72" s="1202"/>
      <c r="L72" s="1202"/>
      <c r="M72" s="1161"/>
      <c r="R72" s="1151"/>
      <c r="S72" s="1151"/>
      <c r="T72" s="1151"/>
      <c r="U72" s="1151"/>
      <c r="V72" s="1151"/>
      <c r="W72" s="1434"/>
      <c r="X72" s="1434"/>
      <c r="Y72" s="1135"/>
      <c r="Z72" s="1701" t="s">
        <v>1438</v>
      </c>
      <c r="AA72" s="1701"/>
      <c r="AB72" s="1161"/>
      <c r="AC72" s="1161"/>
      <c r="AD72" s="1161"/>
      <c r="AE72" s="1161"/>
      <c r="AF72" s="1161"/>
      <c r="AG72" s="1161"/>
      <c r="AH72" s="1161"/>
      <c r="AI72" s="1161"/>
      <c r="AJ72" s="1161"/>
      <c r="AK72" s="1161"/>
      <c r="AL72" s="1161"/>
      <c r="AM72" s="1161"/>
      <c r="AN72" s="1161"/>
      <c r="AO72" s="1161"/>
      <c r="AP72" s="1161"/>
      <c r="AQ72" s="1161"/>
      <c r="AR72" s="1161"/>
      <c r="AS72" s="1161"/>
      <c r="AT72" s="1161"/>
      <c r="AU72" s="1161"/>
      <c r="AV72" s="1161"/>
      <c r="AW72" s="1161"/>
      <c r="AX72" s="1161"/>
      <c r="AY72" s="1161"/>
      <c r="AZ72" s="1161"/>
      <c r="BA72" s="1161"/>
      <c r="BB72" s="1161"/>
      <c r="BC72" s="1161"/>
      <c r="BD72" s="1161"/>
      <c r="BE72" s="1161"/>
      <c r="BF72" s="1161"/>
      <c r="BG72" s="1161"/>
      <c r="BH72" s="1161"/>
      <c r="BI72" s="1161"/>
      <c r="BJ72" s="1161"/>
      <c r="BK72" s="1161"/>
      <c r="BL72" s="1161"/>
      <c r="BM72" s="1161"/>
      <c r="BN72" s="1161"/>
      <c r="BO72" s="1161"/>
      <c r="BP72" s="1161"/>
      <c r="BQ72" s="1161"/>
      <c r="BR72" s="1161"/>
      <c r="BS72" s="1161"/>
      <c r="BT72" s="1161"/>
      <c r="BU72" s="1161"/>
      <c r="BV72" s="1161"/>
      <c r="BW72" s="1161"/>
      <c r="BX72" s="1161"/>
      <c r="BY72" s="1161"/>
      <c r="BZ72" s="1161"/>
      <c r="CA72" s="1161"/>
      <c r="CB72" s="1161"/>
      <c r="CC72" s="1161"/>
      <c r="CD72" s="1161"/>
      <c r="CE72" s="1161"/>
      <c r="CF72" s="1161"/>
      <c r="CG72" s="1161"/>
      <c r="CH72" s="1161"/>
      <c r="CI72" s="1161"/>
      <c r="CJ72" s="1161"/>
      <c r="CK72" s="1161"/>
      <c r="CL72" s="1161"/>
      <c r="CM72" s="1161"/>
      <c r="CN72" s="1161"/>
      <c r="CO72" s="1161"/>
      <c r="CP72" s="1161"/>
      <c r="CQ72" s="1161"/>
      <c r="CR72" s="1161"/>
      <c r="CS72" s="1161"/>
      <c r="CT72" s="1161"/>
      <c r="CU72" s="1161"/>
      <c r="CV72" s="1161"/>
      <c r="CW72" s="1161"/>
      <c r="CX72" s="1161"/>
      <c r="CY72" s="1161"/>
      <c r="CZ72" s="1161"/>
      <c r="DA72" s="1161"/>
      <c r="DB72" s="1161"/>
      <c r="DC72" s="1161"/>
      <c r="DD72" s="1161"/>
      <c r="DE72" s="1161"/>
      <c r="DF72" s="1161"/>
      <c r="DG72" s="1161"/>
      <c r="DH72" s="1161"/>
      <c r="DI72" s="1161"/>
      <c r="DJ72" s="1161"/>
      <c r="DK72" s="1161"/>
      <c r="DL72" s="1161"/>
      <c r="DM72" s="1161"/>
      <c r="DN72" s="1161"/>
      <c r="DO72" s="1161"/>
      <c r="DP72" s="1161"/>
      <c r="DQ72" s="1161"/>
      <c r="DR72" s="1161"/>
      <c r="DS72" s="1161"/>
      <c r="DT72" s="1161"/>
      <c r="DU72" s="1161"/>
      <c r="DV72" s="1161"/>
      <c r="DW72" s="1161"/>
      <c r="DX72" s="1161"/>
      <c r="DY72" s="1161"/>
      <c r="DZ72" s="1161"/>
      <c r="EA72" s="1161"/>
      <c r="EB72" s="1161"/>
      <c r="EC72" s="1161"/>
      <c r="ED72" s="1161"/>
      <c r="EE72" s="1161"/>
      <c r="EF72" s="1161"/>
      <c r="EG72" s="1161"/>
      <c r="EH72" s="1161"/>
      <c r="EI72" s="1161"/>
      <c r="EJ72" s="1161"/>
      <c r="EK72" s="1161"/>
      <c r="EL72" s="1161"/>
      <c r="EM72" s="1161"/>
      <c r="EN72" s="1161"/>
      <c r="EO72" s="1161"/>
      <c r="EP72" s="1161"/>
      <c r="EQ72" s="1161"/>
      <c r="ER72" s="1161"/>
      <c r="ES72" s="1161"/>
      <c r="ET72" s="1161"/>
      <c r="EU72" s="1161"/>
      <c r="EV72" s="1161"/>
      <c r="EW72" s="1161"/>
      <c r="EX72" s="1161"/>
      <c r="EY72" s="1161"/>
      <c r="EZ72" s="1161"/>
      <c r="FA72" s="1161"/>
      <c r="FB72" s="1161"/>
      <c r="FC72" s="1161"/>
      <c r="FD72" s="1161"/>
      <c r="FE72" s="1161"/>
      <c r="FF72" s="1161"/>
      <c r="FG72" s="1161"/>
      <c r="FH72" s="1161"/>
      <c r="FI72" s="1161"/>
      <c r="FJ72" s="1161"/>
      <c r="FK72" s="1161"/>
      <c r="FL72" s="1161"/>
      <c r="FM72" s="1161"/>
      <c r="FN72" s="1161"/>
      <c r="FO72" s="1161"/>
      <c r="FP72" s="1161"/>
      <c r="FQ72" s="1161"/>
      <c r="FR72" s="1161"/>
      <c r="FS72" s="1161"/>
      <c r="FT72" s="1161"/>
      <c r="FU72" s="1161"/>
      <c r="FV72" s="1161"/>
      <c r="FW72" s="1161"/>
      <c r="FX72" s="1161"/>
      <c r="FY72" s="1161"/>
      <c r="FZ72" s="1161"/>
      <c r="GA72" s="1161"/>
      <c r="GB72" s="1161"/>
      <c r="GC72" s="1161"/>
      <c r="GD72" s="1161"/>
      <c r="GE72" s="1161"/>
      <c r="GF72" s="1161"/>
      <c r="GG72" s="1161"/>
      <c r="GH72" s="1161"/>
      <c r="GI72" s="1161"/>
      <c r="GJ72" s="1161"/>
      <c r="GK72" s="1161"/>
      <c r="GL72" s="1161"/>
      <c r="GM72" s="1161"/>
      <c r="GN72" s="1161"/>
      <c r="GO72" s="1161"/>
      <c r="GP72" s="1161"/>
      <c r="GQ72" s="1161"/>
      <c r="GR72" s="1161"/>
      <c r="GS72" s="1161"/>
      <c r="GT72" s="1161"/>
      <c r="GU72" s="1161"/>
      <c r="GV72" s="1161"/>
      <c r="GW72" s="1161"/>
      <c r="GX72" s="1161"/>
      <c r="GY72" s="1161"/>
      <c r="GZ72" s="1161"/>
      <c r="HA72" s="1161"/>
      <c r="HB72" s="1161"/>
      <c r="HC72" s="1161"/>
      <c r="HD72" s="1161"/>
      <c r="HE72" s="1161"/>
      <c r="HF72" s="1161"/>
      <c r="HG72" s="1161"/>
      <c r="HH72" s="1161"/>
      <c r="HI72" s="1161"/>
      <c r="HJ72" s="1161"/>
      <c r="HK72" s="1161"/>
      <c r="HL72" s="1161"/>
      <c r="HM72" s="1161"/>
      <c r="HN72" s="1161"/>
      <c r="HO72" s="1161"/>
      <c r="HP72" s="1161"/>
      <c r="HQ72" s="1161"/>
      <c r="HR72" s="1161"/>
      <c r="HS72" s="1161"/>
      <c r="HT72" s="1161"/>
      <c r="HU72" s="1161"/>
      <c r="HV72" s="1161"/>
      <c r="HW72" s="1161"/>
      <c r="HX72" s="1161"/>
      <c r="HY72" s="1161"/>
      <c r="HZ72" s="1161"/>
      <c r="IA72" s="1161"/>
      <c r="IB72" s="1161"/>
      <c r="IC72" s="1161"/>
      <c r="ID72" s="1161"/>
      <c r="IE72" s="1161"/>
      <c r="IF72" s="1161"/>
      <c r="IG72" s="1161"/>
      <c r="IH72" s="1161"/>
      <c r="II72" s="1161"/>
      <c r="IJ72" s="1161"/>
      <c r="IK72" s="1161"/>
      <c r="IL72" s="1161"/>
      <c r="IM72" s="1161"/>
      <c r="IN72" s="1161"/>
      <c r="IO72" s="1161"/>
      <c r="IP72" s="1161"/>
      <c r="IQ72" s="1161"/>
      <c r="IR72" s="1161"/>
      <c r="IS72" s="1161"/>
      <c r="IT72" s="1161"/>
      <c r="IU72" s="1161"/>
      <c r="IV72" s="1161"/>
      <c r="IW72" s="1161"/>
      <c r="IX72" s="1161"/>
      <c r="IY72" s="1161"/>
      <c r="IZ72" s="1161"/>
      <c r="JA72" s="1161"/>
    </row>
    <row r="73" spans="1:261">
      <c r="A73" s="1199"/>
      <c r="B73" s="1200"/>
      <c r="C73" s="1201"/>
      <c r="D73" s="1201"/>
      <c r="E73" s="1201"/>
      <c r="F73" s="1201"/>
      <c r="G73" s="1201"/>
      <c r="H73" s="1201"/>
      <c r="I73" s="1201"/>
      <c r="J73" s="1201"/>
      <c r="K73" s="1202"/>
      <c r="L73" s="1202"/>
      <c r="M73" s="1161"/>
      <c r="R73" s="1197"/>
      <c r="S73" s="1197"/>
      <c r="T73" s="1197"/>
      <c r="U73" s="1197"/>
      <c r="V73" s="1197"/>
      <c r="W73" s="1435"/>
      <c r="X73" s="1435"/>
      <c r="Z73" s="1711" t="s">
        <v>14</v>
      </c>
      <c r="AA73" s="1711"/>
      <c r="AB73" s="1161"/>
      <c r="AC73" s="1161"/>
      <c r="AD73" s="1161"/>
      <c r="AE73" s="1161"/>
      <c r="AF73" s="1161"/>
      <c r="AG73" s="1161"/>
      <c r="AH73" s="1161"/>
      <c r="AI73" s="1161"/>
      <c r="AJ73" s="1161"/>
      <c r="AK73" s="1161"/>
      <c r="AL73" s="1161"/>
      <c r="AM73" s="1161"/>
      <c r="AN73" s="1161"/>
      <c r="AO73" s="1161"/>
      <c r="AP73" s="1161"/>
      <c r="AQ73" s="1161"/>
      <c r="AR73" s="1161"/>
      <c r="AS73" s="1161"/>
      <c r="AT73" s="1161"/>
      <c r="AU73" s="1161"/>
      <c r="AV73" s="1161"/>
      <c r="AW73" s="1161"/>
      <c r="AX73" s="1161"/>
      <c r="AY73" s="1161"/>
      <c r="AZ73" s="1161"/>
      <c r="BA73" s="1161"/>
      <c r="BB73" s="1161"/>
      <c r="BC73" s="1161"/>
      <c r="BD73" s="1161"/>
      <c r="BE73" s="1161"/>
      <c r="BF73" s="1161"/>
      <c r="BG73" s="1161"/>
      <c r="BH73" s="1161"/>
      <c r="BI73" s="1161"/>
      <c r="BJ73" s="1161"/>
      <c r="BK73" s="1161"/>
      <c r="BL73" s="1161"/>
      <c r="BM73" s="1161"/>
      <c r="BN73" s="1161"/>
      <c r="BO73" s="1161"/>
      <c r="BP73" s="1161"/>
      <c r="BQ73" s="1161"/>
      <c r="BR73" s="1161"/>
      <c r="BS73" s="1161"/>
      <c r="BT73" s="1161"/>
      <c r="BU73" s="1161"/>
      <c r="BV73" s="1161"/>
      <c r="BW73" s="1161"/>
      <c r="BX73" s="1161"/>
      <c r="BY73" s="1161"/>
      <c r="BZ73" s="1161"/>
      <c r="CA73" s="1161"/>
      <c r="CB73" s="1161"/>
      <c r="CC73" s="1161"/>
      <c r="CD73" s="1161"/>
      <c r="CE73" s="1161"/>
      <c r="CF73" s="1161"/>
      <c r="CG73" s="1161"/>
      <c r="CH73" s="1161"/>
      <c r="CI73" s="1161"/>
      <c r="CJ73" s="1161"/>
      <c r="CK73" s="1161"/>
      <c r="CL73" s="1161"/>
      <c r="CM73" s="1161"/>
      <c r="CN73" s="1161"/>
      <c r="CO73" s="1161"/>
      <c r="CP73" s="1161"/>
      <c r="CQ73" s="1161"/>
      <c r="CR73" s="1161"/>
      <c r="CS73" s="1161"/>
      <c r="CT73" s="1161"/>
      <c r="CU73" s="1161"/>
      <c r="CV73" s="1161"/>
      <c r="CW73" s="1161"/>
      <c r="CX73" s="1161"/>
      <c r="CY73" s="1161"/>
      <c r="CZ73" s="1161"/>
      <c r="DA73" s="1161"/>
      <c r="DB73" s="1161"/>
      <c r="DC73" s="1161"/>
      <c r="DD73" s="1161"/>
      <c r="DE73" s="1161"/>
      <c r="DF73" s="1161"/>
      <c r="DG73" s="1161"/>
      <c r="DH73" s="1161"/>
      <c r="DI73" s="1161"/>
      <c r="DJ73" s="1161"/>
      <c r="DK73" s="1161"/>
      <c r="DL73" s="1161"/>
      <c r="DM73" s="1161"/>
      <c r="DN73" s="1161"/>
      <c r="DO73" s="1161"/>
      <c r="DP73" s="1161"/>
      <c r="DQ73" s="1161"/>
      <c r="DR73" s="1161"/>
      <c r="DS73" s="1161"/>
      <c r="DT73" s="1161"/>
      <c r="DU73" s="1161"/>
      <c r="DV73" s="1161"/>
      <c r="DW73" s="1161"/>
      <c r="DX73" s="1161"/>
      <c r="DY73" s="1161"/>
      <c r="DZ73" s="1161"/>
      <c r="EA73" s="1161"/>
      <c r="EB73" s="1161"/>
      <c r="EC73" s="1161"/>
      <c r="ED73" s="1161"/>
      <c r="EE73" s="1161"/>
      <c r="EF73" s="1161"/>
      <c r="EG73" s="1161"/>
      <c r="EH73" s="1161"/>
      <c r="EI73" s="1161"/>
      <c r="EJ73" s="1161"/>
      <c r="EK73" s="1161"/>
      <c r="EL73" s="1161"/>
      <c r="EM73" s="1161"/>
      <c r="EN73" s="1161"/>
      <c r="EO73" s="1161"/>
      <c r="EP73" s="1161"/>
      <c r="EQ73" s="1161"/>
      <c r="ER73" s="1161"/>
      <c r="ES73" s="1161"/>
      <c r="ET73" s="1161"/>
      <c r="EU73" s="1161"/>
      <c r="EV73" s="1161"/>
      <c r="EW73" s="1161"/>
      <c r="EX73" s="1161"/>
      <c r="EY73" s="1161"/>
      <c r="EZ73" s="1161"/>
      <c r="FA73" s="1161"/>
      <c r="FB73" s="1161"/>
      <c r="FC73" s="1161"/>
      <c r="FD73" s="1161"/>
      <c r="FE73" s="1161"/>
      <c r="FF73" s="1161"/>
      <c r="FG73" s="1161"/>
      <c r="FH73" s="1161"/>
      <c r="FI73" s="1161"/>
      <c r="FJ73" s="1161"/>
      <c r="FK73" s="1161"/>
      <c r="FL73" s="1161"/>
      <c r="FM73" s="1161"/>
      <c r="FN73" s="1161"/>
      <c r="FO73" s="1161"/>
      <c r="FP73" s="1161"/>
      <c r="FQ73" s="1161"/>
      <c r="FR73" s="1161"/>
      <c r="FS73" s="1161"/>
      <c r="FT73" s="1161"/>
      <c r="FU73" s="1161"/>
      <c r="FV73" s="1161"/>
      <c r="FW73" s="1161"/>
      <c r="FX73" s="1161"/>
      <c r="FY73" s="1161"/>
      <c r="FZ73" s="1161"/>
      <c r="GA73" s="1161"/>
      <c r="GB73" s="1161"/>
      <c r="GC73" s="1161"/>
      <c r="GD73" s="1161"/>
      <c r="GE73" s="1161"/>
      <c r="GF73" s="1161"/>
      <c r="GG73" s="1161"/>
      <c r="GH73" s="1161"/>
      <c r="GI73" s="1161"/>
      <c r="GJ73" s="1161"/>
      <c r="GK73" s="1161"/>
      <c r="GL73" s="1161"/>
      <c r="GM73" s="1161"/>
      <c r="GN73" s="1161"/>
      <c r="GO73" s="1161"/>
      <c r="GP73" s="1161"/>
      <c r="GQ73" s="1161"/>
      <c r="GR73" s="1161"/>
      <c r="GS73" s="1161"/>
      <c r="GT73" s="1161"/>
      <c r="GU73" s="1161"/>
      <c r="GV73" s="1161"/>
      <c r="GW73" s="1161"/>
      <c r="GX73" s="1161"/>
      <c r="GY73" s="1161"/>
      <c r="GZ73" s="1161"/>
      <c r="HA73" s="1161"/>
      <c r="HB73" s="1161"/>
      <c r="HC73" s="1161"/>
      <c r="HD73" s="1161"/>
      <c r="HE73" s="1161"/>
      <c r="HF73" s="1161"/>
      <c r="HG73" s="1161"/>
      <c r="HH73" s="1161"/>
      <c r="HI73" s="1161"/>
      <c r="HJ73" s="1161"/>
      <c r="HK73" s="1161"/>
      <c r="HL73" s="1161"/>
      <c r="HM73" s="1161"/>
      <c r="HN73" s="1161"/>
      <c r="HO73" s="1161"/>
      <c r="HP73" s="1161"/>
      <c r="HQ73" s="1161"/>
      <c r="HR73" s="1161"/>
      <c r="HS73" s="1161"/>
      <c r="HT73" s="1161"/>
      <c r="HU73" s="1161"/>
      <c r="HV73" s="1161"/>
      <c r="HW73" s="1161"/>
      <c r="HX73" s="1161"/>
      <c r="HY73" s="1161"/>
      <c r="HZ73" s="1161"/>
      <c r="IA73" s="1161"/>
      <c r="IB73" s="1161"/>
      <c r="IC73" s="1161"/>
      <c r="ID73" s="1161"/>
      <c r="IE73" s="1161"/>
      <c r="IF73" s="1161"/>
      <c r="IG73" s="1161"/>
      <c r="IH73" s="1161"/>
      <c r="II73" s="1161"/>
      <c r="IJ73" s="1161"/>
      <c r="IK73" s="1161"/>
      <c r="IL73" s="1161"/>
      <c r="IM73" s="1161"/>
      <c r="IN73" s="1161"/>
      <c r="IO73" s="1161"/>
      <c r="IP73" s="1161"/>
      <c r="IQ73" s="1161"/>
      <c r="IR73" s="1161"/>
      <c r="IS73" s="1161"/>
      <c r="IT73" s="1161"/>
      <c r="IU73" s="1161"/>
      <c r="IV73" s="1161"/>
      <c r="IW73" s="1161"/>
      <c r="IX73" s="1161"/>
      <c r="IY73" s="1161"/>
      <c r="IZ73" s="1161"/>
      <c r="JA73" s="1161"/>
    </row>
    <row r="74" spans="1:261" ht="24" thickBot="1">
      <c r="A74" s="1522" t="s">
        <v>967</v>
      </c>
      <c r="B74" s="1522"/>
      <c r="C74" s="1522"/>
      <c r="D74" s="1522"/>
      <c r="E74" s="1522"/>
      <c r="F74" s="1522"/>
      <c r="G74" s="1522"/>
      <c r="H74" s="1522"/>
      <c r="I74" s="1522"/>
      <c r="J74" s="1522"/>
      <c r="K74" s="1522"/>
      <c r="L74" s="1522"/>
    </row>
    <row r="75" spans="1:261" ht="47.25">
      <c r="A75" s="1127" t="s">
        <v>3</v>
      </c>
      <c r="B75" s="1128" t="s">
        <v>612</v>
      </c>
      <c r="C75" s="1129" t="s">
        <v>1762</v>
      </c>
      <c r="D75" s="1203">
        <v>7611</v>
      </c>
      <c r="E75" s="1131" t="s">
        <v>1756</v>
      </c>
      <c r="F75" s="1130" t="s">
        <v>1757</v>
      </c>
      <c r="G75" s="1132" t="s">
        <v>1763</v>
      </c>
      <c r="H75" s="1132">
        <v>8751</v>
      </c>
      <c r="I75" s="1132">
        <v>8711</v>
      </c>
      <c r="J75" s="1133" t="s">
        <v>1764</v>
      </c>
      <c r="K75" s="1128" t="s">
        <v>1765</v>
      </c>
      <c r="L75" s="1134" t="s">
        <v>15</v>
      </c>
    </row>
    <row r="76" spans="1:261" ht="16.5" thickBot="1">
      <c r="A76" s="1137"/>
      <c r="B76" s="1138"/>
      <c r="C76" s="1139"/>
      <c r="D76" s="1140"/>
      <c r="E76" s="1141"/>
      <c r="F76" s="1140"/>
      <c r="G76" s="1142"/>
      <c r="H76" s="1142"/>
      <c r="I76" s="1142"/>
      <c r="J76" s="1143"/>
      <c r="K76" s="1144"/>
      <c r="L76" s="1145"/>
    </row>
    <row r="77" spans="1:261">
      <c r="A77" s="1195" t="s">
        <v>794</v>
      </c>
      <c r="B77" s="1147" t="s">
        <v>29</v>
      </c>
      <c r="C77" s="1149">
        <v>0</v>
      </c>
      <c r="D77" s="1149">
        <v>0</v>
      </c>
      <c r="E77" s="1149"/>
      <c r="F77" s="1149"/>
      <c r="G77" s="1149">
        <v>0</v>
      </c>
      <c r="H77" s="1149"/>
      <c r="I77" s="1149"/>
      <c r="J77" s="1149">
        <v>0</v>
      </c>
      <c r="K77" s="1150">
        <v>30000</v>
      </c>
      <c r="L77" s="1150">
        <f t="shared" ref="L77:L129" si="13">SUM(C77+G77+J77+K77)</f>
        <v>30000</v>
      </c>
    </row>
    <row r="78" spans="1:261" s="1135" customFormat="1">
      <c r="A78" s="1196" t="s">
        <v>844</v>
      </c>
      <c r="B78" s="1154" t="s">
        <v>30</v>
      </c>
      <c r="C78" s="1148">
        <v>0</v>
      </c>
      <c r="D78" s="1155">
        <v>0</v>
      </c>
      <c r="E78" s="1155"/>
      <c r="F78" s="1155"/>
      <c r="G78" s="1155">
        <v>100000</v>
      </c>
      <c r="H78" s="1155"/>
      <c r="I78" s="1155"/>
      <c r="J78" s="1148">
        <v>0</v>
      </c>
      <c r="K78" s="1148">
        <v>0</v>
      </c>
      <c r="L78" s="1155">
        <f t="shared" si="13"/>
        <v>100000</v>
      </c>
      <c r="N78" s="1125"/>
      <c r="O78" s="1125"/>
      <c r="P78" s="1125"/>
      <c r="Q78" s="1125"/>
      <c r="R78" s="1125"/>
      <c r="S78" s="1125"/>
      <c r="T78" s="1125"/>
    </row>
    <row r="79" spans="1:261">
      <c r="A79" s="1196" t="s">
        <v>827</v>
      </c>
      <c r="B79" s="1154" t="s">
        <v>31</v>
      </c>
      <c r="C79" s="1148">
        <v>0</v>
      </c>
      <c r="D79" s="1155">
        <v>0</v>
      </c>
      <c r="E79" s="1155"/>
      <c r="F79" s="1155"/>
      <c r="G79" s="1155">
        <v>204000</v>
      </c>
      <c r="H79" s="1155"/>
      <c r="I79" s="1155"/>
      <c r="J79" s="1148">
        <v>0</v>
      </c>
      <c r="K79" s="1148">
        <v>0</v>
      </c>
      <c r="L79" s="1155">
        <f t="shared" si="13"/>
        <v>204000</v>
      </c>
    </row>
    <row r="80" spans="1:261">
      <c r="A80" s="1196" t="s">
        <v>908</v>
      </c>
      <c r="B80" s="1154" t="s">
        <v>391</v>
      </c>
      <c r="C80" s="1148">
        <v>0</v>
      </c>
      <c r="D80" s="1155">
        <v>0</v>
      </c>
      <c r="E80" s="1155"/>
      <c r="F80" s="1155"/>
      <c r="G80" s="1155">
        <v>238000</v>
      </c>
      <c r="H80" s="1155"/>
      <c r="I80" s="1155"/>
      <c r="J80" s="1148">
        <v>0</v>
      </c>
      <c r="K80" s="1148">
        <v>0</v>
      </c>
      <c r="L80" s="1155">
        <f t="shared" si="13"/>
        <v>238000</v>
      </c>
    </row>
    <row r="81" spans="1:61" s="1433" customFormat="1">
      <c r="A81" s="1204" t="s">
        <v>1684</v>
      </c>
      <c r="B81" s="1205" t="s">
        <v>392</v>
      </c>
      <c r="C81" s="1206"/>
      <c r="D81" s="1207"/>
      <c r="E81" s="1207"/>
      <c r="F81" s="1207"/>
      <c r="G81" s="1207">
        <v>150000</v>
      </c>
      <c r="H81" s="1207"/>
      <c r="I81" s="1207"/>
      <c r="J81" s="1206"/>
      <c r="K81" s="1206"/>
      <c r="L81" s="1207">
        <f t="shared" si="13"/>
        <v>150000</v>
      </c>
    </row>
    <row r="82" spans="1:61">
      <c r="A82" s="1196" t="s">
        <v>796</v>
      </c>
      <c r="B82" s="1154" t="s">
        <v>393</v>
      </c>
      <c r="C82" s="1148">
        <v>0</v>
      </c>
      <c r="D82" s="1148">
        <v>0</v>
      </c>
      <c r="E82" s="1148"/>
      <c r="F82" s="1148"/>
      <c r="G82" s="1148">
        <v>0</v>
      </c>
      <c r="H82" s="1148"/>
      <c r="I82" s="1148"/>
      <c r="J82" s="1148">
        <v>0</v>
      </c>
      <c r="K82" s="1155">
        <v>30000</v>
      </c>
      <c r="L82" s="1155">
        <f t="shared" si="13"/>
        <v>30000</v>
      </c>
    </row>
    <row r="83" spans="1:61">
      <c r="A83" s="1196" t="s">
        <v>797</v>
      </c>
      <c r="B83" s="1154" t="s">
        <v>394</v>
      </c>
      <c r="C83" s="1148">
        <v>0</v>
      </c>
      <c r="D83" s="1155">
        <v>0</v>
      </c>
      <c r="E83" s="1155"/>
      <c r="F83" s="1155"/>
      <c r="G83" s="1155">
        <v>176400</v>
      </c>
      <c r="H83" s="1155"/>
      <c r="I83" s="1155"/>
      <c r="J83" s="1148">
        <v>0</v>
      </c>
      <c r="K83" s="1148">
        <v>0</v>
      </c>
      <c r="L83" s="1155">
        <f t="shared" si="13"/>
        <v>176400</v>
      </c>
    </row>
    <row r="84" spans="1:61">
      <c r="A84" s="1196" t="s">
        <v>1472</v>
      </c>
      <c r="B84" s="1154" t="s">
        <v>395</v>
      </c>
      <c r="C84" s="1155">
        <v>50000</v>
      </c>
      <c r="D84" s="1148">
        <v>0</v>
      </c>
      <c r="E84" s="1148"/>
      <c r="F84" s="1148"/>
      <c r="G84" s="1148">
        <v>0</v>
      </c>
      <c r="H84" s="1148"/>
      <c r="I84" s="1148"/>
      <c r="J84" s="1148">
        <v>0</v>
      </c>
      <c r="K84" s="1148">
        <v>0</v>
      </c>
      <c r="L84" s="1155">
        <f t="shared" si="13"/>
        <v>50000</v>
      </c>
    </row>
    <row r="85" spans="1:61">
      <c r="A85" s="1196" t="s">
        <v>799</v>
      </c>
      <c r="B85" s="1154" t="s">
        <v>396</v>
      </c>
      <c r="C85" s="1148">
        <v>0</v>
      </c>
      <c r="D85" s="1148">
        <v>0</v>
      </c>
      <c r="E85" s="1148"/>
      <c r="F85" s="1148"/>
      <c r="G85" s="1148">
        <v>0</v>
      </c>
      <c r="H85" s="1148"/>
      <c r="I85" s="1148"/>
      <c r="J85" s="1148">
        <v>0</v>
      </c>
      <c r="K85" s="1155">
        <v>150000</v>
      </c>
      <c r="L85" s="1155">
        <f t="shared" si="13"/>
        <v>150000</v>
      </c>
    </row>
    <row r="86" spans="1:61">
      <c r="A86" s="1196" t="s">
        <v>875</v>
      </c>
      <c r="B86" s="1154" t="s">
        <v>397</v>
      </c>
      <c r="C86" s="1148">
        <v>0</v>
      </c>
      <c r="D86" s="1155">
        <v>0</v>
      </c>
      <c r="E86" s="1155"/>
      <c r="F86" s="1155"/>
      <c r="G86" s="1155">
        <v>1248000</v>
      </c>
      <c r="H86" s="1155"/>
      <c r="I86" s="1155"/>
      <c r="J86" s="1148">
        <v>0</v>
      </c>
      <c r="K86" s="1148">
        <v>0</v>
      </c>
      <c r="L86" s="1155">
        <f t="shared" si="13"/>
        <v>1248000</v>
      </c>
    </row>
    <row r="87" spans="1:61">
      <c r="A87" s="1196" t="s">
        <v>795</v>
      </c>
      <c r="B87" s="1154" t="s">
        <v>398</v>
      </c>
      <c r="C87" s="1148">
        <v>0</v>
      </c>
      <c r="D87" s="1155">
        <v>0</v>
      </c>
      <c r="E87" s="1155"/>
      <c r="F87" s="1155"/>
      <c r="G87" s="1155">
        <v>135000</v>
      </c>
      <c r="H87" s="1155"/>
      <c r="I87" s="1155"/>
      <c r="J87" s="1148">
        <v>0</v>
      </c>
      <c r="K87" s="1148">
        <v>0</v>
      </c>
      <c r="L87" s="1155">
        <f t="shared" si="13"/>
        <v>135000</v>
      </c>
    </row>
    <row r="88" spans="1:61">
      <c r="A88" s="1196" t="s">
        <v>800</v>
      </c>
      <c r="B88" s="1154" t="s">
        <v>399</v>
      </c>
      <c r="C88" s="1148">
        <v>0</v>
      </c>
      <c r="D88" s="1148">
        <v>0</v>
      </c>
      <c r="E88" s="1148"/>
      <c r="F88" s="1148"/>
      <c r="G88" s="1148"/>
      <c r="H88" s="1148"/>
      <c r="I88" s="1148"/>
      <c r="J88" s="1155">
        <v>243650</v>
      </c>
      <c r="K88" s="1148">
        <v>0</v>
      </c>
      <c r="L88" s="1155">
        <f t="shared" si="13"/>
        <v>243650</v>
      </c>
    </row>
    <row r="89" spans="1:61">
      <c r="A89" s="1204" t="s">
        <v>888</v>
      </c>
      <c r="B89" s="1205" t="s">
        <v>400</v>
      </c>
      <c r="C89" s="1206">
        <v>0</v>
      </c>
      <c r="D89" s="1206">
        <v>0</v>
      </c>
      <c r="E89" s="1206"/>
      <c r="F89" s="1206"/>
      <c r="G89" s="1206">
        <v>201600</v>
      </c>
      <c r="H89" s="1206"/>
      <c r="I89" s="1206"/>
      <c r="J89" s="1207">
        <v>0</v>
      </c>
      <c r="K89" s="1206">
        <v>0</v>
      </c>
      <c r="L89" s="1155">
        <f t="shared" si="13"/>
        <v>201600</v>
      </c>
    </row>
    <row r="90" spans="1:61">
      <c r="A90" s="1204" t="s">
        <v>925</v>
      </c>
      <c r="B90" s="1205" t="s">
        <v>1536</v>
      </c>
      <c r="C90" s="1206"/>
      <c r="D90" s="1206"/>
      <c r="E90" s="1206"/>
      <c r="F90" s="1206"/>
      <c r="G90" s="1206">
        <v>335400</v>
      </c>
      <c r="H90" s="1206"/>
      <c r="I90" s="1206"/>
      <c r="J90" s="1207">
        <v>0</v>
      </c>
      <c r="K90" s="1206">
        <v>0</v>
      </c>
      <c r="L90" s="1155">
        <f t="shared" si="13"/>
        <v>335400</v>
      </c>
    </row>
    <row r="91" spans="1:61">
      <c r="A91" s="1196" t="s">
        <v>1779</v>
      </c>
      <c r="B91" s="1154" t="s">
        <v>926</v>
      </c>
      <c r="C91" s="1148">
        <v>0</v>
      </c>
      <c r="D91" s="1148"/>
      <c r="E91" s="1148"/>
      <c r="F91" s="1148"/>
      <c r="G91" s="1148">
        <v>0</v>
      </c>
      <c r="H91" s="1148"/>
      <c r="I91" s="1148"/>
      <c r="J91" s="1148">
        <v>0</v>
      </c>
      <c r="K91" s="1155">
        <f>1000000</f>
        <v>1000000</v>
      </c>
      <c r="L91" s="1155">
        <f>SUM(C91+G91+J91+K91)</f>
        <v>1000000</v>
      </c>
    </row>
    <row r="92" spans="1:61" s="1208" customFormat="1">
      <c r="A92" s="1204" t="s">
        <v>1451</v>
      </c>
      <c r="B92" s="1205" t="s">
        <v>1537</v>
      </c>
      <c r="C92" s="1206">
        <v>0</v>
      </c>
      <c r="D92" s="1206"/>
      <c r="E92" s="1206"/>
      <c r="F92" s="1206"/>
      <c r="G92" s="1206">
        <v>0</v>
      </c>
      <c r="H92" s="1206"/>
      <c r="I92" s="1206"/>
      <c r="J92" s="1207">
        <v>0</v>
      </c>
      <c r="K92" s="1206">
        <v>100000</v>
      </c>
      <c r="L92" s="1206">
        <f t="shared" ref="L92:L98" si="14">SUM(C92+G92+J92+K92)</f>
        <v>100000</v>
      </c>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1125"/>
      <c r="AM92" s="1125"/>
      <c r="AN92" s="1125"/>
      <c r="AO92" s="1125"/>
      <c r="AP92" s="1125"/>
      <c r="AQ92" s="1125"/>
      <c r="AR92" s="1125"/>
      <c r="AS92" s="1125"/>
      <c r="AT92" s="1125"/>
      <c r="AU92" s="1125"/>
      <c r="AV92" s="1125"/>
      <c r="AW92" s="1125"/>
      <c r="AX92" s="1125"/>
      <c r="AY92" s="1125"/>
      <c r="AZ92" s="1125"/>
      <c r="BA92" s="1125"/>
      <c r="BB92" s="1125"/>
      <c r="BC92" s="1125"/>
      <c r="BD92" s="1125"/>
      <c r="BE92" s="1125"/>
      <c r="BF92" s="1125"/>
      <c r="BG92" s="1125"/>
      <c r="BH92" s="1125"/>
      <c r="BI92" s="1125"/>
    </row>
    <row r="93" spans="1:61" s="1208" customFormat="1">
      <c r="A93" s="1204" t="s">
        <v>1468</v>
      </c>
      <c r="B93" s="1205" t="s">
        <v>927</v>
      </c>
      <c r="C93" s="1206">
        <v>0</v>
      </c>
      <c r="D93" s="1206"/>
      <c r="E93" s="1206"/>
      <c r="F93" s="1206"/>
      <c r="G93" s="1206">
        <v>1260000</v>
      </c>
      <c r="H93" s="1206"/>
      <c r="I93" s="1206"/>
      <c r="J93" s="1207">
        <v>0</v>
      </c>
      <c r="K93" s="1206">
        <v>0</v>
      </c>
      <c r="L93" s="1206">
        <f t="shared" si="14"/>
        <v>1260000</v>
      </c>
      <c r="M93" s="1125"/>
      <c r="N93" s="1125"/>
      <c r="O93" s="1125"/>
      <c r="P93" s="1125"/>
      <c r="Q93" s="1125"/>
      <c r="R93" s="1125"/>
      <c r="S93" s="1125"/>
      <c r="T93" s="1125"/>
      <c r="U93" s="1125"/>
      <c r="V93" s="1125"/>
      <c r="W93" s="1125"/>
      <c r="X93" s="1125"/>
      <c r="Y93" s="1125"/>
      <c r="Z93" s="1125"/>
      <c r="AA93" s="1125"/>
      <c r="AB93" s="1125"/>
      <c r="AC93" s="1125"/>
      <c r="AD93" s="1125"/>
      <c r="AE93" s="1125"/>
      <c r="AF93" s="1125"/>
      <c r="AG93" s="1125"/>
      <c r="AH93" s="1125"/>
      <c r="AI93" s="1125"/>
      <c r="AJ93" s="1125"/>
      <c r="AK93" s="1125"/>
      <c r="AL93" s="1125"/>
      <c r="AM93" s="1125"/>
      <c r="AN93" s="1125"/>
      <c r="AO93" s="1125"/>
      <c r="AP93" s="1125"/>
      <c r="AQ93" s="1125"/>
      <c r="AR93" s="1125"/>
      <c r="AS93" s="1125"/>
      <c r="AT93" s="1125"/>
      <c r="AU93" s="1125"/>
      <c r="AV93" s="1125"/>
      <c r="AW93" s="1125"/>
      <c r="AX93" s="1125"/>
      <c r="AY93" s="1125"/>
      <c r="AZ93" s="1125"/>
      <c r="BA93" s="1125"/>
      <c r="BB93" s="1125"/>
      <c r="BC93" s="1125"/>
      <c r="BD93" s="1125"/>
      <c r="BE93" s="1125"/>
      <c r="BF93" s="1125"/>
      <c r="BG93" s="1125"/>
      <c r="BH93" s="1125"/>
      <c r="BI93" s="1125"/>
    </row>
    <row r="94" spans="1:61" s="1208" customFormat="1">
      <c r="A94" s="1204" t="s">
        <v>798</v>
      </c>
      <c r="B94" s="1205" t="s">
        <v>1452</v>
      </c>
      <c r="C94" s="1206">
        <v>75000</v>
      </c>
      <c r="D94" s="1206"/>
      <c r="E94" s="1206"/>
      <c r="F94" s="1206"/>
      <c r="G94" s="1206"/>
      <c r="H94" s="1206"/>
      <c r="I94" s="1206"/>
      <c r="J94" s="1207">
        <v>0</v>
      </c>
      <c r="K94" s="1206">
        <v>0</v>
      </c>
      <c r="L94" s="1206">
        <f t="shared" si="14"/>
        <v>75000</v>
      </c>
      <c r="M94" s="1125"/>
      <c r="N94" s="1125"/>
      <c r="O94" s="1125"/>
      <c r="P94" s="1125"/>
      <c r="Q94" s="1125"/>
      <c r="R94" s="1125"/>
      <c r="S94" s="1125"/>
      <c r="T94" s="1125"/>
      <c r="U94" s="1125"/>
      <c r="V94" s="1125"/>
      <c r="W94" s="1125"/>
      <c r="X94" s="1125"/>
      <c r="Y94" s="1125"/>
      <c r="Z94" s="1125"/>
      <c r="AA94" s="1125"/>
      <c r="AB94" s="1125"/>
      <c r="AC94" s="1125"/>
      <c r="AD94" s="1125"/>
      <c r="AE94" s="1125"/>
      <c r="AF94" s="1125"/>
      <c r="AG94" s="1125"/>
      <c r="AH94" s="1125"/>
      <c r="AI94" s="1125"/>
      <c r="AJ94" s="1125"/>
      <c r="AK94" s="1125"/>
      <c r="AL94" s="1125"/>
      <c r="AM94" s="1125"/>
      <c r="AN94" s="1125"/>
      <c r="AO94" s="1125"/>
      <c r="AP94" s="1125"/>
      <c r="AQ94" s="1125"/>
      <c r="AR94" s="1125"/>
      <c r="AS94" s="1125"/>
      <c r="AT94" s="1125"/>
      <c r="AU94" s="1125"/>
      <c r="AV94" s="1125"/>
      <c r="AW94" s="1125"/>
      <c r="AX94" s="1125"/>
      <c r="AY94" s="1125"/>
      <c r="AZ94" s="1125"/>
      <c r="BA94" s="1125"/>
      <c r="BB94" s="1125"/>
      <c r="BC94" s="1125"/>
      <c r="BD94" s="1125"/>
      <c r="BE94" s="1125"/>
      <c r="BF94" s="1125"/>
      <c r="BG94" s="1125"/>
      <c r="BH94" s="1125"/>
      <c r="BI94" s="1125"/>
    </row>
    <row r="95" spans="1:61" s="1208" customFormat="1">
      <c r="A95" s="1204" t="s">
        <v>1473</v>
      </c>
      <c r="B95" s="1205" t="s">
        <v>1469</v>
      </c>
      <c r="C95" s="1206">
        <v>0</v>
      </c>
      <c r="D95" s="1206"/>
      <c r="E95" s="1206"/>
      <c r="F95" s="1206"/>
      <c r="G95" s="1206">
        <v>0</v>
      </c>
      <c r="H95" s="1206"/>
      <c r="I95" s="1206"/>
      <c r="J95" s="1207">
        <v>0</v>
      </c>
      <c r="K95" s="1206">
        <v>0</v>
      </c>
      <c r="L95" s="1206">
        <f t="shared" si="14"/>
        <v>0</v>
      </c>
      <c r="M95" s="1125"/>
      <c r="N95" s="1125"/>
      <c r="O95" s="1125"/>
      <c r="P95" s="1125"/>
      <c r="Q95" s="1125"/>
      <c r="R95" s="1125"/>
      <c r="S95" s="1125"/>
      <c r="T95" s="1125"/>
      <c r="U95" s="1125"/>
      <c r="V95" s="1125"/>
      <c r="W95" s="1125"/>
      <c r="X95" s="1125"/>
      <c r="Y95" s="1125"/>
      <c r="Z95" s="1125"/>
      <c r="AA95" s="1125"/>
      <c r="AB95" s="1125"/>
      <c r="AC95" s="1125"/>
      <c r="AD95" s="1125"/>
      <c r="AE95" s="1125"/>
      <c r="AF95" s="1125"/>
      <c r="AG95" s="1125"/>
      <c r="AH95" s="1125"/>
      <c r="AI95" s="1125"/>
      <c r="AJ95" s="1125"/>
      <c r="AK95" s="1125"/>
      <c r="AL95" s="1125"/>
      <c r="AM95" s="1125"/>
      <c r="AN95" s="1125"/>
      <c r="AO95" s="1125"/>
      <c r="AP95" s="1125"/>
      <c r="AQ95" s="1125"/>
      <c r="AR95" s="1125"/>
      <c r="AS95" s="1125"/>
      <c r="AT95" s="1125"/>
      <c r="AU95" s="1125"/>
      <c r="AV95" s="1125"/>
      <c r="AW95" s="1125"/>
      <c r="AX95" s="1125"/>
      <c r="AY95" s="1125"/>
      <c r="AZ95" s="1125"/>
      <c r="BA95" s="1125"/>
      <c r="BB95" s="1125"/>
      <c r="BC95" s="1125"/>
      <c r="BD95" s="1125"/>
      <c r="BE95" s="1125"/>
      <c r="BF95" s="1125"/>
      <c r="BG95" s="1125"/>
      <c r="BH95" s="1125"/>
      <c r="BI95" s="1125"/>
    </row>
    <row r="96" spans="1:61" s="1208" customFormat="1">
      <c r="A96" s="1204" t="s">
        <v>1474</v>
      </c>
      <c r="B96" s="1205" t="s">
        <v>1475</v>
      </c>
      <c r="C96" s="1206">
        <v>0</v>
      </c>
      <c r="D96" s="1206"/>
      <c r="E96" s="1206"/>
      <c r="F96" s="1206"/>
      <c r="G96" s="1206">
        <v>1200000</v>
      </c>
      <c r="H96" s="1206"/>
      <c r="I96" s="1206"/>
      <c r="J96" s="1207">
        <v>0</v>
      </c>
      <c r="K96" s="1206">
        <v>0</v>
      </c>
      <c r="L96" s="1206">
        <f t="shared" si="14"/>
        <v>1200000</v>
      </c>
      <c r="M96" s="1125"/>
      <c r="N96" s="1125"/>
      <c r="O96" s="1125"/>
      <c r="P96" s="1125"/>
      <c r="Q96" s="1125"/>
      <c r="R96" s="1125"/>
      <c r="S96" s="1125"/>
      <c r="T96" s="1125"/>
      <c r="U96" s="1125"/>
      <c r="V96" s="1125"/>
      <c r="W96" s="1125"/>
      <c r="X96" s="1125"/>
      <c r="Y96" s="1125"/>
      <c r="Z96" s="1125"/>
      <c r="AA96" s="1125"/>
      <c r="AB96" s="1125"/>
      <c r="AC96" s="1125"/>
      <c r="AD96" s="1125"/>
      <c r="AE96" s="1125"/>
      <c r="AF96" s="1125"/>
      <c r="AG96" s="1125"/>
      <c r="AH96" s="1125"/>
      <c r="AI96" s="1125"/>
      <c r="AJ96" s="1125"/>
      <c r="AK96" s="1125"/>
      <c r="AL96" s="1125"/>
      <c r="AM96" s="1125"/>
      <c r="AN96" s="1125"/>
      <c r="AO96" s="1125"/>
      <c r="AP96" s="1125"/>
      <c r="AQ96" s="1125"/>
      <c r="AR96" s="1125"/>
      <c r="AS96" s="1125"/>
      <c r="AT96" s="1125"/>
      <c r="AU96" s="1125"/>
      <c r="AV96" s="1125"/>
      <c r="AW96" s="1125"/>
      <c r="AX96" s="1125"/>
      <c r="AY96" s="1125"/>
      <c r="AZ96" s="1125"/>
      <c r="BA96" s="1125"/>
      <c r="BB96" s="1125"/>
      <c r="BC96" s="1125"/>
      <c r="BD96" s="1125"/>
      <c r="BE96" s="1125"/>
      <c r="BF96" s="1125"/>
      <c r="BG96" s="1125"/>
      <c r="BH96" s="1125"/>
      <c r="BI96" s="1125"/>
    </row>
    <row r="97" spans="1:61" s="1208" customFormat="1" hidden="1">
      <c r="A97" s="1204" t="s">
        <v>1585</v>
      </c>
      <c r="B97" s="1205" t="s">
        <v>1586</v>
      </c>
      <c r="C97" s="1206">
        <v>0</v>
      </c>
      <c r="D97" s="1206"/>
      <c r="E97" s="1206"/>
      <c r="F97" s="1206"/>
      <c r="G97" s="1206">
        <v>0</v>
      </c>
      <c r="H97" s="1206"/>
      <c r="I97" s="1206"/>
      <c r="J97" s="1207"/>
      <c r="K97" s="1206"/>
      <c r="L97" s="1206">
        <f t="shared" si="14"/>
        <v>0</v>
      </c>
      <c r="M97" s="1125"/>
      <c r="N97" s="1125"/>
      <c r="O97" s="1125"/>
      <c r="P97" s="1125"/>
      <c r="Q97" s="1125"/>
      <c r="R97" s="1125"/>
      <c r="S97" s="1125"/>
      <c r="T97" s="1125"/>
      <c r="U97" s="1125"/>
      <c r="V97" s="1125"/>
      <c r="W97" s="1125"/>
      <c r="X97" s="1125"/>
      <c r="Y97" s="1125"/>
      <c r="Z97" s="1125"/>
      <c r="AA97" s="1125"/>
      <c r="AB97" s="1125"/>
      <c r="AC97" s="1125"/>
      <c r="AD97" s="1125"/>
      <c r="AE97" s="1125"/>
      <c r="AF97" s="1125"/>
      <c r="AG97" s="1125"/>
      <c r="AH97" s="1125"/>
      <c r="AI97" s="1125"/>
      <c r="AJ97" s="1125"/>
      <c r="AK97" s="1125"/>
      <c r="AL97" s="1125"/>
      <c r="AM97" s="1125"/>
      <c r="AN97" s="1125"/>
      <c r="AO97" s="1125"/>
      <c r="AP97" s="1125"/>
      <c r="AQ97" s="1125"/>
      <c r="AR97" s="1125"/>
      <c r="AS97" s="1125"/>
      <c r="AT97" s="1125"/>
      <c r="AU97" s="1125"/>
      <c r="AV97" s="1125"/>
      <c r="AW97" s="1125"/>
      <c r="AX97" s="1125"/>
      <c r="AY97" s="1125"/>
      <c r="AZ97" s="1125"/>
      <c r="BA97" s="1125"/>
      <c r="BB97" s="1125"/>
      <c r="BC97" s="1125"/>
      <c r="BD97" s="1125"/>
      <c r="BE97" s="1125"/>
      <c r="BF97" s="1125"/>
      <c r="BG97" s="1125"/>
      <c r="BH97" s="1125"/>
      <c r="BI97" s="1125"/>
    </row>
    <row r="98" spans="1:61" s="1208" customFormat="1" hidden="1">
      <c r="A98" s="1204" t="s">
        <v>1615</v>
      </c>
      <c r="B98" s="1205" t="s">
        <v>1616</v>
      </c>
      <c r="C98" s="1206">
        <v>0</v>
      </c>
      <c r="D98" s="1206"/>
      <c r="E98" s="1206"/>
      <c r="F98" s="1206"/>
      <c r="G98" s="1206"/>
      <c r="H98" s="1206"/>
      <c r="I98" s="1206"/>
      <c r="J98" s="1207"/>
      <c r="K98" s="1206"/>
      <c r="L98" s="1206">
        <f t="shared" si="14"/>
        <v>0</v>
      </c>
      <c r="M98" s="1125"/>
      <c r="N98" s="1125"/>
      <c r="O98" s="1125"/>
      <c r="P98" s="1125"/>
      <c r="Q98" s="1125"/>
      <c r="R98" s="1125"/>
      <c r="S98" s="1125"/>
      <c r="T98" s="1125"/>
      <c r="U98" s="1125"/>
      <c r="V98" s="1125"/>
      <c r="W98" s="1125"/>
      <c r="X98" s="1125"/>
      <c r="Y98" s="1125"/>
      <c r="Z98" s="1125"/>
      <c r="AA98" s="1125"/>
      <c r="AB98" s="1125"/>
      <c r="AC98" s="1125"/>
      <c r="AD98" s="1125"/>
      <c r="AE98" s="1125"/>
      <c r="AF98" s="1125"/>
      <c r="AG98" s="1125"/>
      <c r="AH98" s="1125"/>
      <c r="AI98" s="1125"/>
      <c r="AJ98" s="1125"/>
      <c r="AK98" s="1125"/>
      <c r="AL98" s="1125"/>
      <c r="AM98" s="1125"/>
      <c r="AN98" s="1125"/>
      <c r="AO98" s="1125"/>
      <c r="AP98" s="1125"/>
      <c r="AQ98" s="1125"/>
      <c r="AR98" s="1125"/>
      <c r="AS98" s="1125"/>
      <c r="AT98" s="1125"/>
      <c r="AU98" s="1125"/>
      <c r="AV98" s="1125"/>
      <c r="AW98" s="1125"/>
      <c r="AX98" s="1125"/>
      <c r="AY98" s="1125"/>
      <c r="AZ98" s="1125"/>
      <c r="BA98" s="1125"/>
      <c r="BB98" s="1125"/>
      <c r="BC98" s="1125"/>
      <c r="BD98" s="1125"/>
      <c r="BE98" s="1125"/>
      <c r="BF98" s="1125"/>
      <c r="BG98" s="1125"/>
      <c r="BH98" s="1125"/>
      <c r="BI98" s="1125"/>
    </row>
    <row r="99" spans="1:61">
      <c r="A99" s="1196" t="s">
        <v>555</v>
      </c>
      <c r="B99" s="1154">
        <v>6911</v>
      </c>
      <c r="C99" s="1155">
        <v>37503890.200000003</v>
      </c>
      <c r="D99" s="1148">
        <v>0</v>
      </c>
      <c r="E99" s="1148"/>
      <c r="F99" s="1148"/>
      <c r="G99" s="1148">
        <v>0</v>
      </c>
      <c r="H99" s="1148"/>
      <c r="I99" s="1148"/>
      <c r="J99" s="1148">
        <v>0</v>
      </c>
      <c r="K99" s="1148">
        <v>0</v>
      </c>
      <c r="L99" s="1155">
        <f t="shared" si="13"/>
        <v>37503890.200000003</v>
      </c>
    </row>
    <row r="100" spans="1:61">
      <c r="A100" s="1196" t="s">
        <v>266</v>
      </c>
      <c r="B100" s="1154">
        <v>9998</v>
      </c>
      <c r="C100" s="1148">
        <v>0</v>
      </c>
      <c r="D100" s="1155">
        <v>0</v>
      </c>
      <c r="E100" s="1155"/>
      <c r="F100" s="1155"/>
      <c r="G100" s="1155">
        <v>10156472.550000001</v>
      </c>
      <c r="H100" s="1155"/>
      <c r="I100" s="1155"/>
      <c r="J100" s="1148">
        <v>0</v>
      </c>
      <c r="K100" s="1148">
        <v>0</v>
      </c>
      <c r="L100" s="1155">
        <f t="shared" si="13"/>
        <v>10156472.550000001</v>
      </c>
    </row>
    <row r="101" spans="1:61">
      <c r="A101" s="1196" t="s">
        <v>556</v>
      </c>
      <c r="B101" s="1154">
        <v>9995</v>
      </c>
      <c r="C101" s="1155">
        <v>21000</v>
      </c>
      <c r="D101" s="1148">
        <v>0</v>
      </c>
      <c r="E101" s="1148"/>
      <c r="F101" s="1148"/>
      <c r="G101" s="1148">
        <v>0</v>
      </c>
      <c r="H101" s="1148"/>
      <c r="I101" s="1148"/>
      <c r="J101" s="1148">
        <v>0</v>
      </c>
      <c r="K101" s="1148">
        <v>0</v>
      </c>
      <c r="L101" s="1155">
        <f t="shared" si="13"/>
        <v>21000</v>
      </c>
    </row>
    <row r="102" spans="1:61">
      <c r="A102" s="1196" t="s">
        <v>805</v>
      </c>
      <c r="B102" s="1154" t="s">
        <v>402</v>
      </c>
      <c r="C102" s="1155">
        <v>4348400</v>
      </c>
      <c r="D102" s="1148">
        <v>0</v>
      </c>
      <c r="E102" s="1148"/>
      <c r="F102" s="1148"/>
      <c r="G102" s="1148">
        <v>0</v>
      </c>
      <c r="H102" s="1148"/>
      <c r="I102" s="1148"/>
      <c r="J102" s="1148">
        <v>0</v>
      </c>
      <c r="K102" s="1148">
        <v>0</v>
      </c>
      <c r="L102" s="1155">
        <f t="shared" si="13"/>
        <v>4348400</v>
      </c>
    </row>
    <row r="103" spans="1:61">
      <c r="A103" s="1196" t="s">
        <v>814</v>
      </c>
      <c r="B103" s="1154" t="s">
        <v>401</v>
      </c>
      <c r="C103" s="1148">
        <v>0</v>
      </c>
      <c r="D103" s="1148">
        <v>0</v>
      </c>
      <c r="E103" s="1148"/>
      <c r="F103" s="1148"/>
      <c r="G103" s="1148">
        <v>0</v>
      </c>
      <c r="H103" s="1148"/>
      <c r="I103" s="1148"/>
      <c r="J103" s="1148">
        <v>0</v>
      </c>
      <c r="K103" s="1148">
        <v>0</v>
      </c>
      <c r="L103" s="1155">
        <f t="shared" si="13"/>
        <v>0</v>
      </c>
    </row>
    <row r="104" spans="1:61">
      <c r="A104" s="1196" t="s">
        <v>815</v>
      </c>
      <c r="B104" s="1154" t="s">
        <v>403</v>
      </c>
      <c r="C104" s="1148">
        <v>0</v>
      </c>
      <c r="D104" s="1155">
        <v>0</v>
      </c>
      <c r="E104" s="1155"/>
      <c r="F104" s="1155"/>
      <c r="G104" s="1148">
        <v>596000</v>
      </c>
      <c r="H104" s="1155"/>
      <c r="I104" s="1155"/>
      <c r="J104" s="1148">
        <v>0</v>
      </c>
      <c r="K104" s="1148">
        <v>0</v>
      </c>
      <c r="L104" s="1155">
        <f t="shared" si="13"/>
        <v>596000</v>
      </c>
    </row>
    <row r="105" spans="1:61">
      <c r="A105" s="1196" t="s">
        <v>816</v>
      </c>
      <c r="B105" s="1154" t="s">
        <v>404</v>
      </c>
      <c r="C105" s="1148">
        <v>0</v>
      </c>
      <c r="D105" s="1155">
        <v>0</v>
      </c>
      <c r="E105" s="1155"/>
      <c r="F105" s="1155"/>
      <c r="G105" s="1148">
        <v>347000</v>
      </c>
      <c r="H105" s="1155"/>
      <c r="I105" s="1155"/>
      <c r="J105" s="1148">
        <v>0</v>
      </c>
      <c r="K105" s="1148">
        <v>0</v>
      </c>
      <c r="L105" s="1155">
        <f t="shared" si="13"/>
        <v>347000</v>
      </c>
    </row>
    <row r="106" spans="1:61">
      <c r="A106" s="1196" t="s">
        <v>817</v>
      </c>
      <c r="B106" s="1154" t="s">
        <v>405</v>
      </c>
      <c r="C106" s="1148">
        <v>0</v>
      </c>
      <c r="D106" s="1155">
        <v>0</v>
      </c>
      <c r="E106" s="1155"/>
      <c r="F106" s="1155"/>
      <c r="G106" s="1148">
        <v>479000</v>
      </c>
      <c r="H106" s="1155"/>
      <c r="I106" s="1155"/>
      <c r="J106" s="1148">
        <v>0</v>
      </c>
      <c r="K106" s="1148">
        <v>0</v>
      </c>
      <c r="L106" s="1155">
        <f t="shared" si="13"/>
        <v>479000</v>
      </c>
    </row>
    <row r="107" spans="1:61">
      <c r="A107" s="1196" t="s">
        <v>818</v>
      </c>
      <c r="B107" s="1154" t="s">
        <v>406</v>
      </c>
      <c r="C107" s="1148">
        <v>0</v>
      </c>
      <c r="D107" s="1155">
        <v>0</v>
      </c>
      <c r="E107" s="1155"/>
      <c r="F107" s="1155"/>
      <c r="G107" s="1148">
        <v>453194.51</v>
      </c>
      <c r="H107" s="1155"/>
      <c r="I107" s="1155"/>
      <c r="J107" s="1148">
        <v>0</v>
      </c>
      <c r="K107" s="1148">
        <v>0</v>
      </c>
      <c r="L107" s="1155">
        <f t="shared" si="13"/>
        <v>453194.51</v>
      </c>
    </row>
    <row r="108" spans="1:61">
      <c r="A108" s="1196" t="s">
        <v>860</v>
      </c>
      <c r="B108" s="1154" t="s">
        <v>407</v>
      </c>
      <c r="C108" s="1148">
        <v>0</v>
      </c>
      <c r="D108" s="1155">
        <v>0</v>
      </c>
      <c r="E108" s="1155"/>
      <c r="F108" s="1155"/>
      <c r="G108" s="1148">
        <v>1875194.51</v>
      </c>
      <c r="H108" s="1155"/>
      <c r="I108" s="1155"/>
      <c r="J108" s="1148">
        <v>0</v>
      </c>
      <c r="K108" s="1148">
        <v>0</v>
      </c>
      <c r="L108" s="1155">
        <f t="shared" si="13"/>
        <v>1875194.51</v>
      </c>
    </row>
    <row r="109" spans="1:61">
      <c r="A109" s="1196" t="s">
        <v>819</v>
      </c>
      <c r="B109" s="1154" t="s">
        <v>32</v>
      </c>
      <c r="C109" s="1155">
        <v>4000000</v>
      </c>
      <c r="D109" s="1148">
        <v>0</v>
      </c>
      <c r="E109" s="1148"/>
      <c r="F109" s="1148"/>
      <c r="G109" s="1148">
        <v>0</v>
      </c>
      <c r="H109" s="1148"/>
      <c r="I109" s="1148"/>
      <c r="J109" s="1148">
        <v>0</v>
      </c>
      <c r="K109" s="1148">
        <v>0</v>
      </c>
      <c r="L109" s="1155">
        <f t="shared" si="13"/>
        <v>4000000</v>
      </c>
    </row>
    <row r="110" spans="1:61">
      <c r="A110" s="1196" t="s">
        <v>801</v>
      </c>
      <c r="B110" s="1154">
        <v>6544</v>
      </c>
      <c r="C110" s="1155">
        <v>4000000</v>
      </c>
      <c r="D110" s="1148">
        <v>0</v>
      </c>
      <c r="E110" s="1148"/>
      <c r="F110" s="1148"/>
      <c r="G110" s="1148">
        <v>0</v>
      </c>
      <c r="H110" s="1148"/>
      <c r="I110" s="1148"/>
      <c r="J110" s="1148">
        <v>0</v>
      </c>
      <c r="K110" s="1148">
        <v>0</v>
      </c>
      <c r="L110" s="1155">
        <f t="shared" si="13"/>
        <v>4000000</v>
      </c>
    </row>
    <row r="111" spans="1:61">
      <c r="A111" s="1196" t="s">
        <v>1774</v>
      </c>
      <c r="B111" s="1154">
        <v>8821</v>
      </c>
      <c r="C111" s="1155">
        <v>5000000</v>
      </c>
      <c r="D111" s="1148">
        <v>0</v>
      </c>
      <c r="E111" s="1148"/>
      <c r="F111" s="1148"/>
      <c r="G111" s="1148">
        <v>0</v>
      </c>
      <c r="H111" s="1148"/>
      <c r="I111" s="1148"/>
      <c r="J111" s="1148">
        <v>0</v>
      </c>
      <c r="K111" s="1148">
        <v>0</v>
      </c>
      <c r="L111" s="1155">
        <f t="shared" si="13"/>
        <v>5000000</v>
      </c>
    </row>
    <row r="112" spans="1:61">
      <c r="A112" s="1196" t="s">
        <v>802</v>
      </c>
      <c r="B112" s="1154">
        <v>8801</v>
      </c>
      <c r="C112" s="1155">
        <v>500000</v>
      </c>
      <c r="D112" s="1148">
        <v>0</v>
      </c>
      <c r="E112" s="1148"/>
      <c r="F112" s="1148"/>
      <c r="G112" s="1148">
        <v>0</v>
      </c>
      <c r="H112" s="1148"/>
      <c r="I112" s="1148"/>
      <c r="J112" s="1148">
        <v>0</v>
      </c>
      <c r="K112" s="1148">
        <v>0</v>
      </c>
      <c r="L112" s="1155">
        <f t="shared" si="13"/>
        <v>500000</v>
      </c>
    </row>
    <row r="113" spans="1:12">
      <c r="A113" s="1196" t="s">
        <v>823</v>
      </c>
      <c r="B113" s="1154">
        <v>8771</v>
      </c>
      <c r="C113" s="1155">
        <v>1050000</v>
      </c>
      <c r="D113" s="1148">
        <v>0</v>
      </c>
      <c r="E113" s="1148"/>
      <c r="F113" s="1148"/>
      <c r="G113" s="1148">
        <v>0</v>
      </c>
      <c r="H113" s="1148"/>
      <c r="I113" s="1148"/>
      <c r="J113" s="1148">
        <v>0</v>
      </c>
      <c r="K113" s="1148">
        <v>0</v>
      </c>
      <c r="L113" s="1155">
        <f t="shared" si="13"/>
        <v>1050000</v>
      </c>
    </row>
    <row r="114" spans="1:12">
      <c r="A114" s="1196" t="s">
        <v>370</v>
      </c>
      <c r="B114" s="1154">
        <v>8781</v>
      </c>
      <c r="C114" s="1155">
        <v>7000000</v>
      </c>
      <c r="D114" s="1148">
        <v>0</v>
      </c>
      <c r="E114" s="1148"/>
      <c r="F114" s="1148"/>
      <c r="G114" s="1148">
        <v>0</v>
      </c>
      <c r="H114" s="1148"/>
      <c r="I114" s="1148"/>
      <c r="J114" s="1148">
        <v>0</v>
      </c>
      <c r="K114" s="1148">
        <v>0</v>
      </c>
      <c r="L114" s="1155">
        <f t="shared" si="13"/>
        <v>7000000</v>
      </c>
    </row>
    <row r="115" spans="1:12">
      <c r="A115" s="1196" t="s">
        <v>824</v>
      </c>
      <c r="B115" s="1154">
        <v>8791</v>
      </c>
      <c r="C115" s="1155">
        <v>700000</v>
      </c>
      <c r="D115" s="1148">
        <v>0</v>
      </c>
      <c r="E115" s="1148"/>
      <c r="F115" s="1148"/>
      <c r="G115" s="1148">
        <v>0</v>
      </c>
      <c r="H115" s="1148"/>
      <c r="I115" s="1148"/>
      <c r="J115" s="1148">
        <v>0</v>
      </c>
      <c r="K115" s="1148">
        <v>0</v>
      </c>
      <c r="L115" s="1155">
        <f t="shared" si="13"/>
        <v>700000</v>
      </c>
    </row>
    <row r="116" spans="1:12">
      <c r="A116" s="1196" t="s">
        <v>803</v>
      </c>
      <c r="B116" s="1154" t="s">
        <v>33</v>
      </c>
      <c r="C116" s="1148">
        <v>0</v>
      </c>
      <c r="D116" s="1148">
        <v>0</v>
      </c>
      <c r="E116" s="1148"/>
      <c r="F116" s="1148"/>
      <c r="G116" s="1148">
        <v>0</v>
      </c>
      <c r="H116" s="1148"/>
      <c r="I116" s="1148"/>
      <c r="J116" s="1148">
        <v>0</v>
      </c>
      <c r="K116" s="1155">
        <v>500000</v>
      </c>
      <c r="L116" s="1155">
        <f t="shared" si="13"/>
        <v>500000</v>
      </c>
    </row>
    <row r="117" spans="1:12">
      <c r="A117" s="1196" t="s">
        <v>804</v>
      </c>
      <c r="B117" s="1154" t="s">
        <v>34</v>
      </c>
      <c r="C117" s="1155">
        <v>600000</v>
      </c>
      <c r="D117" s="1148">
        <v>0</v>
      </c>
      <c r="E117" s="1148"/>
      <c r="F117" s="1148"/>
      <c r="G117" s="1148">
        <v>0</v>
      </c>
      <c r="H117" s="1148"/>
      <c r="I117" s="1148"/>
      <c r="J117" s="1148">
        <v>0</v>
      </c>
      <c r="K117" s="1148">
        <v>0</v>
      </c>
      <c r="L117" s="1155">
        <f t="shared" si="13"/>
        <v>600000</v>
      </c>
    </row>
    <row r="118" spans="1:12">
      <c r="A118" s="1204" t="s">
        <v>1775</v>
      </c>
      <c r="B118" s="1205" t="s">
        <v>863</v>
      </c>
      <c r="C118" s="1207">
        <v>120000</v>
      </c>
      <c r="D118" s="1206">
        <v>0</v>
      </c>
      <c r="E118" s="1206"/>
      <c r="F118" s="1206"/>
      <c r="G118" s="1206">
        <v>0</v>
      </c>
      <c r="H118" s="1206"/>
      <c r="I118" s="1206"/>
      <c r="J118" s="1206">
        <v>0</v>
      </c>
      <c r="K118" s="1206">
        <v>0</v>
      </c>
      <c r="L118" s="1155">
        <f t="shared" si="13"/>
        <v>120000</v>
      </c>
    </row>
    <row r="119" spans="1:12">
      <c r="A119" s="1196" t="s">
        <v>810</v>
      </c>
      <c r="B119" s="1154" t="s">
        <v>408</v>
      </c>
      <c r="C119" s="1155">
        <v>400000</v>
      </c>
      <c r="D119" s="1148">
        <v>0</v>
      </c>
      <c r="E119" s="1148"/>
      <c r="F119" s="1148"/>
      <c r="G119" s="1148">
        <v>0</v>
      </c>
      <c r="H119" s="1148"/>
      <c r="I119" s="1148"/>
      <c r="J119" s="1148">
        <v>0</v>
      </c>
      <c r="K119" s="1148">
        <v>0</v>
      </c>
      <c r="L119" s="1155">
        <f t="shared" si="13"/>
        <v>400000</v>
      </c>
    </row>
    <row r="120" spans="1:12">
      <c r="A120" s="1196" t="s">
        <v>820</v>
      </c>
      <c r="B120" s="1154" t="s">
        <v>35</v>
      </c>
      <c r="C120" s="1148">
        <v>0</v>
      </c>
      <c r="D120" s="1148">
        <v>0</v>
      </c>
      <c r="E120" s="1148"/>
      <c r="F120" s="1148"/>
      <c r="G120" s="1148">
        <v>0</v>
      </c>
      <c r="H120" s="1148"/>
      <c r="I120" s="1148"/>
      <c r="J120" s="1155">
        <v>400000</v>
      </c>
      <c r="K120" s="1148">
        <v>0</v>
      </c>
      <c r="L120" s="1155">
        <f t="shared" si="13"/>
        <v>400000</v>
      </c>
    </row>
    <row r="121" spans="1:12">
      <c r="A121" s="1196" t="s">
        <v>811</v>
      </c>
      <c r="B121" s="1154" t="s">
        <v>36</v>
      </c>
      <c r="C121" s="1155">
        <v>50000</v>
      </c>
      <c r="D121" s="1148">
        <v>0</v>
      </c>
      <c r="E121" s="1148"/>
      <c r="F121" s="1148"/>
      <c r="G121" s="1148">
        <v>0</v>
      </c>
      <c r="H121" s="1148"/>
      <c r="I121" s="1148"/>
      <c r="J121" s="1148">
        <v>0</v>
      </c>
      <c r="K121" s="1148">
        <v>0</v>
      </c>
      <c r="L121" s="1155">
        <f t="shared" si="13"/>
        <v>50000</v>
      </c>
    </row>
    <row r="122" spans="1:12">
      <c r="A122" s="1196" t="s">
        <v>812</v>
      </c>
      <c r="B122" s="1154" t="s">
        <v>37</v>
      </c>
      <c r="C122" s="1148">
        <v>0</v>
      </c>
      <c r="D122" s="1155">
        <v>0</v>
      </c>
      <c r="E122" s="1155"/>
      <c r="F122" s="1155"/>
      <c r="G122" s="1155">
        <v>300000</v>
      </c>
      <c r="H122" s="1155"/>
      <c r="I122" s="1155"/>
      <c r="J122" s="1148">
        <v>0</v>
      </c>
      <c r="K122" s="1148">
        <v>0</v>
      </c>
      <c r="L122" s="1155">
        <f t="shared" si="13"/>
        <v>300000</v>
      </c>
    </row>
    <row r="123" spans="1:12">
      <c r="A123" s="1196" t="s">
        <v>813</v>
      </c>
      <c r="B123" s="1154" t="s">
        <v>38</v>
      </c>
      <c r="C123" s="1148">
        <v>0</v>
      </c>
      <c r="D123" s="1155">
        <v>0</v>
      </c>
      <c r="E123" s="1155"/>
      <c r="F123" s="1155"/>
      <c r="G123" s="1155">
        <v>550000</v>
      </c>
      <c r="H123" s="1155"/>
      <c r="I123" s="1155"/>
      <c r="J123" s="1148">
        <v>0</v>
      </c>
      <c r="K123" s="1148">
        <v>0</v>
      </c>
      <c r="L123" s="1155">
        <f t="shared" si="13"/>
        <v>550000</v>
      </c>
    </row>
    <row r="124" spans="1:12">
      <c r="A124" s="1196" t="s">
        <v>809</v>
      </c>
      <c r="B124" s="1154" t="s">
        <v>39</v>
      </c>
      <c r="C124" s="1148">
        <v>0</v>
      </c>
      <c r="D124" s="1148">
        <v>0</v>
      </c>
      <c r="E124" s="1148"/>
      <c r="F124" s="1148"/>
      <c r="G124" s="1148">
        <v>0</v>
      </c>
      <c r="H124" s="1148"/>
      <c r="I124" s="1148"/>
      <c r="J124" s="1148">
        <v>0</v>
      </c>
      <c r="K124" s="1155">
        <v>12000</v>
      </c>
      <c r="L124" s="1155">
        <f t="shared" si="13"/>
        <v>12000</v>
      </c>
    </row>
    <row r="125" spans="1:12">
      <c r="A125" s="1196" t="s">
        <v>806</v>
      </c>
      <c r="B125" s="1154" t="s">
        <v>40</v>
      </c>
      <c r="C125" s="1148">
        <v>0</v>
      </c>
      <c r="D125" s="1155">
        <v>0</v>
      </c>
      <c r="E125" s="1155"/>
      <c r="F125" s="1155"/>
      <c r="G125" s="1155">
        <v>500000</v>
      </c>
      <c r="H125" s="1155"/>
      <c r="I125" s="1155"/>
      <c r="J125" s="1148">
        <v>0</v>
      </c>
      <c r="K125" s="1148">
        <v>0</v>
      </c>
      <c r="L125" s="1155">
        <f t="shared" si="13"/>
        <v>500000</v>
      </c>
    </row>
    <row r="126" spans="1:12">
      <c r="A126" s="1196" t="s">
        <v>807</v>
      </c>
      <c r="B126" s="1154" t="s">
        <v>218</v>
      </c>
      <c r="C126" s="1148">
        <v>0</v>
      </c>
      <c r="D126" s="1155">
        <v>0</v>
      </c>
      <c r="E126" s="1155"/>
      <c r="F126" s="1155"/>
      <c r="G126" s="1155">
        <v>250000</v>
      </c>
      <c r="H126" s="1155"/>
      <c r="I126" s="1155"/>
      <c r="J126" s="1148">
        <v>0</v>
      </c>
      <c r="K126" s="1148">
        <v>0</v>
      </c>
      <c r="L126" s="1155">
        <f t="shared" si="13"/>
        <v>250000</v>
      </c>
    </row>
    <row r="127" spans="1:12">
      <c r="A127" s="1196" t="s">
        <v>808</v>
      </c>
      <c r="B127" s="1154" t="s">
        <v>219</v>
      </c>
      <c r="C127" s="1148">
        <v>0</v>
      </c>
      <c r="D127" s="1155">
        <v>0</v>
      </c>
      <c r="E127" s="1155"/>
      <c r="F127" s="1155"/>
      <c r="G127" s="1155">
        <v>250000</v>
      </c>
      <c r="H127" s="1155"/>
      <c r="I127" s="1155"/>
      <c r="J127" s="1148">
        <v>0</v>
      </c>
      <c r="K127" s="1148">
        <v>0</v>
      </c>
      <c r="L127" s="1155">
        <f t="shared" si="13"/>
        <v>250000</v>
      </c>
    </row>
    <row r="128" spans="1:12">
      <c r="A128" s="1196" t="s">
        <v>859</v>
      </c>
      <c r="B128" s="1154" t="s">
        <v>409</v>
      </c>
      <c r="C128" s="1155">
        <v>1900000</v>
      </c>
      <c r="D128" s="1148">
        <v>0</v>
      </c>
      <c r="E128" s="1148"/>
      <c r="F128" s="1148"/>
      <c r="G128" s="1148">
        <v>0</v>
      </c>
      <c r="H128" s="1148"/>
      <c r="I128" s="1148"/>
      <c r="J128" s="1148">
        <v>0</v>
      </c>
      <c r="K128" s="1148">
        <v>0</v>
      </c>
      <c r="L128" s="1155">
        <f t="shared" si="13"/>
        <v>1900000</v>
      </c>
    </row>
    <row r="129" spans="1:20" ht="16.5" thickBot="1">
      <c r="A129" s="1209" t="s">
        <v>368</v>
      </c>
      <c r="B129" s="1169" t="s">
        <v>257</v>
      </c>
      <c r="C129" s="1170">
        <v>0</v>
      </c>
      <c r="D129" s="1170">
        <v>0</v>
      </c>
      <c r="E129" s="1170"/>
      <c r="F129" s="1170"/>
      <c r="G129" s="1170">
        <v>0</v>
      </c>
      <c r="H129" s="1170"/>
      <c r="I129" s="1170"/>
      <c r="J129" s="1170">
        <v>0</v>
      </c>
      <c r="K129" s="1193">
        <v>200000</v>
      </c>
      <c r="L129" s="1193">
        <f t="shared" si="13"/>
        <v>200000</v>
      </c>
    </row>
    <row r="130" spans="1:20" ht="16.5" thickBot="1">
      <c r="A130" s="1210" t="s">
        <v>1776</v>
      </c>
      <c r="B130" s="1175"/>
      <c r="C130" s="1173">
        <f>SUM(C63:C129)</f>
        <v>67454290.200000003</v>
      </c>
      <c r="D130" s="1173">
        <f t="shared" ref="D130:L130" si="15">SUM(D63:D70)+SUM(D77:D129)</f>
        <v>0</v>
      </c>
      <c r="E130" s="1173">
        <f t="shared" si="15"/>
        <v>0</v>
      </c>
      <c r="F130" s="1173">
        <f t="shared" si="15"/>
        <v>0</v>
      </c>
      <c r="G130" s="1173">
        <f t="shared" si="15"/>
        <v>22740261.570000004</v>
      </c>
      <c r="H130" s="1173">
        <f t="shared" si="15"/>
        <v>0</v>
      </c>
      <c r="I130" s="1173">
        <f t="shared" si="15"/>
        <v>0</v>
      </c>
      <c r="J130" s="1173">
        <f t="shared" si="15"/>
        <v>643650</v>
      </c>
      <c r="K130" s="1173">
        <f t="shared" si="15"/>
        <v>2522000</v>
      </c>
      <c r="L130" s="1174">
        <f t="shared" si="15"/>
        <v>93360201.769999996</v>
      </c>
    </row>
    <row r="131" spans="1:20" ht="16.5" thickBot="1">
      <c r="A131" s="1182" t="s">
        <v>613</v>
      </c>
      <c r="B131" s="1183"/>
      <c r="C131" s="1211">
        <f t="shared" ref="C131:L131" si="16">SUM(C130+C62+C50+C29)</f>
        <v>133641772.2</v>
      </c>
      <c r="D131" s="1211">
        <f t="shared" si="16"/>
        <v>10780864.800000001</v>
      </c>
      <c r="E131" s="1211">
        <f t="shared" si="16"/>
        <v>16779041</v>
      </c>
      <c r="F131" s="1211">
        <f t="shared" si="16"/>
        <v>5769456</v>
      </c>
      <c r="G131" s="1211">
        <f t="shared" si="16"/>
        <v>56069623.370000005</v>
      </c>
      <c r="H131" s="1211">
        <f t="shared" si="16"/>
        <v>2521932</v>
      </c>
      <c r="I131" s="1211">
        <f t="shared" si="16"/>
        <v>7727375.2000000002</v>
      </c>
      <c r="J131" s="1211">
        <f t="shared" si="16"/>
        <v>10892957.199999999</v>
      </c>
      <c r="K131" s="1211">
        <f t="shared" si="16"/>
        <v>2522000</v>
      </c>
      <c r="L131" s="1184">
        <f t="shared" si="16"/>
        <v>203126352.76999998</v>
      </c>
      <c r="M131" s="1190">
        <v>203126352.76999998</v>
      </c>
    </row>
    <row r="133" spans="1:20">
      <c r="C133" s="1190"/>
      <c r="D133" s="1190"/>
      <c r="E133" s="1190"/>
      <c r="F133" s="1190"/>
      <c r="G133" s="1190"/>
      <c r="H133" s="1190"/>
      <c r="I133" s="1190"/>
      <c r="J133" s="1190"/>
      <c r="K133" s="1190"/>
      <c r="L133" s="1190"/>
    </row>
    <row r="134" spans="1:20">
      <c r="A134" s="1135" t="s">
        <v>16</v>
      </c>
      <c r="K134" s="1135" t="s">
        <v>253</v>
      </c>
    </row>
    <row r="137" spans="1:20">
      <c r="A137" s="1152" t="s">
        <v>17</v>
      </c>
      <c r="B137" s="1135"/>
      <c r="C137" s="1701" t="s">
        <v>783</v>
      </c>
      <c r="D137" s="1701"/>
      <c r="E137" s="1701"/>
      <c r="F137" s="1701"/>
      <c r="G137" s="1701"/>
      <c r="H137" s="1152"/>
      <c r="I137" s="1152"/>
      <c r="J137" s="1135"/>
      <c r="K137" s="1701" t="s">
        <v>1438</v>
      </c>
      <c r="L137" s="1701"/>
    </row>
    <row r="138" spans="1:20" s="1135" customFormat="1">
      <c r="A138" s="1165" t="s">
        <v>18</v>
      </c>
      <c r="B138" s="1125"/>
      <c r="C138" s="1711" t="s">
        <v>237</v>
      </c>
      <c r="D138" s="1711"/>
      <c r="E138" s="1711"/>
      <c r="F138" s="1711"/>
      <c r="G138" s="1711"/>
      <c r="H138" s="1165"/>
      <c r="I138" s="1165"/>
      <c r="J138" s="1125"/>
      <c r="K138" s="1711" t="s">
        <v>14</v>
      </c>
      <c r="L138" s="1711"/>
      <c r="N138" s="1125"/>
      <c r="O138" s="1125"/>
      <c r="P138" s="1125"/>
      <c r="Q138" s="1125"/>
      <c r="R138" s="1125"/>
      <c r="S138" s="1125"/>
      <c r="T138" s="1125"/>
    </row>
    <row r="139" spans="1:20" s="1135" customFormat="1">
      <c r="A139" s="1125"/>
      <c r="B139" s="1125"/>
      <c r="C139" s="1125"/>
      <c r="D139" s="1125"/>
      <c r="E139" s="1125"/>
      <c r="F139" s="1125"/>
      <c r="G139" s="1125"/>
      <c r="H139" s="1125"/>
      <c r="I139" s="1125"/>
      <c r="J139" s="1125"/>
      <c r="K139" s="1125"/>
      <c r="L139" s="1125"/>
      <c r="N139" s="1125"/>
      <c r="O139" s="1125"/>
      <c r="P139" s="1125"/>
      <c r="Q139" s="1125"/>
      <c r="R139" s="1125"/>
      <c r="S139" s="1125"/>
      <c r="T139" s="1125"/>
    </row>
    <row r="140" spans="1:20" s="1135" customFormat="1">
      <c r="A140" s="1125"/>
      <c r="B140" s="1125"/>
      <c r="C140" s="1125"/>
      <c r="D140" s="1125"/>
      <c r="E140" s="1125"/>
      <c r="F140" s="1125"/>
      <c r="G140" s="1125"/>
      <c r="H140" s="1125"/>
      <c r="I140" s="1125"/>
      <c r="J140" s="1125"/>
      <c r="K140" s="1125"/>
      <c r="L140" s="1212">
        <f>L131+R50</f>
        <v>211971819.76999998</v>
      </c>
      <c r="N140" s="1125"/>
      <c r="O140" s="1125"/>
      <c r="P140" s="1125"/>
      <c r="Q140" s="1125"/>
      <c r="R140" s="1125"/>
      <c r="S140" s="1125"/>
      <c r="T140" s="1125"/>
    </row>
    <row r="141" spans="1:20" s="1135" customFormat="1">
      <c r="A141" s="1125"/>
      <c r="B141" s="1125"/>
      <c r="C141" s="1125"/>
      <c r="D141" s="1125"/>
      <c r="E141" s="1125"/>
      <c r="F141" s="1125"/>
      <c r="G141" s="1125"/>
      <c r="H141" s="1125"/>
      <c r="I141" s="1125"/>
      <c r="J141" s="1125"/>
      <c r="K141" s="1125"/>
      <c r="L141" s="1125"/>
      <c r="N141" s="1125"/>
      <c r="O141" s="1125"/>
      <c r="P141" s="1125"/>
      <c r="Q141" s="1125"/>
      <c r="R141" s="1125"/>
      <c r="S141" s="1125"/>
      <c r="T141" s="1125"/>
    </row>
    <row r="142" spans="1:20" s="1135" customFormat="1">
      <c r="A142" s="1125"/>
      <c r="B142" s="1125"/>
      <c r="C142" s="1125"/>
      <c r="D142" s="1125"/>
      <c r="E142" s="1125"/>
      <c r="F142" s="1125"/>
      <c r="G142" s="1125"/>
      <c r="H142" s="1125"/>
      <c r="I142" s="1125"/>
      <c r="J142" s="1125"/>
      <c r="K142" s="1125"/>
      <c r="L142" s="1125"/>
      <c r="N142" s="1125"/>
      <c r="O142" s="1125"/>
      <c r="P142" s="1125"/>
      <c r="Q142" s="1125"/>
      <c r="R142" s="1125"/>
      <c r="S142" s="1125"/>
      <c r="T142" s="1125"/>
    </row>
    <row r="143" spans="1:20" s="1135" customFormat="1">
      <c r="A143" s="1125"/>
      <c r="B143" s="1125"/>
      <c r="C143" s="1125"/>
      <c r="D143" s="1125"/>
      <c r="E143" s="1125"/>
      <c r="F143" s="1125"/>
      <c r="G143" s="1125"/>
      <c r="H143" s="1125"/>
      <c r="I143" s="1125"/>
      <c r="J143" s="1125"/>
      <c r="K143" s="1125"/>
      <c r="L143" s="1125"/>
      <c r="N143" s="1125"/>
      <c r="O143" s="1125"/>
      <c r="P143" s="1125"/>
      <c r="Q143" s="1125"/>
      <c r="R143" s="1125"/>
      <c r="S143" s="1125"/>
      <c r="T143" s="1125"/>
    </row>
    <row r="144" spans="1:20" s="1135" customFormat="1">
      <c r="A144" s="1125"/>
      <c r="B144" s="1125"/>
      <c r="C144" s="1125"/>
      <c r="D144" s="1125"/>
      <c r="E144" s="1125"/>
      <c r="F144" s="1125"/>
      <c r="G144" s="1125"/>
      <c r="H144" s="1125"/>
      <c r="I144" s="1125"/>
      <c r="J144" s="1125"/>
      <c r="K144" s="1125"/>
      <c r="L144" s="1125"/>
      <c r="N144" s="1125"/>
      <c r="O144" s="1125"/>
      <c r="P144" s="1125"/>
      <c r="Q144" s="1125"/>
      <c r="R144" s="1125"/>
      <c r="S144" s="1125"/>
      <c r="T144" s="1125"/>
    </row>
    <row r="145" spans="1:20" s="1135" customFormat="1">
      <c r="A145" s="1125"/>
      <c r="B145" s="1125"/>
      <c r="C145" s="1125"/>
      <c r="D145" s="1125"/>
      <c r="E145" s="1125"/>
      <c r="F145" s="1125"/>
      <c r="G145" s="1125"/>
      <c r="H145" s="1125"/>
      <c r="I145" s="1125"/>
      <c r="J145" s="1125"/>
      <c r="K145" s="1125"/>
      <c r="L145" s="1125"/>
      <c r="N145" s="1125"/>
      <c r="O145" s="1125"/>
      <c r="P145" s="1125"/>
      <c r="Q145" s="1125"/>
      <c r="R145" s="1125"/>
      <c r="S145" s="1125"/>
      <c r="T145" s="1125"/>
    </row>
    <row r="146" spans="1:20" s="1135" customFormat="1">
      <c r="A146" s="1125"/>
      <c r="B146" s="1125"/>
      <c r="C146" s="1125"/>
      <c r="D146" s="1125"/>
      <c r="E146" s="1125"/>
      <c r="F146" s="1125"/>
      <c r="G146" s="1125"/>
      <c r="H146" s="1125"/>
      <c r="I146" s="1125"/>
      <c r="J146" s="1125"/>
      <c r="K146" s="1125"/>
      <c r="L146" s="1125"/>
      <c r="N146" s="1125"/>
      <c r="O146" s="1125"/>
      <c r="P146" s="1125"/>
      <c r="Q146" s="1125"/>
      <c r="R146" s="1125"/>
      <c r="S146" s="1125"/>
      <c r="T146" s="1125"/>
    </row>
    <row r="147" spans="1:20" s="1135" customFormat="1">
      <c r="A147" s="1125"/>
      <c r="B147" s="1125"/>
      <c r="C147" s="1125"/>
      <c r="D147" s="1125"/>
      <c r="E147" s="1125"/>
      <c r="F147" s="1125"/>
      <c r="G147" s="1125"/>
      <c r="H147" s="1125"/>
      <c r="I147" s="1125"/>
      <c r="J147" s="1125"/>
      <c r="K147" s="1125"/>
      <c r="L147" s="1125"/>
      <c r="N147" s="1125"/>
      <c r="O147" s="1125"/>
      <c r="P147" s="1125"/>
      <c r="Q147" s="1125"/>
      <c r="R147" s="1125"/>
      <c r="S147" s="1125"/>
      <c r="T147" s="1125"/>
    </row>
    <row r="148" spans="1:20" s="1135" customFormat="1">
      <c r="A148" s="1125"/>
      <c r="B148" s="1125"/>
      <c r="C148" s="1125"/>
      <c r="D148" s="1125"/>
      <c r="E148" s="1125"/>
      <c r="F148" s="1125"/>
      <c r="G148" s="1125"/>
      <c r="H148" s="1125"/>
      <c r="I148" s="1125"/>
      <c r="J148" s="1125"/>
      <c r="K148" s="1125"/>
      <c r="L148" s="1125"/>
      <c r="N148" s="1125"/>
      <c r="O148" s="1125"/>
      <c r="P148" s="1125"/>
      <c r="Q148" s="1125"/>
      <c r="R148" s="1125"/>
      <c r="S148" s="1125"/>
      <c r="T148" s="1125"/>
    </row>
    <row r="149" spans="1:20" s="1135" customFormat="1">
      <c r="A149" s="1125"/>
      <c r="B149" s="1125"/>
      <c r="C149" s="1125"/>
      <c r="D149" s="1125"/>
      <c r="E149" s="1125"/>
      <c r="F149" s="1125"/>
      <c r="G149" s="1125"/>
      <c r="H149" s="1125"/>
      <c r="I149" s="1125"/>
      <c r="J149" s="1125"/>
      <c r="K149" s="1125"/>
      <c r="L149" s="1125"/>
      <c r="N149" s="1125"/>
      <c r="O149" s="1125"/>
      <c r="P149" s="1125"/>
      <c r="Q149" s="1125"/>
      <c r="R149" s="1125"/>
      <c r="S149" s="1125"/>
      <c r="T149" s="1125"/>
    </row>
    <row r="150" spans="1:20" s="1135" customFormat="1">
      <c r="A150" s="1125"/>
      <c r="B150" s="1125"/>
      <c r="C150" s="1125"/>
      <c r="D150" s="1125"/>
      <c r="E150" s="1125"/>
      <c r="F150" s="1125"/>
      <c r="G150" s="1125"/>
      <c r="H150" s="1125"/>
      <c r="I150" s="1125"/>
      <c r="J150" s="1125"/>
      <c r="K150" s="1125"/>
      <c r="L150" s="1125"/>
      <c r="N150" s="1125"/>
      <c r="O150" s="1125"/>
      <c r="P150" s="1125"/>
      <c r="Q150" s="1190"/>
      <c r="R150" s="1190"/>
      <c r="S150" s="1125"/>
      <c r="T150" s="1125"/>
    </row>
    <row r="151" spans="1:20" ht="23.25">
      <c r="A151" s="1522" t="s">
        <v>1777</v>
      </c>
      <c r="B151" s="1522"/>
      <c r="C151" s="1522"/>
      <c r="D151" s="1522"/>
      <c r="E151" s="1522"/>
      <c r="F151" s="1522"/>
      <c r="G151" s="1522"/>
      <c r="H151" s="1522"/>
      <c r="I151" s="1522"/>
      <c r="J151" s="1522"/>
      <c r="K151" s="1522"/>
      <c r="L151" s="1522"/>
      <c r="Q151" s="1135"/>
    </row>
    <row r="152" spans="1:20">
      <c r="A152" s="1135"/>
      <c r="K152" s="1135"/>
    </row>
    <row r="153" spans="1:20">
      <c r="S153" s="1190"/>
      <c r="T153" s="1190"/>
    </row>
    <row r="154" spans="1:20">
      <c r="Q154" s="1152"/>
      <c r="R154" s="1152"/>
    </row>
    <row r="155" spans="1:20">
      <c r="A155" s="1152"/>
      <c r="B155" s="1135"/>
      <c r="C155" s="1701"/>
      <c r="D155" s="1701"/>
      <c r="E155" s="1152"/>
      <c r="F155" s="1152"/>
      <c r="G155" s="1152"/>
      <c r="H155" s="1152"/>
      <c r="I155" s="1152"/>
      <c r="J155" s="1135"/>
      <c r="K155" s="1701"/>
      <c r="L155" s="1701"/>
      <c r="Q155" s="1165"/>
      <c r="R155" s="1165"/>
    </row>
    <row r="156" spans="1:20" s="1135" customFormat="1">
      <c r="A156" s="1165"/>
      <c r="B156" s="1125"/>
      <c r="C156" s="1711"/>
      <c r="D156" s="1711"/>
      <c r="E156" s="1165"/>
      <c r="F156" s="1165"/>
      <c r="G156" s="1165"/>
      <c r="H156" s="1165"/>
      <c r="I156" s="1165"/>
      <c r="J156" s="1125"/>
      <c r="K156" s="1711"/>
      <c r="L156" s="1711"/>
      <c r="N156" s="1125"/>
      <c r="O156" s="1125"/>
      <c r="P156" s="1125"/>
      <c r="Q156" s="1125"/>
      <c r="R156" s="1125"/>
    </row>
    <row r="157" spans="1:20">
      <c r="S157" s="1152"/>
    </row>
    <row r="158" spans="1:20">
      <c r="S158" s="1165"/>
    </row>
  </sheetData>
  <mergeCells count="57">
    <mergeCell ref="Z72:AA72"/>
    <mergeCell ref="Z73:AA73"/>
    <mergeCell ref="Q64:R64"/>
    <mergeCell ref="Q63:R63"/>
    <mergeCell ref="A151:L151"/>
    <mergeCell ref="C155:D155"/>
    <mergeCell ref="K155:L155"/>
    <mergeCell ref="C156:D156"/>
    <mergeCell ref="K156:L156"/>
    <mergeCell ref="O42:Q42"/>
    <mergeCell ref="O43:Q43"/>
    <mergeCell ref="O44:Q44"/>
    <mergeCell ref="O45:Q45"/>
    <mergeCell ref="O40:Q40"/>
    <mergeCell ref="O36:Q36"/>
    <mergeCell ref="O37:Q37"/>
    <mergeCell ref="O38:Q38"/>
    <mergeCell ref="O39:Q39"/>
    <mergeCell ref="O41:Q41"/>
    <mergeCell ref="O30:Q30"/>
    <mergeCell ref="O31:Q31"/>
    <mergeCell ref="O32:Q32"/>
    <mergeCell ref="C138:G138"/>
    <mergeCell ref="K138:L138"/>
    <mergeCell ref="O48:Q48"/>
    <mergeCell ref="O60:P60"/>
    <mergeCell ref="Q60:R60"/>
    <mergeCell ref="O61:P61"/>
    <mergeCell ref="Q61:R61"/>
    <mergeCell ref="N69:R69"/>
    <mergeCell ref="A74:L74"/>
    <mergeCell ref="C137:G137"/>
    <mergeCell ref="K137:L137"/>
    <mergeCell ref="O47:Q47"/>
    <mergeCell ref="O35:Q35"/>
    <mergeCell ref="O34:Q34"/>
    <mergeCell ref="O33:Q33"/>
    <mergeCell ref="O27:Q27"/>
    <mergeCell ref="O14:Q14"/>
    <mergeCell ref="O17:Q17"/>
    <mergeCell ref="O18:Q18"/>
    <mergeCell ref="O19:Q19"/>
    <mergeCell ref="O20:Q20"/>
    <mergeCell ref="O21:Q21"/>
    <mergeCell ref="O22:Q22"/>
    <mergeCell ref="O23:Q23"/>
    <mergeCell ref="O24:Q24"/>
    <mergeCell ref="O25:Q25"/>
    <mergeCell ref="O26:Q26"/>
    <mergeCell ref="O28:Q28"/>
    <mergeCell ref="O29:Q29"/>
    <mergeCell ref="N11:R11"/>
    <mergeCell ref="A1:L1"/>
    <mergeCell ref="A2:L2"/>
    <mergeCell ref="A4:E4"/>
    <mergeCell ref="N7:R7"/>
    <mergeCell ref="N9:R9"/>
  </mergeCells>
  <printOptions horizontalCentered="1"/>
  <pageMargins left="0.5" right="0" top="0.75" bottom="0.5" header="0.3" footer="0.3"/>
  <pageSetup paperSize="14"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51"/>
  <sheetViews>
    <sheetView topLeftCell="A184" workbookViewId="0">
      <selection activeCell="L196" sqref="L196"/>
    </sheetView>
  </sheetViews>
  <sheetFormatPr defaultRowHeight="12.75"/>
  <cols>
    <col min="1" max="1" width="6.7109375" customWidth="1"/>
    <col min="2" max="2" width="8.28515625" customWidth="1"/>
    <col min="3" max="3" width="18.42578125" customWidth="1"/>
    <col min="6" max="6" width="9.28515625" customWidth="1"/>
    <col min="7" max="7" width="11" customWidth="1"/>
    <col min="8" max="8" width="15.7109375" customWidth="1"/>
    <col min="9" max="9" width="6.7109375" customWidth="1"/>
    <col min="10" max="10" width="14.5703125" bestFit="1" customWidth="1"/>
    <col min="11" max="11" width="11.28515625" bestFit="1" customWidth="1"/>
  </cols>
  <sheetData>
    <row r="3" spans="1:9" ht="16.5">
      <c r="A3" s="1720" t="s">
        <v>173</v>
      </c>
      <c r="B3" s="1720"/>
      <c r="C3" s="1720"/>
      <c r="D3" s="1720"/>
      <c r="E3" s="1720"/>
      <c r="F3" s="1720"/>
      <c r="G3" s="1720"/>
      <c r="H3" s="1720"/>
      <c r="I3" s="1720"/>
    </row>
    <row r="4" spans="1:9" ht="16.5">
      <c r="A4" s="1720" t="s">
        <v>174</v>
      </c>
      <c r="B4" s="1720"/>
      <c r="C4" s="1720"/>
      <c r="D4" s="1720"/>
      <c r="E4" s="1720"/>
      <c r="F4" s="1720"/>
      <c r="G4" s="1720"/>
      <c r="H4" s="1720"/>
      <c r="I4" s="1720"/>
    </row>
    <row r="5" spans="1:9">
      <c r="A5" s="1721" t="s">
        <v>175</v>
      </c>
      <c r="B5" s="1721"/>
      <c r="C5" s="1721"/>
      <c r="D5" s="1721"/>
      <c r="E5" s="1721"/>
      <c r="F5" s="1721"/>
      <c r="G5" s="1721"/>
      <c r="H5" s="1721"/>
      <c r="I5" s="1721"/>
    </row>
    <row r="6" spans="1:9">
      <c r="A6" s="103"/>
      <c r="B6" s="103"/>
      <c r="C6" s="103"/>
      <c r="D6" s="103"/>
      <c r="E6" s="103"/>
      <c r="F6" s="103"/>
      <c r="G6" s="103"/>
      <c r="H6" s="103"/>
      <c r="I6" s="103"/>
    </row>
    <row r="7" spans="1:9">
      <c r="A7" s="103"/>
      <c r="B7" s="103"/>
      <c r="C7" s="103"/>
      <c r="D7" s="103"/>
      <c r="E7" s="103"/>
      <c r="F7" s="103"/>
      <c r="G7" s="103"/>
      <c r="H7" s="103"/>
      <c r="I7" s="103"/>
    </row>
    <row r="8" spans="1:9">
      <c r="A8" s="103"/>
      <c r="B8" s="103"/>
      <c r="C8" s="103"/>
      <c r="D8" s="103"/>
      <c r="E8" s="103"/>
      <c r="F8" s="103"/>
      <c r="G8" s="103"/>
      <c r="H8" s="103"/>
      <c r="I8" s="103"/>
    </row>
    <row r="9" spans="1:9" ht="15.75">
      <c r="A9" s="1718" t="s">
        <v>176</v>
      </c>
      <c r="B9" s="1718"/>
      <c r="C9" s="1718"/>
      <c r="D9" s="1718"/>
      <c r="E9" s="1718"/>
      <c r="F9" s="1718"/>
      <c r="G9" s="1718"/>
      <c r="H9" s="1718"/>
      <c r="I9" s="1718"/>
    </row>
    <row r="10" spans="1:9" ht="13.5" customHeight="1">
      <c r="A10" s="6"/>
      <c r="B10" s="6"/>
      <c r="C10" s="6"/>
      <c r="D10" s="6"/>
      <c r="E10" s="6"/>
      <c r="F10" s="6"/>
      <c r="G10" s="6"/>
      <c r="H10" s="6"/>
      <c r="I10" s="6"/>
    </row>
    <row r="11" spans="1:9" ht="15.75">
      <c r="A11" s="1719" t="s">
        <v>1728</v>
      </c>
      <c r="B11" s="1719"/>
      <c r="C11" s="1719"/>
      <c r="D11" s="1719"/>
      <c r="E11" s="1719"/>
      <c r="F11" s="1719"/>
      <c r="G11" s="1719"/>
      <c r="H11" s="1719"/>
      <c r="I11" s="1719"/>
    </row>
    <row r="12" spans="1:9" ht="7.5" customHeight="1">
      <c r="A12" s="6"/>
      <c r="B12" s="6"/>
      <c r="C12" s="6"/>
      <c r="D12" s="6"/>
      <c r="E12" s="6"/>
      <c r="F12" s="6"/>
      <c r="G12" s="6"/>
      <c r="H12" s="6"/>
      <c r="I12" s="6"/>
    </row>
    <row r="13" spans="1:9" ht="7.5" customHeight="1">
      <c r="A13" s="6"/>
      <c r="B13" s="6"/>
      <c r="C13" s="6"/>
      <c r="D13" s="6"/>
      <c r="E13" s="6"/>
      <c r="F13" s="6"/>
      <c r="G13" s="6"/>
      <c r="H13" s="6"/>
      <c r="I13" s="6"/>
    </row>
    <row r="14" spans="1:9" ht="7.5" customHeight="1">
      <c r="A14" s="6"/>
      <c r="B14" s="6"/>
      <c r="C14" s="6"/>
      <c r="D14" s="6"/>
      <c r="E14" s="6"/>
      <c r="F14" s="6"/>
      <c r="G14" s="6"/>
      <c r="H14" s="6"/>
      <c r="I14" s="6"/>
    </row>
    <row r="15" spans="1:9" ht="7.5" customHeight="1">
      <c r="A15" s="6"/>
      <c r="B15" s="6"/>
      <c r="C15" s="6"/>
      <c r="D15" s="6"/>
      <c r="E15" s="6"/>
      <c r="F15" s="6"/>
      <c r="G15" s="6"/>
      <c r="H15" s="6"/>
      <c r="I15" s="6"/>
    </row>
    <row r="16" spans="1:9">
      <c r="A16" s="6" t="s">
        <v>177</v>
      </c>
      <c r="B16" s="2" t="s">
        <v>178</v>
      </c>
      <c r="C16" s="7" t="s">
        <v>179</v>
      </c>
      <c r="D16" s="6"/>
      <c r="E16" s="6"/>
      <c r="F16" s="6"/>
      <c r="G16" s="6"/>
      <c r="H16" s="6"/>
      <c r="I16" s="6"/>
    </row>
    <row r="17" spans="1:11">
      <c r="A17" s="8"/>
      <c r="B17" s="9" t="s">
        <v>180</v>
      </c>
      <c r="C17" s="9"/>
      <c r="D17" s="6"/>
      <c r="E17" s="6"/>
      <c r="F17" s="6"/>
      <c r="G17" s="6"/>
      <c r="H17" s="6"/>
      <c r="I17" s="6"/>
    </row>
    <row r="18" spans="1:11">
      <c r="A18" s="6"/>
      <c r="B18" s="6" t="s">
        <v>181</v>
      </c>
      <c r="C18" s="6"/>
      <c r="D18" s="6"/>
      <c r="E18" s="6"/>
      <c r="F18" s="6"/>
      <c r="G18" s="6"/>
      <c r="H18" s="10">
        <f>'LBP NO. 1'!N38</f>
        <v>11675000</v>
      </c>
      <c r="I18" s="6"/>
    </row>
    <row r="19" spans="1:11">
      <c r="A19" s="6"/>
      <c r="B19" s="6" t="s">
        <v>182</v>
      </c>
      <c r="C19" s="6"/>
      <c r="D19" s="6"/>
      <c r="E19" s="6"/>
      <c r="F19" s="6"/>
      <c r="G19" s="6"/>
      <c r="H19" s="10">
        <f>'LBP NO. 1'!N69</f>
        <v>3935000</v>
      </c>
      <c r="I19" s="6"/>
    </row>
    <row r="20" spans="1:11">
      <c r="A20" s="6"/>
      <c r="B20" s="104" t="s">
        <v>1917</v>
      </c>
      <c r="C20" s="6"/>
      <c r="D20" s="6"/>
      <c r="E20" s="6"/>
      <c r="F20" s="6"/>
      <c r="G20" s="6"/>
      <c r="H20" s="11">
        <f>'LBP NO. 1'!N72</f>
        <v>187519451</v>
      </c>
      <c r="I20" s="6"/>
    </row>
    <row r="21" spans="1:11" ht="13.5" thickBot="1">
      <c r="A21" s="6"/>
      <c r="B21" s="6"/>
      <c r="C21" s="7" t="s">
        <v>183</v>
      </c>
      <c r="D21" s="6"/>
      <c r="E21" s="6"/>
      <c r="F21" s="6"/>
      <c r="G21" s="6"/>
      <c r="H21" s="12">
        <f>SUM(H18:H20)</f>
        <v>203129451</v>
      </c>
      <c r="I21" s="6"/>
    </row>
    <row r="22" spans="1:11">
      <c r="A22" s="8"/>
      <c r="B22" s="9" t="s">
        <v>184</v>
      </c>
      <c r="C22" s="9"/>
      <c r="D22" s="6"/>
      <c r="E22" s="6"/>
      <c r="F22" s="6"/>
      <c r="G22" s="6"/>
      <c r="H22" s="10"/>
      <c r="I22" s="6"/>
    </row>
    <row r="23" spans="1:11">
      <c r="A23" s="8"/>
      <c r="B23" s="8" t="s">
        <v>185</v>
      </c>
      <c r="C23" s="9"/>
      <c r="D23" s="6"/>
      <c r="E23" s="6"/>
      <c r="F23" s="6"/>
      <c r="G23" s="6"/>
      <c r="H23" s="10">
        <f>'LBP NO. 1 (Market)'!N25</f>
        <v>0</v>
      </c>
      <c r="I23" s="6"/>
    </row>
    <row r="24" spans="1:11">
      <c r="A24" s="8"/>
      <c r="B24" s="8" t="s">
        <v>186</v>
      </c>
      <c r="C24" s="9"/>
      <c r="D24" s="6"/>
      <c r="E24" s="6"/>
      <c r="F24" s="6"/>
      <c r="G24" s="6"/>
      <c r="H24" s="11">
        <f>'LBP NO. 1 (Market)'!N44</f>
        <v>8855000</v>
      </c>
      <c r="I24" s="6"/>
    </row>
    <row r="25" spans="1:11" ht="13.5" thickBot="1">
      <c r="A25" s="8"/>
      <c r="B25" s="9"/>
      <c r="C25" s="7" t="s">
        <v>183</v>
      </c>
      <c r="D25" s="6"/>
      <c r="E25" s="6"/>
      <c r="F25" s="6"/>
      <c r="G25" s="6"/>
      <c r="H25" s="13">
        <f>SUM(H23:H24)</f>
        <v>8855000</v>
      </c>
      <c r="I25" s="6"/>
    </row>
    <row r="26" spans="1:11">
      <c r="A26" s="8"/>
      <c r="B26" s="9"/>
      <c r="C26" s="7"/>
      <c r="D26" s="6"/>
      <c r="E26" s="6"/>
      <c r="F26" s="6"/>
      <c r="G26" s="6"/>
      <c r="H26" s="30"/>
      <c r="I26" s="6"/>
    </row>
    <row r="27" spans="1:11" ht="13.5" thickBot="1">
      <c r="A27" s="8"/>
      <c r="B27" s="9"/>
      <c r="C27" s="7" t="s">
        <v>41</v>
      </c>
      <c r="D27" s="6"/>
      <c r="E27" s="6"/>
      <c r="F27" s="6"/>
      <c r="G27" s="6"/>
      <c r="H27" s="31">
        <f>+H21+H25</f>
        <v>211984451</v>
      </c>
      <c r="I27" s="6"/>
    </row>
    <row r="28" spans="1:11" ht="6" customHeight="1" thickTop="1">
      <c r="A28" s="6"/>
      <c r="B28" s="6"/>
      <c r="C28" s="6"/>
      <c r="D28" s="6"/>
      <c r="E28" s="6"/>
      <c r="F28" s="6"/>
      <c r="G28" s="6"/>
      <c r="H28" s="10"/>
      <c r="I28" s="6"/>
    </row>
    <row r="29" spans="1:11">
      <c r="A29" s="6" t="s">
        <v>177</v>
      </c>
      <c r="B29" s="2" t="s">
        <v>187</v>
      </c>
      <c r="C29" s="7" t="s">
        <v>188</v>
      </c>
      <c r="D29" s="6"/>
      <c r="E29" s="6"/>
      <c r="F29" s="6"/>
      <c r="G29" s="6"/>
      <c r="H29" s="10"/>
      <c r="I29" s="6"/>
    </row>
    <row r="30" spans="1:11">
      <c r="A30" s="14"/>
      <c r="B30" s="15" t="s">
        <v>189</v>
      </c>
      <c r="C30" s="7"/>
      <c r="D30" s="6"/>
      <c r="E30" s="6"/>
      <c r="F30" s="6"/>
      <c r="G30" s="6"/>
      <c r="H30" s="10"/>
      <c r="I30" s="6"/>
    </row>
    <row r="31" spans="1:11">
      <c r="A31" s="6"/>
      <c r="B31" s="7" t="s">
        <v>190</v>
      </c>
      <c r="C31" s="6"/>
      <c r="D31" s="6"/>
      <c r="E31" s="6"/>
      <c r="F31" s="6"/>
      <c r="G31" s="6"/>
      <c r="H31" s="10"/>
      <c r="I31" s="6"/>
    </row>
    <row r="32" spans="1:11">
      <c r="A32" s="6"/>
      <c r="B32" s="6" t="s">
        <v>191</v>
      </c>
      <c r="C32" s="6"/>
      <c r="D32" s="6"/>
      <c r="E32" s="6"/>
      <c r="F32" s="6"/>
      <c r="G32" s="6"/>
      <c r="H32" s="10">
        <f>'LBP NO. 2'!M46</f>
        <v>11326482</v>
      </c>
      <c r="I32" s="6"/>
      <c r="J32" s="41"/>
      <c r="K32" s="29"/>
    </row>
    <row r="33" spans="1:11">
      <c r="A33" s="6"/>
      <c r="B33" s="6" t="s">
        <v>192</v>
      </c>
      <c r="C33" s="6"/>
      <c r="D33" s="6"/>
      <c r="E33" s="6"/>
      <c r="F33" s="6"/>
      <c r="G33" s="6"/>
      <c r="H33" s="10">
        <f>'LBP NO. 2'!M118</f>
        <v>19701187</v>
      </c>
      <c r="I33" s="6"/>
      <c r="J33" s="41"/>
      <c r="K33" s="29"/>
    </row>
    <row r="34" spans="1:11">
      <c r="A34" s="6"/>
      <c r="B34" s="6" t="s">
        <v>193</v>
      </c>
      <c r="C34" s="6"/>
      <c r="D34" s="6"/>
      <c r="E34" s="6"/>
      <c r="F34" s="6"/>
      <c r="G34" s="6"/>
      <c r="H34" s="10">
        <f>'LBP NO. 2'!M194</f>
        <v>2112273</v>
      </c>
      <c r="I34" s="6"/>
      <c r="J34" s="41"/>
      <c r="K34" s="29"/>
    </row>
    <row r="35" spans="1:11">
      <c r="A35" s="6"/>
      <c r="B35" s="6" t="s">
        <v>194</v>
      </c>
      <c r="C35" s="6"/>
      <c r="D35" s="6"/>
      <c r="E35" s="6"/>
      <c r="F35" s="6"/>
      <c r="G35" s="6"/>
      <c r="H35" s="10">
        <f>'LBP NO. 2'!M264</f>
        <v>2563261</v>
      </c>
      <c r="I35" s="6"/>
      <c r="J35" s="41"/>
      <c r="K35" s="29"/>
    </row>
    <row r="36" spans="1:11">
      <c r="A36" s="6"/>
      <c r="B36" s="6" t="s">
        <v>195</v>
      </c>
      <c r="C36" s="6"/>
      <c r="D36" s="6"/>
      <c r="E36" s="6"/>
      <c r="F36" s="6"/>
      <c r="G36" s="6"/>
      <c r="H36" s="10">
        <f>'LBP NO. 2'!M333</f>
        <v>2282789</v>
      </c>
      <c r="I36" s="6"/>
      <c r="J36" s="41"/>
      <c r="K36" s="29"/>
    </row>
    <row r="37" spans="1:11">
      <c r="A37" s="6"/>
      <c r="B37" s="6" t="s">
        <v>196</v>
      </c>
      <c r="C37" s="6"/>
      <c r="D37" s="6"/>
      <c r="E37" s="6"/>
      <c r="F37" s="6"/>
      <c r="G37" s="6"/>
      <c r="H37" s="10">
        <f>'LBP NO. 2'!M402</f>
        <v>3427261</v>
      </c>
      <c r="I37" s="6"/>
      <c r="J37" s="41"/>
      <c r="K37" s="29"/>
    </row>
    <row r="38" spans="1:11">
      <c r="A38" s="6"/>
      <c r="B38" s="6" t="s">
        <v>197</v>
      </c>
      <c r="C38" s="6"/>
      <c r="D38" s="6"/>
      <c r="E38" s="6"/>
      <c r="F38" s="6"/>
      <c r="G38" s="6"/>
      <c r="H38" s="10">
        <f>'LBP NO. 2'!M469</f>
        <v>5302373</v>
      </c>
      <c r="I38" s="6"/>
      <c r="J38" s="41"/>
      <c r="K38" s="29"/>
    </row>
    <row r="39" spans="1:11">
      <c r="A39" s="6"/>
      <c r="B39" s="6" t="s">
        <v>198</v>
      </c>
      <c r="C39" s="6"/>
      <c r="D39" s="6"/>
      <c r="E39" s="6"/>
      <c r="F39" s="6"/>
      <c r="G39" s="6"/>
      <c r="H39" s="10">
        <f>'LBP NO. 2'!M535</f>
        <v>2967861</v>
      </c>
      <c r="I39" s="6"/>
      <c r="J39" s="41"/>
      <c r="K39" s="29"/>
    </row>
    <row r="40" spans="1:11">
      <c r="A40" s="6"/>
      <c r="B40" s="6" t="s">
        <v>199</v>
      </c>
      <c r="C40" s="6"/>
      <c r="D40" s="6"/>
      <c r="E40" s="6"/>
      <c r="F40" s="6"/>
      <c r="G40" s="6"/>
      <c r="H40" s="10">
        <f>'LBP NO. 2'!M600</f>
        <v>2287932</v>
      </c>
      <c r="I40" s="6"/>
      <c r="J40" s="41"/>
      <c r="K40" s="29"/>
    </row>
    <row r="41" spans="1:11">
      <c r="A41" s="6"/>
      <c r="B41" s="6" t="s">
        <v>200</v>
      </c>
      <c r="C41" s="6"/>
      <c r="D41" s="6"/>
      <c r="E41" s="6"/>
      <c r="F41" s="6"/>
      <c r="G41" s="6"/>
      <c r="H41" s="10">
        <f>'LBP NO. 2'!M671</f>
        <v>4777824.8</v>
      </c>
      <c r="I41" s="6"/>
      <c r="J41" s="41"/>
      <c r="K41" s="29"/>
    </row>
    <row r="42" spans="1:11">
      <c r="A42" s="6"/>
      <c r="B42" s="6" t="s">
        <v>201</v>
      </c>
      <c r="C42" s="6"/>
      <c r="D42" s="6"/>
      <c r="E42" s="6"/>
      <c r="F42" s="6"/>
      <c r="G42" s="6"/>
      <c r="H42" s="10">
        <f>'LBP NO. 2'!M739</f>
        <v>4450443</v>
      </c>
      <c r="I42" s="6"/>
      <c r="J42" s="41"/>
      <c r="K42" s="29"/>
    </row>
    <row r="43" spans="1:11">
      <c r="A43" s="6"/>
      <c r="B43" s="6" t="s">
        <v>202</v>
      </c>
      <c r="C43" s="6"/>
      <c r="D43" s="6"/>
      <c r="E43" s="6"/>
      <c r="F43" s="6"/>
      <c r="G43" s="6"/>
      <c r="H43" s="10">
        <f>'LBP NO. 2'!M809</f>
        <v>10597484</v>
      </c>
      <c r="I43" s="6"/>
      <c r="J43" s="41"/>
      <c r="K43" s="29"/>
    </row>
    <row r="44" spans="1:11">
      <c r="A44" s="6"/>
      <c r="B44" s="6" t="s">
        <v>203</v>
      </c>
      <c r="C44" s="6"/>
      <c r="D44" s="6"/>
      <c r="E44" s="6"/>
      <c r="F44" s="6"/>
      <c r="G44" s="6"/>
      <c r="H44" s="16">
        <f>'LBP NO. 2'!M874</f>
        <v>4021567</v>
      </c>
      <c r="I44" s="6"/>
      <c r="J44" s="41"/>
      <c r="K44" s="29"/>
    </row>
    <row r="45" spans="1:11">
      <c r="A45" s="6"/>
      <c r="B45" s="6" t="s">
        <v>254</v>
      </c>
      <c r="C45" s="6"/>
      <c r="D45" s="6"/>
      <c r="E45" s="6"/>
      <c r="F45" s="6"/>
      <c r="G45" s="6"/>
      <c r="H45" s="16">
        <f>'LBP NO. 2'!M936</f>
        <v>1090842</v>
      </c>
      <c r="I45" s="6"/>
      <c r="J45" s="50"/>
      <c r="K45" s="29"/>
    </row>
    <row r="46" spans="1:11" ht="13.5" thickBot="1">
      <c r="A46" s="6"/>
      <c r="B46" s="6"/>
      <c r="C46" s="6"/>
      <c r="D46" s="7" t="s">
        <v>232</v>
      </c>
      <c r="E46" s="6"/>
      <c r="G46" s="6"/>
      <c r="H46" s="12">
        <f>SUM(H32:H45)</f>
        <v>76909579.799999997</v>
      </c>
      <c r="I46" s="6"/>
      <c r="J46" s="48"/>
    </row>
    <row r="47" spans="1:11" ht="15.75" customHeight="1">
      <c r="A47" s="6"/>
      <c r="B47" s="6"/>
      <c r="C47" s="6"/>
      <c r="D47" s="6"/>
      <c r="E47" s="6"/>
      <c r="F47" s="7"/>
      <c r="G47" s="6"/>
      <c r="H47" s="17"/>
      <c r="I47" s="6"/>
    </row>
    <row r="48" spans="1:11" ht="15.75" customHeight="1">
      <c r="A48" s="6"/>
      <c r="B48" s="6"/>
      <c r="C48" s="6"/>
      <c r="D48" s="6"/>
      <c r="E48" s="6"/>
      <c r="F48" s="7"/>
      <c r="G48" s="6"/>
      <c r="H48" s="17"/>
      <c r="I48" s="6"/>
    </row>
    <row r="49" spans="1:9" ht="15.75" customHeight="1">
      <c r="A49" s="6"/>
      <c r="B49" s="6"/>
      <c r="C49" s="6"/>
      <c r="D49" s="6"/>
      <c r="E49" s="6"/>
      <c r="F49" s="7"/>
      <c r="G49" s="6"/>
      <c r="H49" s="17"/>
      <c r="I49" s="6"/>
    </row>
    <row r="50" spans="1:9" ht="15.75" customHeight="1">
      <c r="A50" s="6"/>
      <c r="B50" s="6"/>
      <c r="C50" s="6"/>
      <c r="D50" s="6"/>
      <c r="E50" s="6"/>
      <c r="F50" s="7"/>
      <c r="G50" s="6"/>
      <c r="H50" s="17"/>
      <c r="I50" s="6"/>
    </row>
    <row r="51" spans="1:9" ht="15.75" customHeight="1">
      <c r="A51" s="6"/>
      <c r="B51" s="6"/>
      <c r="C51" s="6"/>
      <c r="D51" s="6"/>
      <c r="E51" s="6"/>
      <c r="F51" s="7"/>
      <c r="G51" s="6"/>
      <c r="H51" s="17"/>
      <c r="I51" s="6"/>
    </row>
    <row r="52" spans="1:9" ht="15.75" customHeight="1">
      <c r="A52" s="6"/>
      <c r="B52" s="6"/>
      <c r="C52" s="6"/>
      <c r="D52" s="6"/>
      <c r="E52" s="6"/>
      <c r="F52" s="7"/>
      <c r="G52" s="6"/>
      <c r="H52" s="17"/>
      <c r="I52" s="6"/>
    </row>
    <row r="53" spans="1:9" ht="15.75" customHeight="1">
      <c r="A53" s="6"/>
      <c r="B53" s="6"/>
      <c r="C53" s="6"/>
      <c r="D53" s="6"/>
      <c r="E53" s="6"/>
      <c r="F53" s="7"/>
      <c r="G53" s="6"/>
      <c r="H53" s="17"/>
      <c r="I53" s="6"/>
    </row>
    <row r="54" spans="1:9" ht="15.75" customHeight="1">
      <c r="A54" s="6"/>
      <c r="B54" s="6"/>
      <c r="C54" s="6"/>
      <c r="D54" s="6"/>
      <c r="E54" s="6"/>
      <c r="F54" s="7"/>
      <c r="G54" s="6"/>
      <c r="H54" s="17"/>
      <c r="I54" s="6"/>
    </row>
    <row r="55" spans="1:9" ht="15.75" customHeight="1">
      <c r="A55" s="6"/>
      <c r="B55" s="6"/>
      <c r="C55" s="6"/>
      <c r="D55" s="6"/>
      <c r="E55" s="6"/>
      <c r="F55" s="7"/>
      <c r="G55" s="6"/>
      <c r="H55" s="17"/>
      <c r="I55" s="6"/>
    </row>
    <row r="56" spans="1:9" ht="15.75" customHeight="1">
      <c r="A56" s="6"/>
      <c r="B56" s="6"/>
      <c r="C56" s="6"/>
      <c r="D56" s="6"/>
      <c r="E56" s="6"/>
      <c r="F56" s="7"/>
      <c r="G56" s="6"/>
      <c r="H56" s="17"/>
      <c r="I56" s="6"/>
    </row>
    <row r="57" spans="1:9" ht="15.75" customHeight="1">
      <c r="A57" s="6"/>
      <c r="B57" s="6"/>
      <c r="C57" s="6"/>
      <c r="D57" s="6"/>
      <c r="E57" s="6"/>
      <c r="F57" s="7"/>
      <c r="G57" s="6"/>
      <c r="H57" s="17"/>
      <c r="I57" s="6"/>
    </row>
    <row r="58" spans="1:9" ht="15.75" customHeight="1">
      <c r="A58" s="6"/>
      <c r="B58" s="6"/>
      <c r="C58" s="6"/>
      <c r="D58" s="6"/>
      <c r="E58" s="6"/>
      <c r="F58" s="7"/>
      <c r="G58" s="6"/>
      <c r="H58" s="17"/>
      <c r="I58" s="6"/>
    </row>
    <row r="59" spans="1:9" ht="15.75" customHeight="1">
      <c r="A59" s="6"/>
      <c r="B59" s="6"/>
      <c r="C59" s="6"/>
      <c r="D59" s="6"/>
      <c r="E59" s="6"/>
      <c r="F59" s="7"/>
      <c r="G59" s="6"/>
      <c r="H59" s="17"/>
      <c r="I59" s="6"/>
    </row>
    <row r="60" spans="1:9" ht="15.75" customHeight="1">
      <c r="A60" s="6"/>
      <c r="B60" s="6"/>
      <c r="C60" s="6"/>
      <c r="D60" s="6"/>
      <c r="E60" s="6"/>
      <c r="F60" s="7"/>
      <c r="G60" s="6"/>
      <c r="H60" s="17"/>
      <c r="I60" s="6"/>
    </row>
    <row r="61" spans="1:9" ht="15.75" customHeight="1">
      <c r="A61" s="6"/>
      <c r="B61" s="6"/>
      <c r="C61" s="6"/>
      <c r="D61" s="6"/>
      <c r="E61" s="6"/>
      <c r="F61" s="7"/>
      <c r="G61" s="6"/>
      <c r="H61" s="17"/>
      <c r="I61" s="6"/>
    </row>
    <row r="62" spans="1:9" ht="15.75" customHeight="1">
      <c r="A62" s="6"/>
      <c r="B62" s="6"/>
      <c r="C62" s="6"/>
      <c r="D62" s="6"/>
      <c r="E62" s="6"/>
      <c r="F62" s="7"/>
      <c r="G62" s="6"/>
      <c r="H62" s="17"/>
      <c r="I62" s="6"/>
    </row>
    <row r="63" spans="1:9" ht="22.5" customHeight="1">
      <c r="A63" s="1722" t="s">
        <v>1470</v>
      </c>
      <c r="B63" s="1722"/>
      <c r="C63" s="1722"/>
      <c r="D63" s="1722"/>
      <c r="E63" s="1722"/>
      <c r="F63" s="1722"/>
      <c r="G63" s="1722"/>
      <c r="H63" s="1722"/>
      <c r="I63" s="1722"/>
    </row>
    <row r="64" spans="1:9">
      <c r="A64" s="6"/>
      <c r="B64" s="7" t="s">
        <v>204</v>
      </c>
      <c r="C64" s="6"/>
      <c r="D64" s="6"/>
      <c r="E64" s="6"/>
      <c r="F64" s="6"/>
      <c r="G64" s="6"/>
      <c r="H64" s="10"/>
      <c r="I64" s="6"/>
    </row>
    <row r="65" spans="1:10">
      <c r="A65" s="6"/>
      <c r="B65" s="6" t="s">
        <v>191</v>
      </c>
      <c r="C65" s="6"/>
      <c r="D65" s="6"/>
      <c r="E65" s="6"/>
      <c r="F65" s="6"/>
      <c r="G65" s="6"/>
      <c r="H65" s="10">
        <f>'LBP NO. 2'!M59</f>
        <v>3200601</v>
      </c>
      <c r="I65" s="6"/>
      <c r="J65" s="41"/>
    </row>
    <row r="66" spans="1:10">
      <c r="A66" s="6"/>
      <c r="B66" s="6" t="s">
        <v>192</v>
      </c>
      <c r="C66" s="6"/>
      <c r="D66" s="6"/>
      <c r="E66" s="6"/>
      <c r="F66" s="6"/>
      <c r="G66" s="6"/>
      <c r="H66" s="10">
        <f>'LBP NO. 2'!M134</f>
        <v>6806400</v>
      </c>
      <c r="I66" s="6"/>
      <c r="J66" s="41"/>
    </row>
    <row r="67" spans="1:10">
      <c r="A67" s="6"/>
      <c r="B67" s="6" t="s">
        <v>193</v>
      </c>
      <c r="C67" s="6"/>
      <c r="D67" s="6"/>
      <c r="E67" s="6"/>
      <c r="F67" s="6"/>
      <c r="G67" s="6"/>
      <c r="H67" s="10">
        <f>'LBP NO. 2'!M203</f>
        <v>526587</v>
      </c>
      <c r="I67" s="6"/>
      <c r="J67" s="41"/>
    </row>
    <row r="68" spans="1:10">
      <c r="A68" s="6"/>
      <c r="B68" s="6" t="s">
        <v>194</v>
      </c>
      <c r="C68" s="6"/>
      <c r="D68" s="6"/>
      <c r="E68" s="6"/>
      <c r="F68" s="6"/>
      <c r="G68" s="6"/>
      <c r="H68" s="10">
        <f>'LBP NO. 2'!M274</f>
        <v>219250</v>
      </c>
      <c r="I68" s="6"/>
      <c r="J68" s="41"/>
    </row>
    <row r="69" spans="1:10">
      <c r="A69" s="6"/>
      <c r="B69" s="6" t="s">
        <v>195</v>
      </c>
      <c r="C69" s="6"/>
      <c r="D69" s="6"/>
      <c r="E69" s="6"/>
      <c r="F69" s="6"/>
      <c r="G69" s="6"/>
      <c r="H69" s="10">
        <f>'LBP NO. 2'!M342</f>
        <v>328000</v>
      </c>
      <c r="I69" s="6"/>
      <c r="J69" s="41"/>
    </row>
    <row r="70" spans="1:10">
      <c r="A70" s="6"/>
      <c r="B70" s="6" t="s">
        <v>196</v>
      </c>
      <c r="C70" s="6"/>
      <c r="D70" s="6"/>
      <c r="E70" s="6"/>
      <c r="F70" s="6"/>
      <c r="G70" s="6"/>
      <c r="H70" s="10">
        <f>'LBP NO. 2'!M411</f>
        <v>573815</v>
      </c>
      <c r="I70" s="6"/>
      <c r="J70" s="41"/>
    </row>
    <row r="71" spans="1:10">
      <c r="A71" s="6"/>
      <c r="B71" s="6" t="s">
        <v>197</v>
      </c>
      <c r="C71" s="6"/>
      <c r="D71" s="6"/>
      <c r="E71" s="6"/>
      <c r="F71" s="6"/>
      <c r="G71" s="6"/>
      <c r="H71" s="10">
        <f>'LBP NO. 2'!M481</f>
        <v>1076000</v>
      </c>
      <c r="I71" s="6"/>
      <c r="J71" s="41"/>
    </row>
    <row r="72" spans="1:10">
      <c r="A72" s="6"/>
      <c r="B72" s="6" t="s">
        <v>198</v>
      </c>
      <c r="C72" s="6"/>
      <c r="D72" s="6"/>
      <c r="E72" s="6"/>
      <c r="F72" s="6"/>
      <c r="G72" s="6"/>
      <c r="H72" s="10">
        <f>'LBP NO. 2'!M545</f>
        <v>443500</v>
      </c>
      <c r="I72" s="6"/>
      <c r="J72" s="41"/>
    </row>
    <row r="73" spans="1:10">
      <c r="A73" s="6"/>
      <c r="B73" s="6" t="s">
        <v>255</v>
      </c>
      <c r="C73" s="6"/>
      <c r="D73" s="6"/>
      <c r="E73" s="6"/>
      <c r="F73" s="6"/>
      <c r="G73" s="6"/>
      <c r="H73" s="10">
        <f>'LBP NO. 2'!M610</f>
        <v>234000</v>
      </c>
      <c r="I73" s="6"/>
      <c r="J73" s="41"/>
    </row>
    <row r="74" spans="1:10">
      <c r="A74" s="6"/>
      <c r="B74" s="6" t="s">
        <v>200</v>
      </c>
      <c r="C74" s="6"/>
      <c r="D74" s="6"/>
      <c r="E74" s="6"/>
      <c r="F74" s="6"/>
      <c r="G74" s="6"/>
      <c r="H74" s="10">
        <f>'LBP NO. 2'!M683</f>
        <v>6003040</v>
      </c>
      <c r="I74" s="6"/>
      <c r="J74" s="41"/>
    </row>
    <row r="75" spans="1:10">
      <c r="A75" s="6"/>
      <c r="B75" s="6" t="s">
        <v>201</v>
      </c>
      <c r="C75" s="6"/>
      <c r="D75" s="6"/>
      <c r="E75" s="6"/>
      <c r="F75" s="6"/>
      <c r="G75" s="6"/>
      <c r="H75" s="10">
        <f>'LBP NO. 2'!M751</f>
        <v>3276932.2</v>
      </c>
      <c r="I75" s="6"/>
      <c r="J75" s="41"/>
    </row>
    <row r="76" spans="1:10">
      <c r="A76" s="6"/>
      <c r="B76" s="6" t="s">
        <v>202</v>
      </c>
      <c r="C76" s="6"/>
      <c r="D76" s="6"/>
      <c r="E76" s="6"/>
      <c r="F76" s="6"/>
      <c r="G76" s="6"/>
      <c r="H76" s="10">
        <f>'LBP NO. 2'!M821</f>
        <v>6181557</v>
      </c>
      <c r="I76" s="6"/>
      <c r="J76" s="41"/>
    </row>
    <row r="77" spans="1:10">
      <c r="A77" s="6"/>
      <c r="B77" s="6" t="s">
        <v>203</v>
      </c>
      <c r="C77" s="6"/>
      <c r="D77" s="6"/>
      <c r="E77" s="6"/>
      <c r="F77" s="6"/>
      <c r="G77" s="6"/>
      <c r="H77" s="10">
        <f>'LBP NO. 2'!M883</f>
        <v>1747889</v>
      </c>
      <c r="I77" s="6"/>
      <c r="J77" s="50"/>
    </row>
    <row r="78" spans="1:10">
      <c r="A78" s="6"/>
      <c r="B78" s="6" t="s">
        <v>254</v>
      </c>
      <c r="C78" s="6"/>
      <c r="D78" s="6"/>
      <c r="E78" s="6"/>
      <c r="F78" s="6"/>
      <c r="G78" s="6"/>
      <c r="H78" s="10">
        <f>'LBP NO. 2'!M945</f>
        <v>339000</v>
      </c>
      <c r="I78" s="6"/>
      <c r="J78" s="50"/>
    </row>
    <row r="79" spans="1:10" ht="13.5" thickBot="1">
      <c r="A79" s="6"/>
      <c r="B79" s="6"/>
      <c r="C79" s="6" t="s">
        <v>172</v>
      </c>
      <c r="D79" s="7" t="s">
        <v>233</v>
      </c>
      <c r="E79" s="6"/>
      <c r="F79" s="7"/>
      <c r="G79" s="6"/>
      <c r="H79" s="12">
        <f>SUM(H65:H78)</f>
        <v>30956571.199999999</v>
      </c>
      <c r="I79" s="6"/>
      <c r="J79" s="50"/>
    </row>
    <row r="80" spans="1:10" ht="6.75" customHeight="1">
      <c r="A80" s="6"/>
      <c r="B80" s="6"/>
      <c r="C80" s="6"/>
      <c r="D80" s="7"/>
      <c r="E80" s="6"/>
      <c r="F80" s="7"/>
      <c r="G80" s="6"/>
      <c r="H80" s="17"/>
      <c r="I80" s="6"/>
      <c r="J80" s="50"/>
    </row>
    <row r="81" spans="1:10" ht="6.75" customHeight="1">
      <c r="A81" s="6"/>
      <c r="B81" s="6"/>
      <c r="C81" s="6"/>
      <c r="D81" s="7"/>
      <c r="E81" s="6"/>
      <c r="F81" s="7"/>
      <c r="G81" s="6"/>
      <c r="H81" s="17"/>
      <c r="I81" s="6"/>
      <c r="J81" s="50"/>
    </row>
    <row r="82" spans="1:10">
      <c r="A82" s="6"/>
      <c r="B82" s="7" t="s">
        <v>205</v>
      </c>
      <c r="C82" s="6"/>
      <c r="D82" s="6"/>
      <c r="E82" s="6"/>
      <c r="F82" s="6"/>
      <c r="G82" s="6"/>
      <c r="H82" s="10"/>
      <c r="I82" s="6"/>
      <c r="J82" s="41"/>
    </row>
    <row r="83" spans="1:10">
      <c r="A83" s="6"/>
      <c r="B83" s="6" t="s">
        <v>191</v>
      </c>
      <c r="C83" s="6"/>
      <c r="D83" s="6"/>
      <c r="E83" s="6"/>
      <c r="F83" s="6"/>
      <c r="G83" s="6"/>
      <c r="H83" s="10">
        <f>'LBP NO. 2'!M69</f>
        <v>1900000</v>
      </c>
      <c r="I83" s="6"/>
      <c r="J83" s="41"/>
    </row>
    <row r="84" spans="1:10">
      <c r="A84" s="6"/>
      <c r="B84" s="6" t="s">
        <v>192</v>
      </c>
      <c r="C84" s="6"/>
      <c r="D84" s="6"/>
      <c r="E84" s="6"/>
      <c r="F84" s="6"/>
      <c r="G84" s="6"/>
      <c r="H84" s="10">
        <f>'LBP NO. 2'!M142</f>
        <v>0</v>
      </c>
      <c r="I84" s="6"/>
      <c r="J84" s="41"/>
    </row>
    <row r="85" spans="1:10">
      <c r="A85" s="6"/>
      <c r="B85" s="6" t="s">
        <v>193</v>
      </c>
      <c r="C85" s="6"/>
      <c r="D85" s="6"/>
      <c r="E85" s="6"/>
      <c r="F85" s="6"/>
      <c r="G85" s="6"/>
      <c r="H85" s="10">
        <f>'LBP NO. 2'!M208</f>
        <v>0</v>
      </c>
      <c r="I85" s="6"/>
      <c r="J85" s="41"/>
    </row>
    <row r="86" spans="1:10">
      <c r="A86" s="6"/>
      <c r="B86" s="6" t="s">
        <v>194</v>
      </c>
      <c r="C86" s="6"/>
      <c r="D86" s="6"/>
      <c r="E86" s="6"/>
      <c r="F86" s="6"/>
      <c r="G86" s="6"/>
      <c r="H86" s="10">
        <f>'LBP NO. 2'!M279</f>
        <v>0</v>
      </c>
      <c r="I86" s="6"/>
      <c r="J86" s="41"/>
    </row>
    <row r="87" spans="1:10">
      <c r="A87" s="6"/>
      <c r="B87" s="6" t="s">
        <v>195</v>
      </c>
      <c r="C87" s="6"/>
      <c r="D87" s="6"/>
      <c r="E87" s="6"/>
      <c r="F87" s="6"/>
      <c r="G87" s="6"/>
      <c r="H87" s="10">
        <f>'LBP NO. 2'!M347</f>
        <v>0</v>
      </c>
      <c r="I87" s="6"/>
      <c r="J87" s="41"/>
    </row>
    <row r="88" spans="1:10">
      <c r="A88" s="6"/>
      <c r="B88" s="6" t="s">
        <v>196</v>
      </c>
      <c r="C88" s="6"/>
      <c r="D88" s="6"/>
      <c r="E88" s="6"/>
      <c r="F88" s="6"/>
      <c r="G88" s="6"/>
      <c r="H88" s="10">
        <f>'LBP NO. 2'!M417</f>
        <v>0</v>
      </c>
      <c r="I88" s="6"/>
      <c r="J88" s="41"/>
    </row>
    <row r="89" spans="1:10">
      <c r="A89" s="6"/>
      <c r="B89" s="6" t="s">
        <v>197</v>
      </c>
      <c r="C89" s="6"/>
      <c r="D89" s="6"/>
      <c r="E89" s="6"/>
      <c r="F89" s="6"/>
      <c r="G89" s="6"/>
      <c r="H89" s="10">
        <f>'LBP NO. 2'!M487</f>
        <v>0</v>
      </c>
      <c r="I89" s="6"/>
      <c r="J89" s="41"/>
    </row>
    <row r="90" spans="1:10">
      <c r="A90" s="6"/>
      <c r="B90" s="6" t="s">
        <v>198</v>
      </c>
      <c r="C90" s="6"/>
      <c r="D90" s="6"/>
      <c r="E90" s="6"/>
      <c r="F90" s="6"/>
      <c r="G90" s="6"/>
      <c r="H90" s="10">
        <f>'LBP NO. 2'!M551</f>
        <v>0</v>
      </c>
      <c r="I90" s="6"/>
      <c r="J90" s="41"/>
    </row>
    <row r="91" spans="1:10">
      <c r="A91" s="6"/>
      <c r="B91" s="6" t="s">
        <v>255</v>
      </c>
      <c r="C91" s="6"/>
      <c r="D91" s="6"/>
      <c r="E91" s="6"/>
      <c r="F91" s="6"/>
      <c r="G91" s="6"/>
      <c r="H91" s="10">
        <f>'LBP NO. 2'!M616</f>
        <v>0</v>
      </c>
      <c r="I91" s="6"/>
      <c r="J91" s="41"/>
    </row>
    <row r="92" spans="1:10">
      <c r="A92" s="6"/>
      <c r="B92" s="6" t="s">
        <v>206</v>
      </c>
      <c r="C92" s="6"/>
      <c r="D92" s="6"/>
      <c r="E92" s="6"/>
      <c r="F92" s="6"/>
      <c r="G92" s="6"/>
      <c r="H92" s="10">
        <f>'LBP NO. 2'!M689</f>
        <v>0</v>
      </c>
      <c r="I92" s="6"/>
      <c r="J92" s="41"/>
    </row>
    <row r="93" spans="1:10">
      <c r="A93" s="6"/>
      <c r="B93" s="6" t="s">
        <v>201</v>
      </c>
      <c r="G93" s="6"/>
      <c r="H93" s="10">
        <f>'LBP NO. 2'!M757</f>
        <v>0</v>
      </c>
      <c r="I93" s="6"/>
      <c r="J93" s="41"/>
    </row>
    <row r="94" spans="1:10">
      <c r="A94" s="6"/>
      <c r="B94" s="6" t="s">
        <v>202</v>
      </c>
      <c r="C94" s="6"/>
      <c r="D94" s="6"/>
      <c r="E94" s="6"/>
      <c r="F94" s="18"/>
      <c r="G94" s="18"/>
      <c r="H94" s="10">
        <f>'LBP NO. 2'!M826</f>
        <v>0</v>
      </c>
      <c r="I94" s="6"/>
      <c r="J94" s="41"/>
    </row>
    <row r="95" spans="1:10">
      <c r="A95" s="6"/>
      <c r="B95" s="6" t="s">
        <v>203</v>
      </c>
      <c r="C95" s="6"/>
      <c r="D95" s="6"/>
      <c r="E95" s="6"/>
      <c r="F95" s="18"/>
      <c r="G95" s="18"/>
      <c r="H95" s="16">
        <f>'LBP NO. 2'!M888</f>
        <v>0</v>
      </c>
      <c r="I95" s="6"/>
      <c r="J95" s="50"/>
    </row>
    <row r="96" spans="1:10">
      <c r="A96" s="6"/>
      <c r="B96" s="6" t="s">
        <v>254</v>
      </c>
      <c r="C96" s="6"/>
      <c r="D96" s="6"/>
      <c r="E96" s="6"/>
      <c r="F96" s="18"/>
      <c r="G96" s="18"/>
      <c r="H96" s="16">
        <f>'LBP NO. 2'!M950</f>
        <v>0</v>
      </c>
      <c r="I96" s="6"/>
      <c r="J96" s="50"/>
    </row>
    <row r="97" spans="1:10">
      <c r="A97" s="6"/>
      <c r="B97" s="6"/>
      <c r="C97" s="6"/>
      <c r="D97" s="19" t="s">
        <v>234</v>
      </c>
      <c r="G97" s="18"/>
      <c r="H97" s="20">
        <f>SUM(H83:H96)</f>
        <v>1900000</v>
      </c>
      <c r="I97" s="6"/>
      <c r="J97" s="50"/>
    </row>
    <row r="98" spans="1:10">
      <c r="A98" s="6"/>
      <c r="B98" s="6"/>
      <c r="C98" s="6"/>
      <c r="D98" s="19"/>
      <c r="G98" s="18"/>
      <c r="H98" s="17"/>
      <c r="I98" s="6"/>
      <c r="J98" s="50"/>
    </row>
    <row r="99" spans="1:10">
      <c r="A99" s="6"/>
      <c r="B99" s="6"/>
      <c r="C99" s="6"/>
      <c r="D99" s="19"/>
      <c r="G99" s="18"/>
      <c r="H99" s="17"/>
      <c r="I99" s="6"/>
      <c r="J99" s="50"/>
    </row>
    <row r="100" spans="1:10">
      <c r="A100" s="6"/>
      <c r="B100" s="6"/>
      <c r="C100" s="6"/>
      <c r="D100" s="19"/>
      <c r="G100" s="18"/>
      <c r="H100" s="17"/>
      <c r="I100" s="6"/>
      <c r="J100" s="50"/>
    </row>
    <row r="101" spans="1:10">
      <c r="A101" s="6"/>
      <c r="B101" s="6"/>
      <c r="C101" s="6"/>
      <c r="D101" s="19"/>
      <c r="G101" s="18"/>
      <c r="H101" s="17"/>
      <c r="I101" s="6"/>
      <c r="J101" s="50"/>
    </row>
    <row r="102" spans="1:10">
      <c r="A102" s="6"/>
      <c r="B102" s="6"/>
      <c r="C102" s="6"/>
      <c r="D102" s="19"/>
      <c r="G102" s="18"/>
      <c r="H102" s="17"/>
      <c r="I102" s="6"/>
      <c r="J102" s="50"/>
    </row>
    <row r="103" spans="1:10">
      <c r="A103" s="6"/>
      <c r="B103" s="6"/>
      <c r="C103" s="6"/>
      <c r="D103" s="19"/>
      <c r="G103" s="18"/>
      <c r="H103" s="17"/>
      <c r="I103" s="6"/>
      <c r="J103" s="50"/>
    </row>
    <row r="104" spans="1:10">
      <c r="A104" s="6"/>
      <c r="B104" s="6"/>
      <c r="C104" s="6"/>
      <c r="D104" s="19"/>
      <c r="G104" s="18"/>
      <c r="H104" s="17"/>
      <c r="I104" s="6"/>
      <c r="J104" s="50"/>
    </row>
    <row r="105" spans="1:10">
      <c r="A105" s="6"/>
      <c r="B105" s="6"/>
      <c r="C105" s="6"/>
      <c r="D105" s="19"/>
      <c r="G105" s="18"/>
      <c r="H105" s="17"/>
      <c r="I105" s="6"/>
      <c r="J105" s="50"/>
    </row>
    <row r="106" spans="1:10">
      <c r="A106" s="6"/>
      <c r="B106" s="6"/>
      <c r="C106" s="6"/>
      <c r="D106" s="19"/>
      <c r="G106" s="18"/>
      <c r="H106" s="17"/>
      <c r="I106" s="6"/>
      <c r="J106" s="50"/>
    </row>
    <row r="107" spans="1:10">
      <c r="A107" s="6"/>
      <c r="B107" s="6"/>
      <c r="C107" s="6"/>
      <c r="D107" s="19"/>
      <c r="G107" s="18"/>
      <c r="H107" s="17"/>
      <c r="I107" s="6"/>
      <c r="J107" s="50"/>
    </row>
    <row r="108" spans="1:10">
      <c r="A108" s="6"/>
      <c r="B108" s="6"/>
      <c r="C108" s="6"/>
      <c r="D108" s="19"/>
      <c r="G108" s="18"/>
      <c r="H108" s="17"/>
      <c r="I108" s="6"/>
      <c r="J108" s="50"/>
    </row>
    <row r="109" spans="1:10">
      <c r="A109" s="6"/>
      <c r="B109" s="6"/>
      <c r="C109" s="6"/>
      <c r="D109" s="19"/>
      <c r="G109" s="18"/>
      <c r="H109" s="17"/>
      <c r="I109" s="6"/>
      <c r="J109" s="50"/>
    </row>
    <row r="110" spans="1:10">
      <c r="A110" s="6"/>
      <c r="B110" s="6"/>
      <c r="C110" s="6"/>
      <c r="D110" s="19"/>
      <c r="G110" s="18"/>
      <c r="H110" s="17"/>
      <c r="I110" s="6"/>
      <c r="J110" s="50"/>
    </row>
    <row r="111" spans="1:10">
      <c r="A111" s="6"/>
      <c r="B111" s="6"/>
      <c r="C111" s="6"/>
      <c r="D111" s="19"/>
      <c r="G111" s="18"/>
      <c r="H111" s="17"/>
      <c r="I111" s="6"/>
      <c r="J111" s="50"/>
    </row>
    <row r="112" spans="1:10">
      <c r="A112" s="6"/>
      <c r="B112" s="6"/>
      <c r="C112" s="6"/>
      <c r="D112" s="19"/>
      <c r="G112" s="18"/>
      <c r="H112" s="17"/>
      <c r="I112" s="6"/>
      <c r="J112" s="50"/>
    </row>
    <row r="113" spans="1:10">
      <c r="A113" s="6"/>
      <c r="B113" s="6"/>
      <c r="C113" s="6"/>
      <c r="D113" s="19"/>
      <c r="G113" s="18"/>
      <c r="H113" s="17"/>
      <c r="I113" s="6"/>
      <c r="J113" s="50"/>
    </row>
    <row r="114" spans="1:10">
      <c r="A114" s="6"/>
      <c r="B114" s="6"/>
      <c r="C114" s="6"/>
      <c r="D114" s="19"/>
      <c r="G114" s="18"/>
      <c r="H114" s="17"/>
      <c r="I114" s="6"/>
      <c r="J114" s="50"/>
    </row>
    <row r="115" spans="1:10">
      <c r="A115" s="6"/>
      <c r="B115" s="6"/>
      <c r="C115" s="6"/>
      <c r="D115" s="19"/>
      <c r="G115" s="18"/>
      <c r="H115" s="17"/>
      <c r="I115" s="6"/>
      <c r="J115" s="50"/>
    </row>
    <row r="116" spans="1:10">
      <c r="A116" s="6"/>
      <c r="B116" s="6"/>
      <c r="C116" s="6"/>
      <c r="D116" s="19"/>
      <c r="G116" s="18"/>
      <c r="H116" s="17"/>
      <c r="I116" s="6"/>
      <c r="J116" s="50"/>
    </row>
    <row r="117" spans="1:10">
      <c r="A117" s="6"/>
      <c r="B117" s="6"/>
      <c r="C117" s="6"/>
      <c r="D117" s="19"/>
      <c r="G117" s="18"/>
      <c r="H117" s="17"/>
      <c r="I117" s="6"/>
      <c r="J117" s="50"/>
    </row>
    <row r="118" spans="1:10">
      <c r="A118" s="6"/>
      <c r="B118" s="6"/>
      <c r="C118" s="6"/>
      <c r="D118" s="19"/>
      <c r="G118" s="18"/>
      <c r="H118" s="17"/>
      <c r="I118" s="6"/>
      <c r="J118" s="50"/>
    </row>
    <row r="119" spans="1:10">
      <c r="A119" s="6"/>
      <c r="B119" s="6"/>
      <c r="C119" s="6"/>
      <c r="D119" s="19"/>
      <c r="G119" s="18"/>
      <c r="H119" s="17"/>
      <c r="I119" s="6"/>
      <c r="J119" s="50"/>
    </row>
    <row r="120" spans="1:10">
      <c r="A120" s="6"/>
      <c r="B120" s="6"/>
      <c r="C120" s="6"/>
      <c r="D120" s="19"/>
      <c r="G120" s="18"/>
      <c r="H120" s="17"/>
      <c r="I120" s="6"/>
      <c r="J120" s="50"/>
    </row>
    <row r="121" spans="1:10">
      <c r="A121" s="6"/>
      <c r="B121" s="6"/>
      <c r="C121" s="6"/>
      <c r="D121" s="19"/>
      <c r="G121" s="18"/>
      <c r="H121" s="17"/>
      <c r="I121" s="6"/>
      <c r="J121" s="50"/>
    </row>
    <row r="122" spans="1:10">
      <c r="A122" s="6"/>
      <c r="B122" s="6"/>
      <c r="C122" s="6"/>
      <c r="D122" s="19"/>
      <c r="G122" s="18"/>
      <c r="H122" s="17"/>
      <c r="I122" s="6"/>
      <c r="J122" s="50"/>
    </row>
    <row r="123" spans="1:10">
      <c r="A123" s="6"/>
      <c r="B123" s="6"/>
      <c r="C123" s="6"/>
      <c r="D123" s="19"/>
      <c r="G123" s="18"/>
      <c r="H123" s="17"/>
      <c r="I123" s="6"/>
      <c r="J123" s="50"/>
    </row>
    <row r="124" spans="1:10">
      <c r="A124" s="6"/>
      <c r="B124" s="6"/>
      <c r="C124" s="6"/>
      <c r="D124" s="19"/>
      <c r="G124" s="18"/>
      <c r="H124" s="17"/>
      <c r="I124" s="6"/>
      <c r="J124" s="50"/>
    </row>
    <row r="125" spans="1:10">
      <c r="A125" s="6"/>
      <c r="B125" s="6"/>
      <c r="C125" s="6"/>
      <c r="D125" s="19"/>
      <c r="G125" s="18"/>
      <c r="H125" s="17"/>
      <c r="I125" s="6"/>
      <c r="J125" s="50"/>
    </row>
    <row r="126" spans="1:10">
      <c r="A126" s="6"/>
      <c r="B126" s="6"/>
      <c r="C126" s="6"/>
      <c r="D126" s="19"/>
      <c r="G126" s="18"/>
      <c r="H126" s="17"/>
      <c r="I126" s="6"/>
      <c r="J126" s="50"/>
    </row>
    <row r="127" spans="1:10">
      <c r="A127" s="6"/>
      <c r="B127" s="6"/>
      <c r="C127" s="6"/>
      <c r="D127" s="19"/>
      <c r="G127" s="18"/>
      <c r="H127" s="17"/>
      <c r="I127" s="6"/>
      <c r="J127" s="50"/>
    </row>
    <row r="128" spans="1:10">
      <c r="A128" s="6"/>
      <c r="B128" s="6"/>
      <c r="C128" s="6"/>
      <c r="D128" s="19"/>
      <c r="G128" s="18"/>
      <c r="H128" s="17"/>
      <c r="I128" s="6"/>
      <c r="J128" s="50"/>
    </row>
    <row r="129" spans="1:10" ht="23.25">
      <c r="A129" s="1722" t="s">
        <v>1471</v>
      </c>
      <c r="B129" s="1722"/>
      <c r="C129" s="1722"/>
      <c r="D129" s="1722"/>
      <c r="E129" s="1722"/>
      <c r="F129" s="1722"/>
      <c r="G129" s="1722"/>
      <c r="H129" s="1722"/>
      <c r="I129" s="1722"/>
      <c r="J129" s="50"/>
    </row>
    <row r="130" spans="1:10" s="1" customFormat="1" ht="15.95" customHeight="1">
      <c r="A130" s="260"/>
      <c r="B130" s="260"/>
      <c r="C130" s="260"/>
      <c r="D130" s="260"/>
      <c r="E130" s="260"/>
      <c r="F130" s="260"/>
      <c r="G130" s="260"/>
      <c r="H130" s="260"/>
      <c r="I130" s="260"/>
      <c r="J130" s="260"/>
    </row>
    <row r="133" spans="1:10" ht="16.5">
      <c r="A133" s="1720" t="s">
        <v>173</v>
      </c>
      <c r="B133" s="1720"/>
      <c r="C133" s="1720"/>
      <c r="D133" s="1720"/>
      <c r="E133" s="1720"/>
      <c r="F133" s="1720"/>
      <c r="G133" s="1720"/>
      <c r="H133" s="1720"/>
      <c r="I133" s="1720"/>
    </row>
    <row r="134" spans="1:10" ht="16.5">
      <c r="A134" s="1720" t="s">
        <v>174</v>
      </c>
      <c r="B134" s="1720"/>
      <c r="C134" s="1720"/>
      <c r="D134" s="1720"/>
      <c r="E134" s="1720"/>
      <c r="F134" s="1720"/>
      <c r="G134" s="1720"/>
      <c r="H134" s="1720"/>
      <c r="I134" s="1720"/>
    </row>
    <row r="135" spans="1:10">
      <c r="A135" s="1721" t="s">
        <v>175</v>
      </c>
      <c r="B135" s="1721"/>
      <c r="C135" s="1721"/>
      <c r="D135" s="1721"/>
      <c r="E135" s="1721"/>
      <c r="F135" s="1721"/>
      <c r="G135" s="1721"/>
      <c r="H135" s="1721"/>
      <c r="I135" s="1721"/>
    </row>
    <row r="136" spans="1:10">
      <c r="A136" s="103"/>
      <c r="B136" s="103"/>
      <c r="C136" s="103"/>
      <c r="D136" s="103"/>
      <c r="E136" s="103"/>
      <c r="F136" s="103"/>
      <c r="G136" s="103"/>
      <c r="H136" s="103"/>
      <c r="I136" s="103"/>
    </row>
    <row r="137" spans="1:10">
      <c r="A137" s="103"/>
      <c r="B137" s="103"/>
      <c r="C137" s="103"/>
      <c r="D137" s="103"/>
      <c r="E137" s="103"/>
      <c r="F137" s="103"/>
      <c r="G137" s="103"/>
      <c r="H137" s="103"/>
      <c r="I137" s="103"/>
    </row>
    <row r="138" spans="1:10">
      <c r="A138" s="103"/>
      <c r="B138" s="103"/>
      <c r="C138" s="103"/>
      <c r="D138" s="103"/>
      <c r="E138" s="103"/>
      <c r="F138" s="103"/>
      <c r="G138" s="103"/>
      <c r="H138" s="103"/>
      <c r="I138" s="103"/>
    </row>
    <row r="139" spans="1:10" ht="15.75">
      <c r="A139" s="1718" t="s">
        <v>176</v>
      </c>
      <c r="B139" s="1718"/>
      <c r="C139" s="1718"/>
      <c r="D139" s="1718"/>
      <c r="E139" s="1718"/>
      <c r="F139" s="1718"/>
      <c r="G139" s="1718"/>
      <c r="H139" s="1718"/>
      <c r="I139" s="1718"/>
    </row>
    <row r="140" spans="1:10">
      <c r="A140" s="6"/>
      <c r="B140" s="6"/>
      <c r="C140" s="6"/>
      <c r="D140" s="6"/>
      <c r="E140" s="6"/>
      <c r="F140" s="6"/>
      <c r="G140" s="6"/>
      <c r="H140" s="6"/>
      <c r="I140" s="6"/>
    </row>
    <row r="141" spans="1:10">
      <c r="A141" s="6"/>
      <c r="B141" s="6"/>
      <c r="C141" s="6"/>
      <c r="D141" s="6"/>
      <c r="E141" s="6"/>
      <c r="F141" s="6"/>
      <c r="G141" s="6"/>
      <c r="H141" s="6"/>
      <c r="I141" s="6"/>
    </row>
    <row r="142" spans="1:10" ht="15.75">
      <c r="A142" s="1719" t="s">
        <v>1728</v>
      </c>
      <c r="B142" s="1719"/>
      <c r="C142" s="1719"/>
      <c r="D142" s="1719"/>
      <c r="E142" s="1719"/>
      <c r="F142" s="1719"/>
      <c r="G142" s="1719"/>
      <c r="H142" s="1719"/>
      <c r="I142" s="1719"/>
    </row>
    <row r="143" spans="1:10" ht="15">
      <c r="A143" s="106"/>
      <c r="B143" s="106"/>
      <c r="C143" s="106"/>
      <c r="D143" s="106"/>
      <c r="E143" s="106"/>
      <c r="F143" s="106"/>
      <c r="G143" s="106"/>
      <c r="H143" s="106"/>
      <c r="I143" s="106"/>
    </row>
    <row r="144" spans="1:10">
      <c r="A144" s="6"/>
      <c r="B144" s="6"/>
      <c r="C144" s="6"/>
      <c r="D144" s="6"/>
      <c r="E144" s="6"/>
      <c r="F144" s="6"/>
      <c r="G144" s="6"/>
      <c r="H144" s="6"/>
      <c r="I144" s="6"/>
    </row>
    <row r="145" spans="1:11">
      <c r="A145" s="6"/>
      <c r="B145" s="7" t="s">
        <v>207</v>
      </c>
      <c r="C145" s="6"/>
      <c r="D145" s="6"/>
      <c r="E145" s="6"/>
      <c r="F145" s="6"/>
      <c r="G145" s="6"/>
      <c r="H145" s="6"/>
      <c r="I145" s="6"/>
    </row>
    <row r="146" spans="1:11">
      <c r="A146" s="6"/>
      <c r="B146" s="6" t="s">
        <v>208</v>
      </c>
      <c r="C146" s="6"/>
      <c r="D146" s="6"/>
      <c r="E146" s="6"/>
      <c r="F146" s="6"/>
      <c r="G146" s="6"/>
      <c r="H146" s="10">
        <f>'LBP NO. 2a'!K53</f>
        <v>9298050</v>
      </c>
      <c r="I146" s="6"/>
      <c r="J146" s="10"/>
      <c r="K146" s="10"/>
    </row>
    <row r="147" spans="1:11">
      <c r="A147" s="22"/>
      <c r="B147" s="6" t="s">
        <v>828</v>
      </c>
      <c r="C147" s="22"/>
      <c r="D147" s="22"/>
      <c r="E147" s="22"/>
      <c r="F147" s="22"/>
      <c r="G147" s="22"/>
      <c r="H147" s="10">
        <f>SUM('LBP NO. 2a'!K198-'LBP NO. 2a'!K103)</f>
        <v>73905679.219999999</v>
      </c>
      <c r="I147" s="6"/>
      <c r="J147" s="10"/>
      <c r="K147" s="10"/>
    </row>
    <row r="148" spans="1:11">
      <c r="A148" s="22"/>
      <c r="B148" s="6" t="s">
        <v>259</v>
      </c>
      <c r="C148" s="22"/>
      <c r="D148" s="22"/>
      <c r="E148" s="22"/>
      <c r="F148" s="22"/>
      <c r="G148" s="22"/>
      <c r="H148" s="10">
        <f>'LBP NO. 2a'!K103</f>
        <v>10156472.550000001</v>
      </c>
      <c r="I148" s="6"/>
      <c r="J148" s="16"/>
      <c r="K148" s="10"/>
    </row>
    <row r="149" spans="1:11" ht="13.5" thickBot="1">
      <c r="A149" s="6"/>
      <c r="B149" s="6"/>
      <c r="C149" s="6"/>
      <c r="D149" s="7" t="s">
        <v>227</v>
      </c>
      <c r="E149" s="6"/>
      <c r="F149" s="7"/>
      <c r="G149" s="6"/>
      <c r="H149" s="23">
        <f>SUM(H146:H148)</f>
        <v>93360201.769999996</v>
      </c>
      <c r="I149" s="6"/>
      <c r="J149" s="16"/>
      <c r="K149" s="10"/>
    </row>
    <row r="150" spans="1:11">
      <c r="A150" s="6"/>
      <c r="B150" s="6"/>
      <c r="C150" s="6"/>
      <c r="D150" s="6"/>
      <c r="E150" s="6"/>
      <c r="F150" s="6"/>
      <c r="G150" s="6"/>
      <c r="H150" s="6"/>
      <c r="I150" s="6"/>
      <c r="J150" s="10"/>
      <c r="K150" s="10"/>
    </row>
    <row r="151" spans="1:11">
      <c r="A151" s="6"/>
      <c r="B151" s="6"/>
      <c r="C151" s="7" t="s">
        <v>228</v>
      </c>
      <c r="D151" s="6"/>
      <c r="E151" s="6"/>
      <c r="F151" s="6"/>
      <c r="G151" s="6"/>
      <c r="H151" s="24">
        <f>SUM(H46+H79+H97+H149)</f>
        <v>203126352.76999998</v>
      </c>
      <c r="I151" s="6"/>
      <c r="J151" s="10"/>
      <c r="K151" s="10"/>
    </row>
    <row r="152" spans="1:11" ht="13.5" thickBot="1">
      <c r="A152" s="6"/>
      <c r="B152" s="6"/>
      <c r="C152" s="6" t="s">
        <v>20</v>
      </c>
      <c r="D152" s="6"/>
      <c r="E152" s="6"/>
      <c r="F152" s="6"/>
      <c r="G152" s="6"/>
      <c r="H152" s="25">
        <f>+H21-H151</f>
        <v>3098.2300000190735</v>
      </c>
      <c r="I152" s="6"/>
      <c r="J152" s="10"/>
      <c r="K152" s="10"/>
    </row>
    <row r="153" spans="1:11" ht="13.5" thickTop="1">
      <c r="A153" s="6"/>
      <c r="B153" s="6"/>
      <c r="C153" s="6"/>
      <c r="D153" s="6"/>
      <c r="E153" s="6"/>
      <c r="F153" s="6"/>
      <c r="G153" s="6"/>
      <c r="H153" s="748"/>
      <c r="I153" s="6"/>
      <c r="J153" s="10"/>
      <c r="K153" s="10"/>
    </row>
    <row r="154" spans="1:11">
      <c r="A154" s="6"/>
      <c r="B154" s="6"/>
      <c r="C154" s="6"/>
      <c r="D154" s="6"/>
      <c r="E154" s="6"/>
      <c r="F154" s="6"/>
      <c r="G154" s="6"/>
      <c r="H154" s="6"/>
      <c r="I154" s="6"/>
      <c r="J154" s="10"/>
      <c r="K154" s="10"/>
    </row>
    <row r="155" spans="1:11">
      <c r="A155" s="6"/>
      <c r="B155" s="7" t="s">
        <v>209</v>
      </c>
      <c r="C155" s="6"/>
      <c r="D155" s="6"/>
      <c r="E155" s="6"/>
      <c r="F155" s="6"/>
      <c r="G155" s="6"/>
      <c r="H155" s="6"/>
      <c r="I155" s="6"/>
      <c r="J155" s="10"/>
      <c r="K155" s="10"/>
    </row>
    <row r="156" spans="1:11">
      <c r="A156" s="6"/>
      <c r="B156" s="6" t="s">
        <v>210</v>
      </c>
      <c r="C156" s="6"/>
      <c r="D156" s="6"/>
      <c r="E156" s="6"/>
      <c r="F156" s="6"/>
      <c r="G156" s="6"/>
      <c r="H156" s="10">
        <f>'LBP NO. 2'!M1006</f>
        <v>7607467</v>
      </c>
      <c r="I156" s="6"/>
      <c r="J156" s="10"/>
      <c r="K156" s="10"/>
    </row>
    <row r="157" spans="1:11">
      <c r="A157" s="6"/>
      <c r="B157" s="6" t="s">
        <v>211</v>
      </c>
      <c r="C157" s="6"/>
      <c r="D157" s="6"/>
      <c r="E157" s="6"/>
      <c r="F157" s="6"/>
      <c r="G157" s="6"/>
      <c r="H157" s="10">
        <f>'LBP NO. 2'!M1019</f>
        <v>1138000</v>
      </c>
      <c r="I157" s="6"/>
      <c r="J157" s="10"/>
      <c r="K157" s="10"/>
    </row>
    <row r="158" spans="1:11">
      <c r="A158" s="6"/>
      <c r="B158" s="6" t="s">
        <v>212</v>
      </c>
      <c r="C158" s="6"/>
      <c r="D158" s="6"/>
      <c r="E158" s="6"/>
      <c r="F158" s="6"/>
      <c r="G158" s="6"/>
      <c r="H158" s="10">
        <f>'LBP NO. 2'!M1026</f>
        <v>100000</v>
      </c>
      <c r="I158" s="6"/>
      <c r="J158" s="10"/>
      <c r="K158" s="10"/>
    </row>
    <row r="159" spans="1:11" hidden="1">
      <c r="A159" s="6"/>
      <c r="B159" s="6" t="s">
        <v>260</v>
      </c>
      <c r="C159" s="6"/>
      <c r="D159" s="6"/>
      <c r="E159" s="6"/>
      <c r="F159" s="6"/>
      <c r="H159" s="10" t="e">
        <f>#REF!</f>
        <v>#REF!</v>
      </c>
      <c r="I159" s="6"/>
      <c r="J159" s="10"/>
      <c r="K159" s="10"/>
    </row>
    <row r="160" spans="1:11">
      <c r="A160" s="6"/>
      <c r="B160" s="6"/>
      <c r="C160" s="6"/>
      <c r="D160" s="6"/>
      <c r="E160" s="6"/>
      <c r="F160" s="6"/>
      <c r="G160" s="6"/>
      <c r="H160" s="10"/>
      <c r="I160" s="6"/>
      <c r="J160" s="10"/>
      <c r="K160" s="10"/>
    </row>
    <row r="161" spans="1:11">
      <c r="A161" s="6"/>
      <c r="B161" s="6"/>
      <c r="C161" s="7" t="s">
        <v>229</v>
      </c>
      <c r="D161" s="6"/>
      <c r="E161" s="6"/>
      <c r="F161" s="6"/>
      <c r="G161" s="6"/>
      <c r="H161" s="24">
        <f>SUM(H156:H158)</f>
        <v>8845467</v>
      </c>
      <c r="I161" s="6"/>
      <c r="J161" s="10"/>
      <c r="K161" s="10"/>
    </row>
    <row r="162" spans="1:11" ht="13.5" thickBot="1">
      <c r="A162" s="6"/>
      <c r="B162" s="6"/>
      <c r="C162" s="6" t="s">
        <v>235</v>
      </c>
      <c r="D162" s="6"/>
      <c r="E162" s="6"/>
      <c r="F162" s="6"/>
      <c r="G162" s="6"/>
      <c r="H162" s="25">
        <f>+H25-H161</f>
        <v>9533</v>
      </c>
      <c r="I162" s="6"/>
      <c r="J162" s="10"/>
      <c r="K162" s="10"/>
    </row>
    <row r="163" spans="1:11" ht="13.5" thickTop="1">
      <c r="A163" s="6"/>
      <c r="B163" s="6"/>
      <c r="C163" s="6"/>
      <c r="D163" s="6"/>
      <c r="E163" s="6"/>
      <c r="F163" s="6"/>
      <c r="G163" s="6"/>
      <c r="H163" s="6"/>
      <c r="I163" s="6"/>
      <c r="J163" s="10"/>
      <c r="K163" s="10"/>
    </row>
    <row r="164" spans="1:11">
      <c r="A164" s="6"/>
      <c r="B164" s="6"/>
      <c r="C164" s="6"/>
      <c r="D164" s="6"/>
      <c r="E164" s="6"/>
      <c r="F164" s="6"/>
      <c r="G164" s="6"/>
      <c r="H164" s="6"/>
      <c r="I164" s="6"/>
      <c r="J164" s="10"/>
      <c r="K164" s="10"/>
    </row>
    <row r="165" spans="1:11">
      <c r="A165" s="7" t="s">
        <v>230</v>
      </c>
      <c r="B165" s="7"/>
      <c r="C165" s="7" t="s">
        <v>231</v>
      </c>
      <c r="D165" s="6"/>
      <c r="E165" s="6"/>
      <c r="F165" s="6"/>
      <c r="G165" s="6"/>
      <c r="H165" s="6"/>
      <c r="I165" s="6"/>
      <c r="J165" s="10"/>
      <c r="K165" s="10"/>
    </row>
    <row r="166" spans="1:11">
      <c r="A166" s="7"/>
      <c r="B166" s="7"/>
      <c r="C166" s="7"/>
      <c r="D166" s="6"/>
      <c r="E166" s="6"/>
      <c r="F166" s="6"/>
      <c r="G166" s="6"/>
      <c r="H166" s="6"/>
      <c r="I166" s="6"/>
      <c r="J166" s="10"/>
      <c r="K166" s="10"/>
    </row>
    <row r="167" spans="1:11">
      <c r="A167" s="6"/>
      <c r="B167" s="7" t="s">
        <v>222</v>
      </c>
      <c r="C167" s="6"/>
      <c r="D167" s="6"/>
      <c r="E167" s="6"/>
      <c r="F167" s="6"/>
      <c r="G167" s="6"/>
      <c r="H167" s="6"/>
      <c r="I167" s="6"/>
      <c r="J167" s="10"/>
      <c r="K167" s="10"/>
    </row>
    <row r="168" spans="1:11">
      <c r="A168" s="6"/>
      <c r="B168" s="6" t="s">
        <v>213</v>
      </c>
      <c r="C168" s="6"/>
      <c r="D168" s="6"/>
      <c r="E168" s="6"/>
      <c r="F168" s="6"/>
      <c r="G168" s="6"/>
      <c r="H168" s="10">
        <f>'LBP NO. 1'!N74</f>
        <v>187519451</v>
      </c>
      <c r="I168" s="6"/>
      <c r="J168" s="10"/>
      <c r="K168" s="10"/>
    </row>
    <row r="169" spans="1:11">
      <c r="A169" s="6"/>
      <c r="B169" s="6" t="s">
        <v>214</v>
      </c>
      <c r="C169" s="6"/>
      <c r="D169" s="6"/>
      <c r="E169" s="6"/>
      <c r="F169" s="6"/>
      <c r="G169" s="6"/>
      <c r="H169" s="11">
        <f>'LBP NO. 1 (Market)'!N45</f>
        <v>8855000</v>
      </c>
      <c r="I169" s="6"/>
      <c r="J169" s="10"/>
      <c r="K169" s="10"/>
    </row>
    <row r="170" spans="1:11" ht="13.5" thickBot="1">
      <c r="A170" s="6"/>
      <c r="B170" s="6"/>
      <c r="C170" s="7" t="s">
        <v>224</v>
      </c>
      <c r="D170" s="2"/>
      <c r="F170" s="6"/>
      <c r="G170" s="6"/>
      <c r="H170" s="32">
        <f>SUM(H168:H169)</f>
        <v>196374451</v>
      </c>
      <c r="I170" s="6"/>
      <c r="J170" s="10"/>
      <c r="K170" s="10"/>
    </row>
    <row r="171" spans="1:11" ht="13.5" thickTop="1">
      <c r="A171" s="6"/>
      <c r="B171" s="6"/>
      <c r="C171" s="6"/>
      <c r="D171" s="2"/>
      <c r="F171" s="6"/>
      <c r="G171" s="6"/>
      <c r="H171" s="17"/>
      <c r="I171" s="6"/>
      <c r="J171" s="10"/>
      <c r="K171" s="10"/>
    </row>
    <row r="172" spans="1:11">
      <c r="A172" s="6"/>
      <c r="B172" s="7" t="s">
        <v>223</v>
      </c>
      <c r="C172" s="7"/>
      <c r="D172" s="6"/>
      <c r="E172" s="2"/>
      <c r="F172" s="6"/>
      <c r="G172" s="6"/>
      <c r="H172" s="17"/>
      <c r="I172" s="6"/>
      <c r="J172" s="10"/>
      <c r="K172" s="10"/>
    </row>
    <row r="173" spans="1:11">
      <c r="A173" s="6"/>
      <c r="B173" s="6" t="s">
        <v>213</v>
      </c>
      <c r="C173" s="6"/>
      <c r="D173" s="6"/>
      <c r="E173" s="2"/>
      <c r="F173" s="6"/>
      <c r="G173" s="6"/>
      <c r="H173" s="16">
        <f>'LBP NO. 1'!N157</f>
        <v>203126352.76999998</v>
      </c>
      <c r="I173" s="6"/>
      <c r="J173" s="10"/>
      <c r="K173" s="10"/>
    </row>
    <row r="174" spans="1:11">
      <c r="A174" s="6"/>
      <c r="B174" s="6" t="s">
        <v>214</v>
      </c>
      <c r="C174" s="6"/>
      <c r="D174" s="6"/>
      <c r="E174" s="2"/>
      <c r="F174" s="6"/>
      <c r="G174" s="6"/>
      <c r="H174" s="11">
        <f>'LBP NO. 2'!M1029</f>
        <v>8845467</v>
      </c>
      <c r="I174" s="6"/>
      <c r="J174" s="10"/>
      <c r="K174" s="10"/>
    </row>
    <row r="175" spans="1:11" ht="13.5" thickBot="1">
      <c r="A175" s="6"/>
      <c r="B175" s="6"/>
      <c r="C175" s="7" t="s">
        <v>225</v>
      </c>
      <c r="D175" s="6"/>
      <c r="E175" s="2"/>
      <c r="F175" s="6"/>
      <c r="G175" s="6"/>
      <c r="H175" s="12">
        <f>H173+H174</f>
        <v>211971819.76999998</v>
      </c>
      <c r="I175" s="6"/>
      <c r="J175" s="10"/>
      <c r="K175" s="10"/>
    </row>
    <row r="176" spans="1:11">
      <c r="A176" s="6"/>
      <c r="B176" s="6"/>
      <c r="C176" s="6"/>
      <c r="D176" s="6"/>
      <c r="E176" s="2"/>
      <c r="F176" s="6"/>
      <c r="G176" s="6"/>
      <c r="H176" s="17"/>
      <c r="I176" s="6"/>
      <c r="J176" s="10"/>
      <c r="K176" s="10"/>
    </row>
    <row r="177" spans="1:11">
      <c r="A177" s="6"/>
      <c r="B177" s="7" t="s">
        <v>215</v>
      </c>
      <c r="C177" s="7"/>
      <c r="D177" s="6"/>
      <c r="E177" s="6"/>
      <c r="F177" s="6"/>
      <c r="G177" s="6"/>
      <c r="H177" s="6"/>
      <c r="I177" s="6"/>
      <c r="J177" s="10"/>
      <c r="K177" s="10"/>
    </row>
    <row r="178" spans="1:11">
      <c r="A178" s="6"/>
      <c r="B178" s="6" t="s">
        <v>213</v>
      </c>
      <c r="C178" s="6"/>
      <c r="D178" s="6"/>
      <c r="E178" s="6"/>
      <c r="F178" s="6"/>
      <c r="G178" s="6"/>
      <c r="H178" s="10">
        <f>H152</f>
        <v>3098.2300000190735</v>
      </c>
      <c r="I178" s="6"/>
      <c r="J178" s="10"/>
      <c r="K178" s="10"/>
    </row>
    <row r="179" spans="1:11">
      <c r="A179" s="6"/>
      <c r="B179" s="6" t="s">
        <v>214</v>
      </c>
      <c r="C179" s="6"/>
      <c r="D179" s="6"/>
      <c r="E179" s="6"/>
      <c r="F179" s="6"/>
      <c r="G179" s="6"/>
      <c r="H179" s="11">
        <f>H162</f>
        <v>9533</v>
      </c>
      <c r="I179" s="6"/>
      <c r="J179" s="10"/>
      <c r="K179" s="10"/>
    </row>
    <row r="180" spans="1:11" ht="13.5" thickBot="1">
      <c r="A180" s="6"/>
      <c r="B180" s="6"/>
      <c r="C180" s="6"/>
      <c r="D180" s="6"/>
      <c r="E180" s="2"/>
      <c r="F180" s="6"/>
      <c r="G180" s="6"/>
      <c r="H180" s="23">
        <f>SUM(H178:H179)</f>
        <v>12631.230000019073</v>
      </c>
      <c r="I180" s="6"/>
      <c r="J180" s="10"/>
      <c r="K180" s="10"/>
    </row>
    <row r="181" spans="1:11" ht="13.5" thickBot="1">
      <c r="A181" s="6"/>
      <c r="B181" s="6"/>
      <c r="C181" s="7" t="s">
        <v>226</v>
      </c>
      <c r="D181" s="6"/>
      <c r="E181" s="7"/>
      <c r="F181" s="6"/>
      <c r="G181" s="6"/>
      <c r="H181" s="25">
        <f>+H175+H180</f>
        <v>211984451</v>
      </c>
      <c r="I181" s="6"/>
      <c r="J181" s="10"/>
      <c r="K181" s="10"/>
    </row>
    <row r="182" spans="1:11" ht="13.5" thickTop="1">
      <c r="A182" s="6"/>
      <c r="B182" s="6"/>
      <c r="C182" s="6"/>
      <c r="D182" s="6"/>
      <c r="E182" s="6"/>
      <c r="F182" s="6"/>
      <c r="G182" s="6"/>
      <c r="H182" s="6"/>
      <c r="I182" s="6"/>
      <c r="J182" s="10"/>
      <c r="K182" s="10"/>
    </row>
    <row r="183" spans="1:11">
      <c r="A183" s="6"/>
      <c r="B183" s="6"/>
      <c r="C183" s="6"/>
      <c r="D183" s="6"/>
      <c r="E183" s="6"/>
      <c r="F183" s="6"/>
      <c r="G183" s="6"/>
      <c r="H183" s="6"/>
      <c r="I183" s="6"/>
      <c r="J183" s="10"/>
      <c r="K183" s="10"/>
    </row>
    <row r="184" spans="1:11">
      <c r="A184" s="6"/>
      <c r="B184" s="6"/>
      <c r="C184" s="6"/>
      <c r="D184" s="6"/>
      <c r="E184" s="6"/>
      <c r="F184" s="6"/>
      <c r="G184" s="6"/>
      <c r="H184" s="6"/>
      <c r="I184" s="6"/>
      <c r="J184" s="10"/>
      <c r="K184" s="10"/>
    </row>
    <row r="185" spans="1:11">
      <c r="A185" s="6"/>
      <c r="B185" s="6"/>
      <c r="C185" s="6"/>
      <c r="D185" s="6"/>
      <c r="E185" s="6"/>
      <c r="F185" s="6"/>
      <c r="G185" s="6"/>
      <c r="H185" s="6"/>
      <c r="I185" s="6"/>
      <c r="J185" s="10"/>
      <c r="K185" s="10"/>
    </row>
    <row r="186" spans="1:11">
      <c r="A186" s="6"/>
      <c r="B186" s="6"/>
      <c r="C186" s="6"/>
      <c r="D186" s="6"/>
      <c r="E186" s="6"/>
      <c r="F186" s="6"/>
      <c r="G186" s="6"/>
      <c r="H186" s="6"/>
      <c r="I186" s="6"/>
      <c r="J186" s="10"/>
      <c r="K186" s="10"/>
    </row>
    <row r="187" spans="1:11">
      <c r="A187" s="6"/>
      <c r="B187" s="6"/>
      <c r="C187" s="6"/>
      <c r="D187" s="6"/>
      <c r="E187" s="6"/>
      <c r="F187" s="6"/>
      <c r="G187" s="6"/>
      <c r="H187" s="6"/>
      <c r="I187" s="6"/>
      <c r="J187" s="10"/>
      <c r="K187" s="10"/>
    </row>
    <row r="188" spans="1:11">
      <c r="A188" s="6"/>
      <c r="B188" s="6"/>
      <c r="C188" s="6"/>
      <c r="D188" s="6"/>
      <c r="E188" s="6"/>
      <c r="F188" s="6"/>
      <c r="G188" s="6"/>
      <c r="H188" s="6"/>
      <c r="I188" s="6"/>
      <c r="J188" s="10"/>
      <c r="K188" s="10"/>
    </row>
    <row r="189" spans="1:11">
      <c r="A189" s="6"/>
      <c r="B189" s="6"/>
      <c r="C189" s="6"/>
      <c r="D189" s="6"/>
      <c r="E189" s="6"/>
      <c r="F189" s="6"/>
      <c r="G189" s="6"/>
      <c r="H189" s="6"/>
      <c r="I189" s="6"/>
      <c r="J189" s="10"/>
      <c r="K189" s="10"/>
    </row>
    <row r="190" spans="1:11">
      <c r="A190" s="6"/>
      <c r="B190" s="7" t="s">
        <v>263</v>
      </c>
      <c r="C190" s="6"/>
      <c r="D190" s="6"/>
      <c r="E190" s="6"/>
      <c r="F190" s="6"/>
      <c r="G190" s="6"/>
      <c r="H190" s="6"/>
      <c r="I190" s="6"/>
      <c r="J190" s="10"/>
      <c r="K190" s="10"/>
    </row>
    <row r="191" spans="1:11">
      <c r="A191" s="6"/>
      <c r="B191" s="6" t="s">
        <v>264</v>
      </c>
      <c r="C191" s="6"/>
      <c r="D191" s="33" t="s">
        <v>268</v>
      </c>
      <c r="E191" s="33"/>
      <c r="F191" s="33"/>
      <c r="G191" s="33"/>
      <c r="H191" s="10" t="e">
        <f>#REF!</f>
        <v>#REF!</v>
      </c>
      <c r="I191" s="6"/>
      <c r="J191" s="10"/>
      <c r="K191" s="10"/>
    </row>
    <row r="192" spans="1:11">
      <c r="A192" s="6"/>
      <c r="B192" s="6" t="s">
        <v>265</v>
      </c>
      <c r="C192" s="6"/>
      <c r="D192" s="33" t="s">
        <v>268</v>
      </c>
      <c r="E192" s="33"/>
      <c r="F192" s="33"/>
      <c r="G192" s="33"/>
      <c r="H192" s="10" t="e">
        <f>SUM(#REF!-#REF!)</f>
        <v>#REF!</v>
      </c>
      <c r="I192" s="6"/>
      <c r="J192" s="10"/>
      <c r="K192" s="10"/>
    </row>
    <row r="193" spans="1:11">
      <c r="A193" s="6"/>
      <c r="B193" s="6"/>
      <c r="C193" s="6" t="s">
        <v>266</v>
      </c>
      <c r="D193" s="33" t="s">
        <v>268</v>
      </c>
      <c r="E193" s="33"/>
      <c r="F193" s="33"/>
      <c r="G193" s="33"/>
      <c r="H193" s="11">
        <f>H148</f>
        <v>10156472.550000001</v>
      </c>
      <c r="I193" s="6"/>
      <c r="J193" s="10"/>
      <c r="K193" s="10"/>
    </row>
    <row r="194" spans="1:11" ht="13.5" thickBot="1">
      <c r="A194" s="6"/>
      <c r="B194" s="7" t="s">
        <v>20</v>
      </c>
      <c r="C194" s="7"/>
      <c r="D194" s="33" t="s">
        <v>268</v>
      </c>
      <c r="E194" s="33"/>
      <c r="F194" s="33"/>
      <c r="G194" s="33"/>
      <c r="H194" s="32" t="e">
        <f>H191-H192-H193</f>
        <v>#REF!</v>
      </c>
      <c r="I194" s="6"/>
      <c r="J194" s="10"/>
      <c r="K194" s="10"/>
    </row>
    <row r="195" spans="1:11" ht="13.5" thickTop="1">
      <c r="A195" s="6"/>
      <c r="B195" s="6"/>
      <c r="C195" s="6"/>
      <c r="D195" s="6"/>
      <c r="E195" s="6"/>
      <c r="F195" s="6"/>
      <c r="G195" s="6"/>
      <c r="H195" s="10"/>
      <c r="I195" s="6"/>
      <c r="J195" s="10"/>
      <c r="K195" s="10"/>
    </row>
    <row r="196" spans="1:11">
      <c r="A196" s="6"/>
      <c r="B196" s="6"/>
      <c r="C196" s="6"/>
      <c r="D196" s="6"/>
      <c r="E196" s="6"/>
      <c r="F196" s="6"/>
      <c r="G196" s="6"/>
      <c r="H196" s="10"/>
      <c r="I196" s="6"/>
      <c r="J196" s="10"/>
      <c r="K196" s="10"/>
    </row>
    <row r="197" spans="1:11">
      <c r="A197" s="6"/>
      <c r="B197" s="7" t="s">
        <v>267</v>
      </c>
      <c r="C197" s="6"/>
      <c r="D197" s="6"/>
      <c r="E197" s="6"/>
      <c r="F197" s="6"/>
      <c r="G197" s="6"/>
      <c r="H197" s="10"/>
      <c r="I197" s="6"/>
      <c r="J197" s="10"/>
      <c r="K197" s="10"/>
    </row>
    <row r="198" spans="1:11">
      <c r="A198" s="6"/>
      <c r="B198" s="6" t="s">
        <v>264</v>
      </c>
      <c r="C198" s="6"/>
      <c r="D198" s="33" t="s">
        <v>268</v>
      </c>
      <c r="E198" s="33"/>
      <c r="F198" s="33"/>
      <c r="G198" s="33"/>
      <c r="H198" s="10" t="e">
        <f>#REF!</f>
        <v>#REF!</v>
      </c>
      <c r="I198" s="6"/>
      <c r="J198" s="10"/>
      <c r="K198" s="10"/>
    </row>
    <row r="199" spans="1:11">
      <c r="A199" s="6"/>
      <c r="B199" s="6" t="s">
        <v>265</v>
      </c>
      <c r="C199" s="6"/>
      <c r="D199" s="33" t="s">
        <v>268</v>
      </c>
      <c r="E199" s="33"/>
      <c r="F199" s="33"/>
      <c r="G199" s="33"/>
      <c r="H199" s="10" t="e">
        <f>SUM(#REF!-#REF!)</f>
        <v>#REF!</v>
      </c>
      <c r="I199" s="6"/>
      <c r="J199" s="10"/>
      <c r="K199" s="10"/>
    </row>
    <row r="200" spans="1:11">
      <c r="A200" s="6"/>
      <c r="B200" s="6"/>
      <c r="C200" s="6" t="s">
        <v>266</v>
      </c>
      <c r="D200" s="33" t="s">
        <v>268</v>
      </c>
      <c r="E200" s="33"/>
      <c r="F200" s="33"/>
      <c r="G200" s="33"/>
      <c r="H200" s="11" t="e">
        <f>H159</f>
        <v>#REF!</v>
      </c>
      <c r="I200" s="6"/>
      <c r="J200" s="10"/>
      <c r="K200" s="10"/>
    </row>
    <row r="201" spans="1:11" ht="13.5" thickBot="1">
      <c r="A201" s="6"/>
      <c r="B201" s="7" t="s">
        <v>20</v>
      </c>
      <c r="C201" s="7"/>
      <c r="D201" s="33" t="s">
        <v>268</v>
      </c>
      <c r="E201" s="33"/>
      <c r="F201" s="33"/>
      <c r="G201" s="33"/>
      <c r="H201" s="32" t="e">
        <f>H198-H199-H200</f>
        <v>#REF!</v>
      </c>
      <c r="I201" s="6"/>
      <c r="J201" s="10"/>
      <c r="K201" s="10"/>
    </row>
    <row r="202" spans="1:11" ht="13.5" thickTop="1">
      <c r="A202" s="6"/>
      <c r="B202" s="6"/>
      <c r="C202" s="6"/>
      <c r="D202" s="6"/>
      <c r="E202" s="6"/>
      <c r="F202" s="6"/>
      <c r="G202" s="6"/>
      <c r="H202" s="10"/>
      <c r="I202" s="6"/>
      <c r="J202" s="10"/>
      <c r="K202" s="10"/>
    </row>
    <row r="203" spans="1:11">
      <c r="A203" s="6"/>
      <c r="B203" s="6"/>
      <c r="C203" s="6"/>
      <c r="D203" s="6"/>
      <c r="E203" s="6"/>
      <c r="F203" s="6"/>
      <c r="G203" s="6"/>
      <c r="H203" s="6"/>
      <c r="I203" s="6"/>
      <c r="J203" s="10"/>
      <c r="K203" s="10"/>
    </row>
    <row r="204" spans="1:11">
      <c r="A204" s="6"/>
      <c r="B204" s="6"/>
      <c r="C204" s="6"/>
      <c r="D204" s="6"/>
      <c r="E204" s="6"/>
      <c r="F204" s="6"/>
      <c r="G204" s="6"/>
      <c r="H204" s="6"/>
      <c r="I204" s="6"/>
      <c r="J204" s="10"/>
      <c r="K204" s="10"/>
    </row>
    <row r="205" spans="1:11">
      <c r="A205" s="6"/>
      <c r="B205" s="6"/>
      <c r="C205" s="6"/>
      <c r="D205" s="6"/>
      <c r="E205" s="6"/>
      <c r="F205" s="6"/>
      <c r="G205" s="6"/>
      <c r="H205" s="6"/>
      <c r="I205" s="6"/>
      <c r="J205" s="10"/>
      <c r="K205" s="10"/>
    </row>
    <row r="206" spans="1:11">
      <c r="A206" s="6"/>
      <c r="B206" s="6"/>
      <c r="C206" s="6"/>
      <c r="D206" s="6"/>
      <c r="E206" s="6"/>
      <c r="F206" s="6"/>
      <c r="G206" s="6"/>
      <c r="H206" s="6"/>
      <c r="I206" s="6"/>
      <c r="J206" s="10"/>
      <c r="K206" s="10"/>
    </row>
    <row r="207" spans="1:11">
      <c r="A207" s="6"/>
      <c r="B207" s="6"/>
      <c r="C207" s="6"/>
      <c r="D207" s="6"/>
      <c r="E207" s="6"/>
      <c r="F207" s="6"/>
      <c r="G207" s="6"/>
      <c r="H207" s="6"/>
      <c r="I207" s="6"/>
      <c r="J207" s="10"/>
      <c r="K207" s="10"/>
    </row>
    <row r="208" spans="1:11">
      <c r="A208" s="6"/>
      <c r="B208" s="6"/>
      <c r="C208" s="6"/>
      <c r="D208" s="6"/>
      <c r="E208" s="6"/>
      <c r="F208" s="6"/>
      <c r="G208" s="6"/>
      <c r="H208" s="6"/>
      <c r="I208" s="6"/>
      <c r="J208" s="10"/>
      <c r="K208" s="10"/>
    </row>
    <row r="209" spans="1:11">
      <c r="A209" s="6"/>
      <c r="B209" s="6"/>
      <c r="C209" s="6"/>
      <c r="D209" s="6"/>
      <c r="E209" s="6"/>
      <c r="F209" s="6"/>
      <c r="G209" s="6"/>
      <c r="H209" s="6"/>
      <c r="I209" s="6"/>
      <c r="J209" s="10"/>
      <c r="K209" s="10"/>
    </row>
    <row r="210" spans="1:11">
      <c r="A210" s="6"/>
      <c r="B210" s="6"/>
      <c r="C210" s="6"/>
      <c r="D210" s="6"/>
      <c r="E210" s="6"/>
      <c r="F210" s="6"/>
      <c r="G210" s="6"/>
      <c r="H210" s="6"/>
      <c r="I210" s="6"/>
      <c r="J210" s="10"/>
      <c r="K210" s="10"/>
    </row>
    <row r="211" spans="1:11">
      <c r="A211" s="6"/>
      <c r="B211" s="6"/>
      <c r="C211" s="6"/>
      <c r="D211" s="6"/>
      <c r="E211" s="6"/>
      <c r="F211" s="6"/>
      <c r="G211" s="6"/>
      <c r="H211" s="6"/>
      <c r="I211" s="6"/>
      <c r="J211" s="10"/>
      <c r="K211" s="10"/>
    </row>
    <row r="212" spans="1:11">
      <c r="A212" s="6"/>
      <c r="B212" s="6"/>
      <c r="C212" s="6"/>
      <c r="D212" s="6"/>
      <c r="E212" s="6"/>
      <c r="F212" s="6"/>
      <c r="G212" s="6"/>
      <c r="H212" s="6"/>
      <c r="I212" s="6"/>
      <c r="J212" s="10"/>
      <c r="K212" s="10"/>
    </row>
    <row r="213" spans="1:11">
      <c r="A213" s="22"/>
      <c r="B213" s="22"/>
      <c r="C213" s="22"/>
      <c r="D213" s="22"/>
      <c r="E213" s="22"/>
      <c r="F213" s="22"/>
      <c r="G213" s="22"/>
      <c r="H213" s="22"/>
      <c r="I213" s="22"/>
      <c r="J213" s="10"/>
      <c r="K213" s="10"/>
    </row>
    <row r="214" spans="1:11">
      <c r="A214" s="22"/>
      <c r="B214" s="22"/>
      <c r="C214" s="22"/>
      <c r="D214" s="22"/>
      <c r="E214" s="22"/>
      <c r="F214" s="22"/>
      <c r="G214" s="22"/>
      <c r="H214" s="22"/>
      <c r="I214" s="22"/>
      <c r="J214" s="10"/>
      <c r="K214" s="10"/>
    </row>
    <row r="215" spans="1:11">
      <c r="A215" s="22"/>
      <c r="B215" s="22"/>
      <c r="C215" s="22"/>
      <c r="D215" s="22"/>
      <c r="E215" s="22"/>
      <c r="F215" s="22"/>
      <c r="G215" s="22"/>
      <c r="H215" s="22"/>
      <c r="I215" s="22"/>
      <c r="J215" s="10"/>
      <c r="K215" s="10"/>
    </row>
    <row r="216" spans="1:11">
      <c r="A216" s="22"/>
      <c r="B216" s="22"/>
      <c r="C216" s="22"/>
      <c r="D216" s="22"/>
      <c r="E216" s="22"/>
      <c r="F216" s="22"/>
      <c r="G216" s="22"/>
      <c r="H216" s="22"/>
      <c r="I216" s="22"/>
      <c r="J216" s="10"/>
      <c r="K216" s="10"/>
    </row>
    <row r="217" spans="1:11">
      <c r="A217" s="22"/>
      <c r="B217" s="22"/>
      <c r="C217" s="22"/>
      <c r="D217" s="22"/>
      <c r="E217" s="22"/>
      <c r="F217" s="22"/>
      <c r="G217" s="22"/>
      <c r="H217" s="22"/>
      <c r="I217" s="22"/>
      <c r="J217" s="10"/>
      <c r="K217" s="10"/>
    </row>
    <row r="218" spans="1:11">
      <c r="A218" s="22"/>
      <c r="B218" s="22"/>
      <c r="C218" s="22"/>
      <c r="D218" s="22"/>
      <c r="E218" s="22"/>
      <c r="F218" s="22"/>
      <c r="G218" s="22"/>
      <c r="H218" s="22"/>
      <c r="I218" s="22"/>
    </row>
    <row r="219" spans="1:11">
      <c r="A219" s="22"/>
      <c r="B219" s="22"/>
      <c r="C219" s="22"/>
      <c r="D219" s="22"/>
      <c r="E219" s="22"/>
      <c r="F219" s="22"/>
      <c r="G219" s="22"/>
      <c r="H219" s="22"/>
      <c r="I219" s="22"/>
    </row>
    <row r="220" spans="1:11">
      <c r="A220" s="22"/>
      <c r="B220" s="22"/>
      <c r="C220" s="22"/>
      <c r="D220" s="22"/>
      <c r="E220" s="22"/>
      <c r="F220" s="22"/>
      <c r="G220" s="22"/>
      <c r="H220" s="22"/>
      <c r="I220" s="22"/>
    </row>
    <row r="221" spans="1:11">
      <c r="A221" s="22"/>
      <c r="B221" s="22"/>
      <c r="C221" s="22"/>
      <c r="D221" s="22"/>
      <c r="E221" s="22"/>
      <c r="F221" s="22"/>
      <c r="G221" s="22"/>
      <c r="H221" s="22"/>
      <c r="I221" s="22"/>
    </row>
    <row r="250" spans="1:14" ht="20.100000000000001" customHeight="1">
      <c r="A250" s="1717">
        <v>4</v>
      </c>
      <c r="B250" s="1717"/>
      <c r="C250" s="1717"/>
      <c r="D250" s="1717"/>
      <c r="E250" s="1717"/>
      <c r="F250" s="1717"/>
      <c r="G250" s="1717"/>
      <c r="H250" s="1717"/>
      <c r="I250" s="1717"/>
    </row>
    <row r="251" spans="1:14" ht="20.25">
      <c r="F251" s="1716"/>
      <c r="G251" s="1716"/>
      <c r="H251" s="1716"/>
      <c r="I251" s="1716"/>
      <c r="J251" s="1716"/>
      <c r="K251" s="1716"/>
      <c r="L251" s="1716"/>
      <c r="M251" s="1716"/>
      <c r="N251" s="1716"/>
    </row>
  </sheetData>
  <mergeCells count="14">
    <mergeCell ref="F251:N251"/>
    <mergeCell ref="A250:I250"/>
    <mergeCell ref="A139:I139"/>
    <mergeCell ref="A142:I142"/>
    <mergeCell ref="A3:I3"/>
    <mergeCell ref="A4:I4"/>
    <mergeCell ref="A5:I5"/>
    <mergeCell ref="A9:I9"/>
    <mergeCell ref="A135:I135"/>
    <mergeCell ref="A11:I11"/>
    <mergeCell ref="A133:I133"/>
    <mergeCell ref="A134:I134"/>
    <mergeCell ref="A63:I63"/>
    <mergeCell ref="A129:I129"/>
  </mergeCells>
  <phoneticPr fontId="8" type="noConversion"/>
  <printOptions horizontalCentered="1"/>
  <pageMargins left="1" right="0" top="1" bottom="0" header="0.3" footer="0"/>
  <pageSetup paperSize="256" orientation="portrait" r:id="rId1"/>
  <headerFooter alignWithMargins="0">
    <oddFooter xml:space="preserve">&amp;C&amp;"Times New Roman,Bold"&amp;14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6"/>
  <sheetViews>
    <sheetView topLeftCell="A138" workbookViewId="0">
      <selection activeCell="J208" sqref="J208"/>
    </sheetView>
  </sheetViews>
  <sheetFormatPr defaultRowHeight="12.75"/>
  <cols>
    <col min="1" max="1" width="3.7109375" customWidth="1"/>
    <col min="2" max="2" width="4.42578125" customWidth="1"/>
    <col min="3" max="3" width="4.28515625" customWidth="1"/>
    <col min="4" max="4" width="18.42578125" customWidth="1"/>
    <col min="8" max="8" width="8.85546875" customWidth="1"/>
    <col min="9" max="9" width="15" bestFit="1" customWidth="1"/>
    <col min="10" max="10" width="14.5703125" customWidth="1"/>
    <col min="11" max="11" width="14" bestFit="1" customWidth="1"/>
    <col min="12" max="12" width="11.28515625" bestFit="1" customWidth="1"/>
  </cols>
  <sheetData>
    <row r="1" spans="1:10" ht="15" customHeight="1">
      <c r="A1" s="1673" t="s">
        <v>861</v>
      </c>
      <c r="B1" s="1673"/>
      <c r="C1" s="1673"/>
      <c r="D1" s="1673"/>
      <c r="E1" s="1673"/>
      <c r="F1" s="1673"/>
      <c r="G1" s="1673"/>
      <c r="H1" s="1673"/>
      <c r="I1" s="1673"/>
      <c r="J1" s="1673"/>
    </row>
    <row r="2" spans="1:10" ht="15" customHeight="1">
      <c r="A2" s="1673" t="s">
        <v>174</v>
      </c>
      <c r="B2" s="1673"/>
      <c r="C2" s="1673"/>
      <c r="D2" s="1673"/>
      <c r="E2" s="1673"/>
      <c r="F2" s="1673"/>
      <c r="G2" s="1673"/>
      <c r="H2" s="1673"/>
      <c r="I2" s="1673"/>
      <c r="J2" s="1673"/>
    </row>
    <row r="3" spans="1:10" ht="15" customHeight="1">
      <c r="A3" s="1673" t="s">
        <v>175</v>
      </c>
      <c r="B3" s="1673"/>
      <c r="C3" s="1673"/>
      <c r="D3" s="1673"/>
      <c r="E3" s="1673"/>
      <c r="F3" s="1673"/>
      <c r="G3" s="1673"/>
      <c r="H3" s="1673"/>
      <c r="I3" s="1673"/>
      <c r="J3" s="1673"/>
    </row>
    <row r="4" spans="1:10" ht="15" customHeight="1">
      <c r="A4" s="6"/>
      <c r="B4" s="6"/>
      <c r="C4" s="6"/>
      <c r="D4" s="6"/>
      <c r="E4" s="6"/>
      <c r="F4" s="6"/>
      <c r="G4" s="6"/>
      <c r="H4" s="6"/>
      <c r="I4" s="6"/>
      <c r="J4" s="6"/>
    </row>
    <row r="5" spans="1:10" ht="15" customHeight="1">
      <c r="A5" s="6"/>
      <c r="B5" s="6"/>
      <c r="C5" s="6"/>
      <c r="D5" s="6"/>
      <c r="E5" s="6"/>
      <c r="F5" s="6"/>
      <c r="G5" s="6"/>
      <c r="H5" s="6"/>
      <c r="I5" s="6"/>
      <c r="J5" s="6"/>
    </row>
    <row r="6" spans="1:10" ht="15" customHeight="1">
      <c r="A6" s="6"/>
      <c r="B6" s="6"/>
      <c r="C6" s="6"/>
      <c r="D6" s="6"/>
      <c r="E6" s="6"/>
      <c r="F6" s="6"/>
      <c r="G6" s="6"/>
      <c r="H6" s="6"/>
      <c r="I6" s="6"/>
      <c r="J6" s="6"/>
    </row>
    <row r="7" spans="1:10" ht="23.25">
      <c r="A7" s="1724" t="s">
        <v>1729</v>
      </c>
      <c r="B7" s="1724"/>
      <c r="C7" s="1724"/>
      <c r="D7" s="1724"/>
      <c r="E7" s="1724"/>
      <c r="F7" s="1724"/>
      <c r="G7" s="1724"/>
      <c r="H7" s="1724"/>
      <c r="I7" s="1724"/>
      <c r="J7" s="1724"/>
    </row>
    <row r="8" spans="1:10" ht="7.5" customHeight="1">
      <c r="A8" s="6"/>
      <c r="B8" s="6"/>
      <c r="C8" s="6"/>
      <c r="D8" s="6"/>
      <c r="E8" s="6"/>
      <c r="F8" s="6"/>
      <c r="G8" s="6"/>
      <c r="H8" s="6"/>
      <c r="I8" s="6"/>
      <c r="J8" s="6"/>
    </row>
    <row r="9" spans="1:10" ht="7.5" customHeight="1">
      <c r="A9" s="6"/>
      <c r="B9" s="6"/>
      <c r="C9" s="6"/>
      <c r="D9" s="6"/>
      <c r="E9" s="6"/>
      <c r="F9" s="6"/>
      <c r="G9" s="6"/>
      <c r="H9" s="6"/>
      <c r="I9" s="6"/>
      <c r="J9" s="6"/>
    </row>
    <row r="10" spans="1:10">
      <c r="A10" s="15" t="s">
        <v>279</v>
      </c>
      <c r="B10" s="15"/>
      <c r="C10" s="15"/>
      <c r="D10" s="7"/>
      <c r="E10" s="6"/>
      <c r="F10" s="6"/>
      <c r="G10" s="6"/>
      <c r="H10" s="6"/>
      <c r="I10" s="6"/>
      <c r="J10" s="6"/>
    </row>
    <row r="11" spans="1:10">
      <c r="A11" s="8"/>
      <c r="B11" s="2" t="s">
        <v>280</v>
      </c>
      <c r="C11" s="9" t="s">
        <v>180</v>
      </c>
      <c r="D11" s="9"/>
      <c r="E11" s="6"/>
      <c r="F11" s="6"/>
      <c r="G11" s="6"/>
      <c r="H11" s="6"/>
      <c r="I11" s="6"/>
      <c r="J11" s="6"/>
    </row>
    <row r="12" spans="1:10">
      <c r="A12" s="6"/>
      <c r="B12" s="6" t="s">
        <v>281</v>
      </c>
      <c r="C12" s="6"/>
      <c r="D12" s="6"/>
      <c r="E12" s="6"/>
      <c r="F12" s="6"/>
      <c r="G12" s="6"/>
      <c r="H12" s="6"/>
      <c r="I12" s="10">
        <f>'LBP NO. 1'!N38</f>
        <v>11675000</v>
      </c>
      <c r="J12" s="6"/>
    </row>
    <row r="13" spans="1:10">
      <c r="A13" s="6"/>
      <c r="B13" s="6" t="s">
        <v>284</v>
      </c>
      <c r="C13" s="6"/>
      <c r="D13" s="6"/>
      <c r="E13" s="6"/>
      <c r="F13" s="6"/>
      <c r="G13" s="6"/>
      <c r="H13" s="6"/>
      <c r="I13" s="10">
        <f>'LBP NO. 1'!N69</f>
        <v>3935000</v>
      </c>
      <c r="J13" s="6"/>
    </row>
    <row r="14" spans="1:10">
      <c r="A14" s="6"/>
      <c r="B14" s="6" t="s">
        <v>282</v>
      </c>
      <c r="C14" s="6"/>
      <c r="D14" s="6"/>
      <c r="E14" s="6"/>
      <c r="F14" s="6"/>
      <c r="G14" s="6"/>
      <c r="H14" s="6"/>
      <c r="I14" s="11">
        <f>'LBP NO. 1'!N72</f>
        <v>187519451</v>
      </c>
      <c r="J14" s="6"/>
    </row>
    <row r="15" spans="1:10" ht="13.5" thickBot="1">
      <c r="A15" s="6"/>
      <c r="B15" s="6" t="s">
        <v>283</v>
      </c>
      <c r="C15" s="6"/>
      <c r="D15" s="7"/>
      <c r="E15" s="6"/>
      <c r="F15" s="6"/>
      <c r="G15" s="6"/>
      <c r="H15" s="6"/>
      <c r="I15" s="12">
        <f>SUM(I12:I14)</f>
        <v>203129451</v>
      </c>
      <c r="J15" s="6"/>
    </row>
    <row r="16" spans="1:10">
      <c r="A16" s="6"/>
      <c r="B16" s="6"/>
      <c r="C16" s="6"/>
      <c r="D16" s="7"/>
      <c r="E16" s="6"/>
      <c r="F16" s="6"/>
      <c r="G16" s="6"/>
      <c r="H16" s="6"/>
      <c r="I16" s="17"/>
      <c r="J16" s="6"/>
    </row>
    <row r="17" spans="1:10">
      <c r="A17" s="6"/>
      <c r="B17" s="6"/>
      <c r="C17" s="6"/>
      <c r="D17" s="7"/>
      <c r="E17" s="6"/>
      <c r="F17" s="6"/>
      <c r="G17" s="6"/>
      <c r="H17" s="6"/>
      <c r="I17" s="17"/>
      <c r="J17" s="6"/>
    </row>
    <row r="18" spans="1:10">
      <c r="A18" s="8"/>
      <c r="B18" s="8" t="s">
        <v>184</v>
      </c>
      <c r="C18" s="9"/>
      <c r="D18" s="9"/>
      <c r="E18" s="6"/>
      <c r="F18" s="6"/>
      <c r="G18" s="6"/>
      <c r="H18" s="6"/>
      <c r="I18" s="10"/>
      <c r="J18" s="6"/>
    </row>
    <row r="19" spans="1:10">
      <c r="A19" s="8"/>
      <c r="B19" s="6" t="s">
        <v>281</v>
      </c>
      <c r="C19" s="8"/>
      <c r="D19" s="9"/>
      <c r="E19" s="6"/>
      <c r="F19" s="6"/>
      <c r="G19" s="6"/>
      <c r="H19" s="6"/>
      <c r="I19" s="10">
        <f>'LBP NO. 1 (Market)'!N25</f>
        <v>0</v>
      </c>
      <c r="J19" s="6"/>
    </row>
    <row r="20" spans="1:10">
      <c r="A20" s="8"/>
      <c r="B20" s="6" t="s">
        <v>284</v>
      </c>
      <c r="C20" s="8"/>
      <c r="D20" s="9"/>
      <c r="E20" s="6"/>
      <c r="F20" s="6"/>
      <c r="G20" s="6"/>
      <c r="H20" s="6"/>
      <c r="I20" s="11">
        <f>'LBP NO. 1 (Market)'!N44</f>
        <v>8855000</v>
      </c>
      <c r="J20" s="6"/>
    </row>
    <row r="21" spans="1:10" ht="13.5" thickBot="1">
      <c r="A21" s="8"/>
      <c r="B21" s="8" t="s">
        <v>283</v>
      </c>
      <c r="C21" s="9"/>
      <c r="D21" s="7"/>
      <c r="E21" s="6"/>
      <c r="F21" s="6"/>
      <c r="G21" s="6"/>
      <c r="H21" s="6"/>
      <c r="I21" s="13">
        <f>SUM(I19:I20)</f>
        <v>8855000</v>
      </c>
      <c r="J21" s="6"/>
    </row>
    <row r="22" spans="1:10">
      <c r="A22" s="8"/>
      <c r="B22" s="8"/>
      <c r="C22" s="9"/>
      <c r="D22" s="7"/>
      <c r="E22" s="6"/>
      <c r="F22" s="6"/>
      <c r="G22" s="6"/>
      <c r="H22" s="6"/>
      <c r="I22" s="30"/>
      <c r="J22" s="6"/>
    </row>
    <row r="23" spans="1:10" ht="13.5" thickBot="1">
      <c r="A23" s="8"/>
      <c r="B23" s="8"/>
      <c r="C23" s="9"/>
      <c r="D23" s="7" t="s">
        <v>41</v>
      </c>
      <c r="E23" s="6"/>
      <c r="F23" s="6"/>
      <c r="G23" s="6"/>
      <c r="H23" s="6"/>
      <c r="I23" s="31">
        <f>+I15+I21</f>
        <v>211984451</v>
      </c>
      <c r="J23" s="6"/>
    </row>
    <row r="24" spans="1:10" ht="6" customHeight="1" thickTop="1">
      <c r="A24" s="6"/>
      <c r="B24" s="6"/>
      <c r="C24" s="6"/>
      <c r="D24" s="6"/>
      <c r="E24" s="6"/>
      <c r="F24" s="6"/>
      <c r="G24" s="6"/>
      <c r="H24" s="6"/>
      <c r="I24" s="10"/>
      <c r="J24" s="6"/>
    </row>
    <row r="25" spans="1:10">
      <c r="A25" s="15" t="s">
        <v>285</v>
      </c>
      <c r="B25" s="6"/>
      <c r="C25" s="2"/>
      <c r="D25" s="7"/>
      <c r="E25" s="6"/>
      <c r="F25" s="6"/>
      <c r="G25" s="6"/>
      <c r="H25" s="6"/>
      <c r="I25" s="10"/>
      <c r="J25" s="6"/>
    </row>
    <row r="26" spans="1:10">
      <c r="A26" s="14"/>
      <c r="B26" s="14"/>
      <c r="C26" s="34" t="s">
        <v>287</v>
      </c>
      <c r="D26" s="6" t="s">
        <v>286</v>
      </c>
      <c r="E26" s="6"/>
      <c r="F26" s="6"/>
      <c r="G26" s="6"/>
      <c r="H26" s="6"/>
      <c r="I26" s="10"/>
      <c r="J26" s="6"/>
    </row>
    <row r="27" spans="1:10">
      <c r="A27" s="6"/>
      <c r="B27" s="6"/>
      <c r="C27" s="7"/>
      <c r="D27" s="6" t="s">
        <v>288</v>
      </c>
      <c r="E27" s="6"/>
      <c r="F27" s="6"/>
      <c r="G27" s="6"/>
      <c r="H27" s="6"/>
      <c r="I27" s="10">
        <f>'LBP NO. 2'!M46</f>
        <v>11326482</v>
      </c>
      <c r="J27" s="6"/>
    </row>
    <row r="28" spans="1:10">
      <c r="A28" s="6"/>
      <c r="B28" s="6"/>
      <c r="C28" s="6"/>
      <c r="D28" s="6" t="s">
        <v>271</v>
      </c>
      <c r="E28" s="6"/>
      <c r="F28" s="6"/>
      <c r="G28" s="6"/>
      <c r="H28" s="6"/>
      <c r="I28" s="10">
        <f>'LBP NO. 2'!M59</f>
        <v>3200601</v>
      </c>
      <c r="J28" s="6"/>
    </row>
    <row r="29" spans="1:10">
      <c r="A29" s="6"/>
      <c r="B29" s="6"/>
      <c r="C29" s="6"/>
      <c r="D29" s="6" t="s">
        <v>289</v>
      </c>
      <c r="E29" s="6"/>
      <c r="F29" s="6"/>
      <c r="G29" s="6"/>
      <c r="H29" s="6"/>
      <c r="I29" s="11">
        <f>'LBP NO. 2'!M69</f>
        <v>1900000</v>
      </c>
      <c r="J29" s="6"/>
    </row>
    <row r="30" spans="1:10">
      <c r="A30" s="6"/>
      <c r="B30" s="6"/>
      <c r="C30" s="6"/>
      <c r="D30" s="7" t="s">
        <v>15</v>
      </c>
      <c r="E30" s="6"/>
      <c r="F30" s="6"/>
      <c r="G30" s="6"/>
      <c r="H30" s="6"/>
      <c r="I30" s="35">
        <f>SUM(I27:I29)</f>
        <v>16427083</v>
      </c>
      <c r="J30" s="6"/>
    </row>
    <row r="31" spans="1:10">
      <c r="A31" s="6"/>
      <c r="B31" s="6"/>
      <c r="C31" s="6"/>
      <c r="D31" s="7"/>
      <c r="E31" s="6"/>
      <c r="F31" s="6"/>
      <c r="G31" s="6"/>
      <c r="H31" s="6"/>
      <c r="I31" s="10"/>
      <c r="J31" s="6"/>
    </row>
    <row r="32" spans="1:10">
      <c r="A32" s="6"/>
      <c r="B32" s="6"/>
      <c r="C32" s="34" t="s">
        <v>290</v>
      </c>
      <c r="D32" s="6" t="s">
        <v>292</v>
      </c>
      <c r="E32" s="6"/>
      <c r="F32" s="6"/>
      <c r="G32" s="6"/>
      <c r="H32" s="6"/>
      <c r="I32" s="10">
        <f>'LBP NO. 2'!M118</f>
        <v>19701187</v>
      </c>
      <c r="J32" s="6"/>
    </row>
    <row r="33" spans="1:10">
      <c r="A33" s="6"/>
      <c r="B33" s="6"/>
      <c r="C33" s="6"/>
      <c r="D33" s="6" t="s">
        <v>288</v>
      </c>
      <c r="E33" s="6"/>
      <c r="F33" s="6"/>
      <c r="G33" s="6"/>
      <c r="H33" s="6"/>
      <c r="I33" s="10">
        <f>'LBP NO. 2'!M134</f>
        <v>6806400</v>
      </c>
      <c r="J33" s="6"/>
    </row>
    <row r="34" spans="1:10">
      <c r="A34" s="6"/>
      <c r="B34" s="6"/>
      <c r="C34" s="6"/>
      <c r="D34" s="6" t="s">
        <v>271</v>
      </c>
      <c r="E34" s="6"/>
      <c r="F34" s="6"/>
      <c r="G34" s="6"/>
      <c r="H34" s="6"/>
      <c r="I34" s="11">
        <f>'LBP NO. 2'!M142</f>
        <v>0</v>
      </c>
      <c r="J34" s="6"/>
    </row>
    <row r="35" spans="1:10">
      <c r="A35" s="6"/>
      <c r="B35" s="6"/>
      <c r="C35" s="6"/>
      <c r="D35" s="6" t="s">
        <v>289</v>
      </c>
      <c r="E35" s="6"/>
      <c r="F35" s="6"/>
      <c r="G35" s="6"/>
      <c r="H35" s="6"/>
      <c r="I35" s="35">
        <f>SUM(I32:I34)</f>
        <v>26507587</v>
      </c>
      <c r="J35" s="6"/>
    </row>
    <row r="36" spans="1:10">
      <c r="A36" s="6"/>
      <c r="B36" s="6"/>
      <c r="C36" s="6"/>
      <c r="D36" s="7" t="s">
        <v>15</v>
      </c>
      <c r="E36" s="6"/>
      <c r="F36" s="6"/>
      <c r="G36" s="6"/>
      <c r="H36" s="6"/>
      <c r="I36" s="10"/>
      <c r="J36" s="6"/>
    </row>
    <row r="37" spans="1:10">
      <c r="A37" s="6"/>
      <c r="B37" s="6"/>
      <c r="C37" s="6"/>
      <c r="D37" s="6"/>
      <c r="E37" s="6"/>
      <c r="F37" s="6"/>
      <c r="G37" s="6"/>
      <c r="H37" s="6"/>
      <c r="I37" s="10"/>
      <c r="J37" s="6"/>
    </row>
    <row r="38" spans="1:10">
      <c r="A38" s="6"/>
      <c r="B38" s="6"/>
      <c r="C38" s="34" t="s">
        <v>291</v>
      </c>
      <c r="D38" s="6" t="s">
        <v>293</v>
      </c>
      <c r="E38" s="6"/>
      <c r="F38" s="6"/>
      <c r="G38" s="6"/>
      <c r="H38" s="6"/>
      <c r="I38" s="10"/>
      <c r="J38" s="6"/>
    </row>
    <row r="39" spans="1:10">
      <c r="A39" s="6"/>
      <c r="B39" s="6"/>
      <c r="C39" s="6"/>
      <c r="D39" s="6" t="s">
        <v>288</v>
      </c>
      <c r="E39" s="6"/>
      <c r="F39" s="6"/>
      <c r="G39" s="6"/>
      <c r="H39" s="6"/>
      <c r="I39" s="10">
        <f>'LBP NO. 2'!M194</f>
        <v>2112273</v>
      </c>
      <c r="J39" s="6"/>
    </row>
    <row r="40" spans="1:10">
      <c r="A40" s="6"/>
      <c r="B40" s="6"/>
      <c r="C40" s="6"/>
      <c r="D40" s="6" t="s">
        <v>271</v>
      </c>
      <c r="E40" s="6"/>
      <c r="F40" s="6"/>
      <c r="G40" s="6"/>
      <c r="H40" s="6"/>
      <c r="I40" s="10">
        <f>'LBP NO. 2'!M203</f>
        <v>526587</v>
      </c>
      <c r="J40" s="6"/>
    </row>
    <row r="41" spans="1:10">
      <c r="A41" s="6"/>
      <c r="B41" s="6"/>
      <c r="C41" s="6"/>
      <c r="D41" s="6" t="s">
        <v>289</v>
      </c>
      <c r="E41" s="6"/>
      <c r="F41" s="6"/>
      <c r="G41" s="6"/>
      <c r="H41" s="6"/>
      <c r="I41" s="11">
        <f>'LBP NO. 2'!M208</f>
        <v>0</v>
      </c>
      <c r="J41" s="6"/>
    </row>
    <row r="42" spans="1:10">
      <c r="A42" s="6"/>
      <c r="B42" s="6"/>
      <c r="C42" s="6"/>
      <c r="D42" s="7" t="s">
        <v>15</v>
      </c>
      <c r="E42" s="6"/>
      <c r="F42" s="6"/>
      <c r="G42" s="6"/>
      <c r="H42" s="6"/>
      <c r="I42" s="35">
        <f>SUM(I39:I41)</f>
        <v>2638860</v>
      </c>
      <c r="J42" s="6"/>
    </row>
    <row r="43" spans="1:10">
      <c r="A43" s="6"/>
      <c r="B43" s="6"/>
      <c r="C43" s="6"/>
      <c r="D43" s="6"/>
      <c r="E43" s="6"/>
      <c r="F43" s="6"/>
      <c r="G43" s="6"/>
      <c r="H43" s="6"/>
      <c r="I43" s="10"/>
      <c r="J43" s="6"/>
    </row>
    <row r="44" spans="1:10">
      <c r="A44" s="6"/>
      <c r="B44" s="6"/>
      <c r="C44" s="34" t="s">
        <v>294</v>
      </c>
      <c r="D44" s="6" t="s">
        <v>305</v>
      </c>
      <c r="E44" s="6"/>
      <c r="F44" s="6"/>
      <c r="G44" s="6"/>
      <c r="H44" s="6"/>
      <c r="I44" s="16"/>
      <c r="J44" s="6"/>
    </row>
    <row r="45" spans="1:10">
      <c r="A45" s="6"/>
      <c r="B45" s="6"/>
      <c r="C45" s="6"/>
      <c r="D45" s="6" t="s">
        <v>288</v>
      </c>
      <c r="E45" s="6"/>
      <c r="F45" s="6"/>
      <c r="G45" s="6"/>
      <c r="H45" s="6"/>
      <c r="I45" s="10">
        <f>'LBP NO. 2'!M264</f>
        <v>2563261</v>
      </c>
      <c r="J45" s="6"/>
    </row>
    <row r="46" spans="1:10">
      <c r="A46" s="6"/>
      <c r="B46" s="6"/>
      <c r="C46" s="6"/>
      <c r="D46" s="6" t="s">
        <v>271</v>
      </c>
      <c r="E46" s="6"/>
      <c r="F46" s="6"/>
      <c r="G46" s="6"/>
      <c r="H46" s="6"/>
      <c r="I46" s="10">
        <f>'LBP NO. 2'!M274</f>
        <v>219250</v>
      </c>
      <c r="J46" s="6"/>
    </row>
    <row r="47" spans="1:10">
      <c r="A47" s="6"/>
      <c r="B47" s="6"/>
      <c r="C47" s="6"/>
      <c r="D47" s="6" t="s">
        <v>289</v>
      </c>
      <c r="E47" s="6"/>
      <c r="F47" s="6"/>
      <c r="G47" s="6"/>
      <c r="H47" s="6"/>
      <c r="I47" s="11">
        <f>'LBP NO. 2'!M279</f>
        <v>0</v>
      </c>
      <c r="J47" s="6"/>
    </row>
    <row r="48" spans="1:10">
      <c r="A48" s="6"/>
      <c r="B48" s="6"/>
      <c r="C48" s="6"/>
      <c r="D48" s="7" t="s">
        <v>15</v>
      </c>
      <c r="E48" s="6"/>
      <c r="F48" s="6"/>
      <c r="G48" s="6"/>
      <c r="H48" s="6"/>
      <c r="I48" s="35">
        <f>SUM(I45:I47)</f>
        <v>2782511</v>
      </c>
      <c r="J48" s="6"/>
    </row>
    <row r="49" spans="1:11">
      <c r="A49" s="6"/>
      <c r="B49" s="6"/>
      <c r="C49" s="6"/>
      <c r="D49" s="6"/>
      <c r="E49" s="6"/>
      <c r="F49" s="6"/>
      <c r="G49" s="6"/>
      <c r="H49" s="6"/>
      <c r="I49" s="16"/>
      <c r="J49" s="6"/>
    </row>
    <row r="50" spans="1:11">
      <c r="A50" s="6"/>
      <c r="B50" s="6"/>
      <c r="C50" s="34" t="s">
        <v>295</v>
      </c>
      <c r="D50" s="6" t="s">
        <v>306</v>
      </c>
      <c r="E50" s="6"/>
      <c r="F50" s="6"/>
      <c r="G50" s="6"/>
      <c r="H50" s="6"/>
      <c r="I50" s="10">
        <f>'LBP NO. 2'!M333</f>
        <v>2282789</v>
      </c>
      <c r="J50" s="6"/>
    </row>
    <row r="51" spans="1:11">
      <c r="A51" s="6"/>
      <c r="B51" s="6"/>
      <c r="C51" s="6"/>
      <c r="D51" s="6" t="s">
        <v>288</v>
      </c>
      <c r="E51" s="6"/>
      <c r="F51" s="6"/>
      <c r="H51" s="6"/>
      <c r="I51" s="10">
        <f>'LBP NO. 2'!M342</f>
        <v>328000</v>
      </c>
      <c r="J51" s="6"/>
      <c r="K51" s="29"/>
    </row>
    <row r="52" spans="1:11" ht="14.25" customHeight="1">
      <c r="A52" s="6"/>
      <c r="B52" s="6"/>
      <c r="C52" s="6"/>
      <c r="D52" s="6" t="s">
        <v>271</v>
      </c>
      <c r="E52" s="6"/>
      <c r="F52" s="6"/>
      <c r="G52" s="7"/>
      <c r="H52" s="6"/>
      <c r="I52" s="11">
        <f>'LBP NO. 2'!M347</f>
        <v>0</v>
      </c>
      <c r="J52" s="6"/>
    </row>
    <row r="53" spans="1:11" ht="14.25" customHeight="1">
      <c r="A53" s="6"/>
      <c r="B53" s="6"/>
      <c r="C53" s="6"/>
      <c r="D53" s="6" t="s">
        <v>289</v>
      </c>
      <c r="E53" s="6"/>
      <c r="F53" s="6"/>
      <c r="G53" s="7"/>
      <c r="H53" s="6"/>
      <c r="I53" s="35">
        <f>SUM(I50:I52)</f>
        <v>2610789</v>
      </c>
      <c r="J53" s="6"/>
    </row>
    <row r="54" spans="1:11" ht="14.25" customHeight="1">
      <c r="A54" s="6"/>
      <c r="B54" s="6"/>
      <c r="C54" s="6"/>
      <c r="D54" s="7" t="s">
        <v>15</v>
      </c>
      <c r="E54" s="6"/>
      <c r="F54" s="6"/>
      <c r="G54" s="7"/>
      <c r="H54" s="6"/>
      <c r="I54" s="10"/>
      <c r="J54" s="6"/>
    </row>
    <row r="55" spans="1:11" ht="14.25" customHeight="1">
      <c r="A55" s="6"/>
      <c r="B55" s="6"/>
      <c r="C55" s="6"/>
      <c r="D55" s="6"/>
      <c r="E55" s="6"/>
      <c r="F55" s="6"/>
      <c r="G55" s="7"/>
      <c r="H55" s="6"/>
      <c r="I55" s="17"/>
      <c r="J55" s="6"/>
    </row>
    <row r="56" spans="1:11">
      <c r="A56" s="6"/>
      <c r="B56" s="6"/>
      <c r="C56" s="34" t="s">
        <v>296</v>
      </c>
      <c r="D56" s="6" t="s">
        <v>307</v>
      </c>
      <c r="E56" s="6"/>
      <c r="F56" s="6"/>
      <c r="G56" s="6"/>
      <c r="H56" s="6"/>
      <c r="I56" s="10"/>
      <c r="J56" s="6"/>
    </row>
    <row r="57" spans="1:11">
      <c r="A57" s="6"/>
      <c r="B57" s="6"/>
      <c r="C57" s="6"/>
      <c r="D57" s="6" t="s">
        <v>288</v>
      </c>
      <c r="E57" s="6"/>
      <c r="F57" s="6"/>
      <c r="G57" s="6"/>
      <c r="H57" s="6"/>
      <c r="I57" s="10">
        <f>'LBP NO. 2'!M402</f>
        <v>3427261</v>
      </c>
      <c r="J57" s="6"/>
    </row>
    <row r="58" spans="1:11">
      <c r="A58" s="6"/>
      <c r="B58" s="6"/>
      <c r="C58" s="6"/>
      <c r="D58" s="6" t="s">
        <v>271</v>
      </c>
      <c r="E58" s="6"/>
      <c r="F58" s="6"/>
      <c r="G58" s="6"/>
      <c r="H58" s="6"/>
      <c r="I58" s="10">
        <f>'LBP NO. 2'!M411</f>
        <v>573815</v>
      </c>
      <c r="J58" s="6"/>
    </row>
    <row r="59" spans="1:11">
      <c r="A59" s="6"/>
      <c r="B59" s="6"/>
      <c r="C59" s="6"/>
      <c r="D59" s="6" t="s">
        <v>289</v>
      </c>
      <c r="E59" s="6"/>
      <c r="F59" s="6"/>
      <c r="G59" s="6"/>
      <c r="H59" s="6"/>
      <c r="I59" s="11">
        <f>'LBP NO. 2'!M417</f>
        <v>0</v>
      </c>
      <c r="J59" s="6"/>
    </row>
    <row r="60" spans="1:11">
      <c r="A60" s="6"/>
      <c r="B60" s="6"/>
      <c r="C60" s="6"/>
      <c r="D60" s="7" t="s">
        <v>15</v>
      </c>
      <c r="E60" s="6"/>
      <c r="F60" s="6"/>
      <c r="G60" s="6"/>
      <c r="H60" s="6"/>
      <c r="I60" s="35">
        <f>SUM(I57:I59)</f>
        <v>4001076</v>
      </c>
      <c r="J60" s="6"/>
    </row>
    <row r="61" spans="1:11">
      <c r="A61" s="6"/>
      <c r="B61" s="6"/>
      <c r="C61" s="6"/>
      <c r="D61" s="6"/>
      <c r="E61" s="6"/>
      <c r="F61" s="6"/>
      <c r="G61" s="6"/>
      <c r="H61" s="6"/>
      <c r="I61" s="10"/>
      <c r="J61" s="6"/>
    </row>
    <row r="62" spans="1:11">
      <c r="A62" s="6"/>
      <c r="B62" s="6"/>
      <c r="C62" s="34" t="s">
        <v>297</v>
      </c>
      <c r="D62" s="6" t="s">
        <v>308</v>
      </c>
      <c r="E62" s="6"/>
      <c r="F62" s="6"/>
      <c r="G62" s="6"/>
      <c r="H62" s="6"/>
      <c r="I62" s="10"/>
      <c r="J62" s="6"/>
    </row>
    <row r="63" spans="1:11">
      <c r="A63" s="6"/>
      <c r="B63" s="6"/>
      <c r="C63" s="6"/>
      <c r="D63" s="6" t="s">
        <v>288</v>
      </c>
      <c r="E63" s="6"/>
      <c r="F63" s="6"/>
      <c r="G63" s="6"/>
      <c r="H63" s="6"/>
      <c r="I63" s="10">
        <f>'LBP NO. 2'!M469</f>
        <v>5302373</v>
      </c>
      <c r="J63" s="6"/>
    </row>
    <row r="64" spans="1:11">
      <c r="A64" s="6"/>
      <c r="B64" s="6"/>
      <c r="C64" s="6"/>
      <c r="D64" s="6" t="s">
        <v>271</v>
      </c>
      <c r="E64" s="6"/>
      <c r="F64" s="6"/>
      <c r="G64" s="6"/>
      <c r="H64" s="6"/>
      <c r="I64" s="10">
        <f>'LBP NO. 2'!M481</f>
        <v>1076000</v>
      </c>
      <c r="J64" s="6"/>
    </row>
    <row r="65" spans="1:10">
      <c r="A65" s="6"/>
      <c r="B65" s="6"/>
      <c r="C65" s="6"/>
      <c r="D65" s="6" t="s">
        <v>289</v>
      </c>
      <c r="E65" s="6"/>
      <c r="F65" s="6"/>
      <c r="G65" s="6"/>
      <c r="H65" s="6"/>
      <c r="I65" s="11">
        <f>'LBP NO. 2'!M487</f>
        <v>0</v>
      </c>
      <c r="J65" s="6"/>
    </row>
    <row r="66" spans="1:10">
      <c r="A66" s="6"/>
      <c r="B66" s="6"/>
      <c r="C66" s="6"/>
      <c r="D66" s="7" t="s">
        <v>15</v>
      </c>
      <c r="E66" s="6"/>
      <c r="F66" s="6"/>
      <c r="G66" s="6"/>
      <c r="H66" s="6"/>
      <c r="I66" s="35">
        <f>SUM(I63:I65)</f>
        <v>6378373</v>
      </c>
      <c r="J66" s="6"/>
    </row>
    <row r="67" spans="1:10">
      <c r="A67" s="6"/>
      <c r="B67" s="6"/>
      <c r="C67" s="6"/>
      <c r="D67" s="7"/>
      <c r="E67" s="6"/>
      <c r="F67" s="6"/>
      <c r="G67" s="6"/>
      <c r="H67" s="6"/>
      <c r="I67" s="35"/>
      <c r="J67" s="6"/>
    </row>
    <row r="68" spans="1:10">
      <c r="A68" s="6"/>
      <c r="B68" s="6"/>
      <c r="C68" s="6"/>
      <c r="D68" s="6"/>
      <c r="E68" s="6"/>
      <c r="F68" s="6"/>
      <c r="G68" s="6"/>
      <c r="H68" s="6"/>
      <c r="I68" s="10"/>
      <c r="J68" s="6"/>
    </row>
    <row r="69" spans="1:10">
      <c r="A69" s="6"/>
      <c r="B69" s="6"/>
      <c r="C69" s="6"/>
      <c r="D69" s="6"/>
      <c r="E69" s="6"/>
      <c r="F69" s="6"/>
      <c r="G69" s="6"/>
      <c r="H69" s="6"/>
      <c r="I69" s="10"/>
      <c r="J69" s="6"/>
    </row>
    <row r="70" spans="1:10">
      <c r="A70" s="6"/>
      <c r="B70" s="6"/>
      <c r="C70" s="6"/>
      <c r="D70" s="6"/>
      <c r="E70" s="6"/>
      <c r="F70" s="6"/>
      <c r="G70" s="6"/>
      <c r="H70" s="6"/>
      <c r="I70" s="10"/>
      <c r="J70" s="6"/>
    </row>
    <row r="71" spans="1:10">
      <c r="A71" s="6"/>
      <c r="B71" s="6"/>
      <c r="C71" s="34" t="s">
        <v>298</v>
      </c>
      <c r="D71" s="6" t="s">
        <v>309</v>
      </c>
      <c r="E71" s="6"/>
      <c r="F71" s="6"/>
      <c r="G71" s="6"/>
      <c r="H71" s="6"/>
      <c r="I71" s="10"/>
      <c r="J71" s="6"/>
    </row>
    <row r="72" spans="1:10">
      <c r="A72" s="6"/>
      <c r="B72" s="6"/>
      <c r="C72" s="6"/>
      <c r="D72" s="6" t="s">
        <v>288</v>
      </c>
      <c r="E72" s="6"/>
      <c r="F72" s="6"/>
      <c r="G72" s="6"/>
      <c r="H72" s="6"/>
      <c r="I72" s="10">
        <f>'LBP NO. 2'!M535</f>
        <v>2967861</v>
      </c>
      <c r="J72" s="6"/>
    </row>
    <row r="73" spans="1:10">
      <c r="A73" s="6"/>
      <c r="B73" s="6"/>
      <c r="C73" s="6"/>
      <c r="D73" s="6" t="s">
        <v>271</v>
      </c>
      <c r="E73" s="6"/>
      <c r="F73" s="6"/>
      <c r="G73" s="6"/>
      <c r="H73" s="6"/>
      <c r="I73" s="10">
        <f>'LBP NO. 2'!M545</f>
        <v>443500</v>
      </c>
      <c r="J73" s="6"/>
    </row>
    <row r="74" spans="1:10">
      <c r="A74" s="6"/>
      <c r="B74" s="6"/>
      <c r="C74" s="6"/>
      <c r="D74" s="6" t="s">
        <v>289</v>
      </c>
      <c r="E74" s="6"/>
      <c r="F74" s="6"/>
      <c r="G74" s="6"/>
      <c r="H74" s="6"/>
      <c r="I74" s="11">
        <f>'LBP NO. 2'!M551</f>
        <v>0</v>
      </c>
      <c r="J74" s="6"/>
    </row>
    <row r="75" spans="1:10">
      <c r="A75" s="6"/>
      <c r="B75" s="6"/>
      <c r="C75" s="6"/>
      <c r="D75" s="7" t="s">
        <v>15</v>
      </c>
      <c r="E75" s="6"/>
      <c r="F75" s="6"/>
      <c r="G75" s="6"/>
      <c r="H75" s="6"/>
      <c r="I75" s="35">
        <f>SUM(I72:I74)</f>
        <v>3411361</v>
      </c>
      <c r="J75" s="6"/>
    </row>
    <row r="76" spans="1:10">
      <c r="A76" s="6"/>
      <c r="B76" s="6"/>
      <c r="C76" s="6"/>
      <c r="D76" s="6"/>
      <c r="E76" s="6"/>
      <c r="F76" s="6"/>
      <c r="G76" s="6"/>
      <c r="H76" s="6"/>
      <c r="I76" s="10"/>
      <c r="J76" s="6"/>
    </row>
    <row r="77" spans="1:10">
      <c r="A77" s="6"/>
      <c r="B77" s="6"/>
      <c r="C77" s="34" t="s">
        <v>299</v>
      </c>
      <c r="D77" s="6" t="s">
        <v>310</v>
      </c>
      <c r="E77" s="6"/>
      <c r="F77" s="6"/>
      <c r="G77" s="6"/>
      <c r="H77" s="6"/>
      <c r="I77" s="10"/>
      <c r="J77" s="6"/>
    </row>
    <row r="78" spans="1:10">
      <c r="A78" s="6"/>
      <c r="B78" s="6"/>
      <c r="C78" s="6"/>
      <c r="D78" s="6" t="s">
        <v>288</v>
      </c>
      <c r="E78" s="6"/>
      <c r="F78" s="6"/>
      <c r="G78" s="6"/>
      <c r="H78" s="6"/>
      <c r="I78" s="10">
        <f>'LBP NO. 2'!M600</f>
        <v>2287932</v>
      </c>
      <c r="J78" s="6"/>
    </row>
    <row r="79" spans="1:10">
      <c r="A79" s="6"/>
      <c r="B79" s="6"/>
      <c r="C79" s="6"/>
      <c r="D79" s="6" t="s">
        <v>271</v>
      </c>
      <c r="E79" s="6"/>
      <c r="F79" s="6"/>
      <c r="G79" s="6"/>
      <c r="H79" s="6"/>
      <c r="I79" s="10">
        <f>'LBP NO. 2'!M610</f>
        <v>234000</v>
      </c>
      <c r="J79" s="6"/>
    </row>
    <row r="80" spans="1:10">
      <c r="A80" s="6"/>
      <c r="B80" s="6"/>
      <c r="C80" s="6"/>
      <c r="D80" s="6" t="s">
        <v>289</v>
      </c>
      <c r="E80" s="6"/>
      <c r="F80" s="6"/>
      <c r="G80" s="6"/>
      <c r="H80" s="6"/>
      <c r="I80" s="11">
        <f>'LBP NO. 2'!M616</f>
        <v>0</v>
      </c>
      <c r="J80" s="6"/>
    </row>
    <row r="81" spans="1:11">
      <c r="A81" s="6"/>
      <c r="B81" s="6"/>
      <c r="C81" s="6"/>
      <c r="D81" s="7" t="s">
        <v>15</v>
      </c>
      <c r="E81" s="6"/>
      <c r="F81" s="6"/>
      <c r="G81" s="6"/>
      <c r="H81" s="6"/>
      <c r="I81" s="35">
        <f>SUM(I78:I80)</f>
        <v>2521932</v>
      </c>
      <c r="J81" s="6"/>
    </row>
    <row r="82" spans="1:11">
      <c r="A82" s="6"/>
      <c r="B82" s="6"/>
      <c r="C82" s="6"/>
      <c r="D82" s="6"/>
      <c r="E82" s="6"/>
      <c r="F82" s="6"/>
      <c r="G82" s="6"/>
      <c r="H82" s="6"/>
      <c r="I82" s="10"/>
      <c r="J82" s="6"/>
    </row>
    <row r="83" spans="1:11">
      <c r="A83" s="6"/>
      <c r="B83" s="6"/>
      <c r="C83" s="34" t="s">
        <v>300</v>
      </c>
      <c r="D83" s="6" t="s">
        <v>311</v>
      </c>
      <c r="E83" s="6"/>
      <c r="F83" s="6"/>
      <c r="G83" s="6"/>
      <c r="H83" s="6"/>
      <c r="I83" s="10"/>
      <c r="J83" s="6"/>
    </row>
    <row r="84" spans="1:11">
      <c r="A84" s="6"/>
      <c r="B84" s="6"/>
      <c r="C84" s="6"/>
      <c r="D84" s="6" t="s">
        <v>288</v>
      </c>
      <c r="E84" s="6"/>
      <c r="F84" s="6"/>
      <c r="G84" s="6"/>
      <c r="H84" s="6"/>
      <c r="I84" s="10">
        <f>'LBP NO. 2'!M671</f>
        <v>4777824.8</v>
      </c>
      <c r="J84" s="6"/>
    </row>
    <row r="85" spans="1:11">
      <c r="A85" s="6"/>
      <c r="B85" s="6"/>
      <c r="C85" s="6"/>
      <c r="D85" s="6" t="s">
        <v>271</v>
      </c>
      <c r="E85" s="6"/>
      <c r="F85" s="6"/>
      <c r="G85" s="6"/>
      <c r="H85" s="6"/>
      <c r="I85" s="10">
        <f>'LBP NO. 2'!M683</f>
        <v>6003040</v>
      </c>
      <c r="J85" s="6"/>
    </row>
    <row r="86" spans="1:11">
      <c r="A86" s="6"/>
      <c r="B86" s="6"/>
      <c r="C86" s="6"/>
      <c r="D86" s="6" t="s">
        <v>289</v>
      </c>
      <c r="E86" s="6"/>
      <c r="F86" s="6"/>
      <c r="G86" s="6"/>
      <c r="H86" s="6"/>
      <c r="I86" s="11">
        <f>'LBP NO. 2'!M689</f>
        <v>0</v>
      </c>
      <c r="J86" s="6"/>
    </row>
    <row r="87" spans="1:11">
      <c r="A87" s="6"/>
      <c r="B87" s="6"/>
      <c r="C87" s="6"/>
      <c r="D87" s="7" t="s">
        <v>15</v>
      </c>
      <c r="E87" s="6"/>
      <c r="F87" s="6"/>
      <c r="G87" s="6"/>
      <c r="H87" s="6"/>
      <c r="I87" s="35">
        <f>SUM(I84:I86)</f>
        <v>10780864.800000001</v>
      </c>
      <c r="J87" s="6"/>
    </row>
    <row r="88" spans="1:11">
      <c r="A88" s="6"/>
      <c r="B88" s="6"/>
      <c r="C88" s="6"/>
      <c r="D88" s="6"/>
      <c r="E88" s="6"/>
      <c r="F88" s="6"/>
      <c r="G88" s="6"/>
      <c r="H88" s="6"/>
      <c r="I88" s="10"/>
      <c r="J88" s="6"/>
    </row>
    <row r="89" spans="1:11">
      <c r="A89" s="6"/>
      <c r="B89" s="6"/>
      <c r="C89" s="34" t="s">
        <v>301</v>
      </c>
      <c r="D89" s="6" t="s">
        <v>312</v>
      </c>
      <c r="E89" s="6"/>
      <c r="F89" s="6"/>
      <c r="G89" s="7"/>
      <c r="H89" s="6"/>
      <c r="I89" s="17"/>
      <c r="J89" s="6"/>
      <c r="K89" s="29"/>
    </row>
    <row r="90" spans="1:11" ht="13.5" customHeight="1">
      <c r="A90" s="6"/>
      <c r="B90" s="6"/>
      <c r="C90" s="6"/>
      <c r="D90" s="6" t="s">
        <v>288</v>
      </c>
      <c r="E90" s="6"/>
      <c r="F90" s="6"/>
      <c r="G90" s="7"/>
      <c r="H90" s="6"/>
      <c r="I90" s="10">
        <f>'LBP NO. 2'!M739</f>
        <v>4450443</v>
      </c>
      <c r="J90" s="6"/>
    </row>
    <row r="91" spans="1:11">
      <c r="A91" s="6"/>
      <c r="B91" s="6"/>
      <c r="C91" s="6"/>
      <c r="D91" s="6" t="s">
        <v>271</v>
      </c>
      <c r="E91" s="6"/>
      <c r="F91" s="6"/>
      <c r="G91" s="6"/>
      <c r="H91" s="6"/>
      <c r="I91" s="10">
        <f>'LBP NO. 2'!M751</f>
        <v>3276932.2</v>
      </c>
      <c r="J91" s="6"/>
    </row>
    <row r="92" spans="1:11">
      <c r="A92" s="6"/>
      <c r="B92" s="6"/>
      <c r="C92" s="6"/>
      <c r="D92" s="6" t="s">
        <v>289</v>
      </c>
      <c r="E92" s="6"/>
      <c r="F92" s="6"/>
      <c r="G92" s="6"/>
      <c r="H92" s="6"/>
      <c r="I92" s="11">
        <f>'LBP NO. 2'!M757</f>
        <v>0</v>
      </c>
      <c r="J92" s="6"/>
    </row>
    <row r="93" spans="1:11">
      <c r="A93" s="6"/>
      <c r="B93" s="6"/>
      <c r="C93" s="6"/>
      <c r="D93" s="7" t="s">
        <v>15</v>
      </c>
      <c r="E93" s="6"/>
      <c r="F93" s="6"/>
      <c r="G93" s="6"/>
      <c r="H93" s="6"/>
      <c r="I93" s="35">
        <f>SUM(I90:I92)</f>
        <v>7727375.2000000002</v>
      </c>
      <c r="J93" s="6"/>
    </row>
    <row r="94" spans="1:11">
      <c r="A94" s="6"/>
      <c r="B94" s="6"/>
      <c r="C94" s="6"/>
      <c r="D94" s="6"/>
      <c r="E94" s="6"/>
      <c r="F94" s="6"/>
      <c r="G94" s="6"/>
      <c r="H94" s="6"/>
      <c r="I94" s="10"/>
      <c r="J94" s="6"/>
    </row>
    <row r="95" spans="1:11">
      <c r="A95" s="6"/>
      <c r="B95" s="6"/>
      <c r="C95" s="34" t="s">
        <v>302</v>
      </c>
      <c r="D95" s="6" t="s">
        <v>313</v>
      </c>
      <c r="E95" s="6"/>
      <c r="F95" s="6"/>
      <c r="G95" s="6"/>
      <c r="H95" s="6"/>
      <c r="I95" s="10"/>
      <c r="J95" s="6"/>
    </row>
    <row r="96" spans="1:11">
      <c r="A96" s="6"/>
      <c r="B96" s="6"/>
      <c r="C96" s="6"/>
      <c r="D96" s="6" t="s">
        <v>288</v>
      </c>
      <c r="E96" s="6"/>
      <c r="F96" s="6"/>
      <c r="G96" s="6"/>
      <c r="H96" s="6"/>
      <c r="I96" s="10">
        <f>'LBP NO. 2'!M809</f>
        <v>10597484</v>
      </c>
      <c r="J96" s="6"/>
    </row>
    <row r="97" spans="1:10">
      <c r="A97" s="6"/>
      <c r="B97" s="6"/>
      <c r="C97" s="6"/>
      <c r="D97" s="6" t="s">
        <v>271</v>
      </c>
      <c r="E97" s="6"/>
      <c r="F97" s="6"/>
      <c r="G97" s="6"/>
      <c r="H97" s="6"/>
      <c r="I97" s="10">
        <f>'LBP NO. 2'!M821</f>
        <v>6181557</v>
      </c>
      <c r="J97" s="6"/>
    </row>
    <row r="98" spans="1:10">
      <c r="A98" s="6"/>
      <c r="B98" s="6"/>
      <c r="C98" s="6"/>
      <c r="D98" s="6" t="s">
        <v>289</v>
      </c>
      <c r="E98" s="6"/>
      <c r="F98" s="6"/>
      <c r="G98" s="6"/>
      <c r="H98" s="6"/>
      <c r="I98" s="11">
        <f>'LBP NO. 2'!M826</f>
        <v>0</v>
      </c>
      <c r="J98" s="6"/>
    </row>
    <row r="99" spans="1:10">
      <c r="A99" s="6"/>
      <c r="B99" s="6"/>
      <c r="C99" s="6"/>
      <c r="D99" s="7" t="s">
        <v>15</v>
      </c>
      <c r="E99" s="6"/>
      <c r="F99" s="6"/>
      <c r="G99" s="6"/>
      <c r="H99" s="6"/>
      <c r="I99" s="35">
        <f>SUM(I96:I98)</f>
        <v>16779041</v>
      </c>
      <c r="J99" s="6"/>
    </row>
    <row r="100" spans="1:10">
      <c r="A100" s="6"/>
      <c r="B100" s="6"/>
      <c r="C100" s="6"/>
      <c r="D100" s="6"/>
      <c r="E100" s="6"/>
      <c r="F100" s="6"/>
      <c r="G100" s="6"/>
      <c r="H100" s="6"/>
      <c r="I100" s="10"/>
      <c r="J100" s="6"/>
    </row>
    <row r="101" spans="1:10">
      <c r="A101" s="6"/>
      <c r="B101" s="6"/>
      <c r="C101" s="34" t="s">
        <v>303</v>
      </c>
      <c r="D101" s="6" t="s">
        <v>314</v>
      </c>
      <c r="E101" s="6"/>
      <c r="F101" s="6"/>
      <c r="G101" s="6"/>
      <c r="H101" s="6"/>
      <c r="I101" s="10"/>
      <c r="J101" s="6"/>
    </row>
    <row r="102" spans="1:10">
      <c r="A102" s="6"/>
      <c r="B102" s="6"/>
      <c r="C102" s="6"/>
      <c r="D102" s="6" t="s">
        <v>288</v>
      </c>
      <c r="E102" s="6"/>
      <c r="F102" s="6"/>
      <c r="G102" s="6"/>
      <c r="H102" s="6"/>
      <c r="I102" s="10">
        <f>'LBP NO. 2'!M874</f>
        <v>4021567</v>
      </c>
      <c r="J102" s="6"/>
    </row>
    <row r="103" spans="1:10">
      <c r="A103" s="6"/>
      <c r="B103" s="6"/>
      <c r="C103" s="6"/>
      <c r="D103" s="6" t="s">
        <v>271</v>
      </c>
      <c r="E103" s="6"/>
      <c r="F103" s="6"/>
      <c r="G103" s="6"/>
      <c r="H103" s="6"/>
      <c r="I103" s="10">
        <f>'LBP NO. 2'!M883</f>
        <v>1747889</v>
      </c>
      <c r="J103" s="6"/>
    </row>
    <row r="104" spans="1:10">
      <c r="A104" s="6"/>
      <c r="B104" s="6"/>
      <c r="C104" s="6"/>
      <c r="D104" s="6" t="s">
        <v>289</v>
      </c>
      <c r="E104" s="6"/>
      <c r="F104" s="6"/>
      <c r="G104" s="6"/>
      <c r="H104" s="6"/>
      <c r="I104" s="11">
        <f>'LBP NO. 2'!M888</f>
        <v>0</v>
      </c>
      <c r="J104" s="6"/>
    </row>
    <row r="105" spans="1:10">
      <c r="A105" s="6"/>
      <c r="B105" s="6"/>
      <c r="C105" s="6"/>
      <c r="D105" s="7" t="s">
        <v>15</v>
      </c>
      <c r="E105" s="6"/>
      <c r="F105" s="6"/>
      <c r="G105" s="6"/>
      <c r="H105" s="6"/>
      <c r="I105" s="35">
        <f>SUM(I102:I104)</f>
        <v>5769456</v>
      </c>
      <c r="J105" s="6"/>
    </row>
    <row r="106" spans="1:10">
      <c r="A106" s="6"/>
      <c r="B106" s="6"/>
      <c r="C106" s="6"/>
      <c r="D106" s="6"/>
      <c r="E106" s="6"/>
      <c r="F106" s="6"/>
      <c r="G106" s="6"/>
      <c r="H106" s="6"/>
      <c r="I106" s="10"/>
      <c r="J106" s="6"/>
    </row>
    <row r="107" spans="1:10">
      <c r="A107" s="6"/>
      <c r="B107" s="6"/>
      <c r="C107" s="34" t="s">
        <v>304</v>
      </c>
      <c r="D107" s="6" t="s">
        <v>316</v>
      </c>
      <c r="E107" s="6"/>
      <c r="F107" s="6"/>
      <c r="G107" s="6"/>
      <c r="H107" s="6"/>
      <c r="I107" s="10"/>
      <c r="J107" s="6"/>
    </row>
    <row r="108" spans="1:10">
      <c r="A108" s="6"/>
      <c r="B108" s="6"/>
      <c r="C108" s="6"/>
      <c r="D108" s="6" t="s">
        <v>288</v>
      </c>
      <c r="E108" s="6"/>
      <c r="F108" s="6"/>
      <c r="G108" s="6"/>
      <c r="H108" s="6"/>
      <c r="I108" s="10">
        <f>'LBP NO. 2'!M936</f>
        <v>1090842</v>
      </c>
      <c r="J108" s="6"/>
    </row>
    <row r="109" spans="1:10">
      <c r="A109" s="6"/>
      <c r="B109" s="6"/>
      <c r="C109" s="6"/>
      <c r="D109" s="6" t="s">
        <v>271</v>
      </c>
      <c r="E109" s="6"/>
      <c r="F109" s="6"/>
      <c r="G109" s="6"/>
      <c r="H109" s="6"/>
      <c r="I109" s="10">
        <f>'LBP NO. 2'!M945</f>
        <v>339000</v>
      </c>
      <c r="J109" s="6"/>
    </row>
    <row r="110" spans="1:10">
      <c r="A110" s="6"/>
      <c r="B110" s="6"/>
      <c r="C110" s="6"/>
      <c r="D110" s="6" t="s">
        <v>289</v>
      </c>
      <c r="E110" s="6"/>
      <c r="F110" s="6"/>
      <c r="G110" s="6"/>
      <c r="H110" s="6"/>
      <c r="I110" s="11">
        <f>'LBP NO. 2'!M950</f>
        <v>0</v>
      </c>
      <c r="J110" s="6"/>
    </row>
    <row r="111" spans="1:10">
      <c r="A111" s="6"/>
      <c r="B111" s="6"/>
      <c r="C111" s="6"/>
      <c r="D111" s="7" t="s">
        <v>15</v>
      </c>
      <c r="E111" s="6"/>
      <c r="F111" s="6"/>
      <c r="G111" s="6"/>
      <c r="H111" s="6"/>
      <c r="I111" s="35">
        <f>SUM(I108:I110)</f>
        <v>1429842</v>
      </c>
      <c r="J111" s="6"/>
    </row>
    <row r="112" spans="1:10">
      <c r="A112" s="6"/>
      <c r="B112" s="6"/>
      <c r="C112" s="6"/>
      <c r="D112" s="6"/>
      <c r="E112" s="6"/>
      <c r="F112" s="6"/>
      <c r="G112" s="6"/>
      <c r="H112" s="6"/>
      <c r="I112" s="10"/>
      <c r="J112" s="6"/>
    </row>
    <row r="113" spans="1:11">
      <c r="A113" s="6"/>
      <c r="B113" s="6"/>
      <c r="C113" s="34" t="s">
        <v>315</v>
      </c>
      <c r="D113" s="6" t="s">
        <v>317</v>
      </c>
      <c r="E113" s="6"/>
      <c r="F113" s="6"/>
      <c r="G113" s="6"/>
      <c r="H113" s="6"/>
      <c r="I113" s="10"/>
      <c r="J113" s="6"/>
    </row>
    <row r="114" spans="1:11">
      <c r="A114" s="6"/>
      <c r="B114" s="6"/>
      <c r="C114" s="6"/>
      <c r="D114" s="6" t="s">
        <v>318</v>
      </c>
      <c r="E114" s="6"/>
      <c r="H114" s="6"/>
      <c r="I114" s="10">
        <f>'LBP NO. 2a'!K53</f>
        <v>9298050</v>
      </c>
      <c r="J114" s="6"/>
    </row>
    <row r="115" spans="1:11">
      <c r="A115" s="6"/>
      <c r="B115" s="6"/>
      <c r="C115" s="6"/>
      <c r="D115" s="6" t="s">
        <v>319</v>
      </c>
      <c r="E115" s="6"/>
      <c r="F115" s="6"/>
      <c r="G115" s="18"/>
      <c r="H115" s="18"/>
      <c r="I115" s="10">
        <f>'LBP NO. 2a'!K198-'LBP NO. 2a'!K103</f>
        <v>73905679.219999999</v>
      </c>
      <c r="J115" s="6"/>
    </row>
    <row r="116" spans="1:11">
      <c r="A116" s="6"/>
      <c r="B116" s="6"/>
      <c r="C116" s="6"/>
      <c r="D116" s="6" t="s">
        <v>320</v>
      </c>
      <c r="E116" s="6"/>
      <c r="F116" s="6"/>
      <c r="G116" s="18"/>
      <c r="H116" s="18"/>
      <c r="I116" s="11">
        <f>'LBP NO. 2a'!K103</f>
        <v>10156472.550000001</v>
      </c>
      <c r="J116" s="6"/>
    </row>
    <row r="117" spans="1:11">
      <c r="A117" s="6"/>
      <c r="B117" s="6"/>
      <c r="C117" s="6"/>
      <c r="D117" s="6"/>
      <c r="E117" s="6"/>
      <c r="F117" s="6"/>
      <c r="G117" s="18"/>
      <c r="H117" s="18"/>
      <c r="I117" s="35">
        <f>SUM(I114:I116)</f>
        <v>93360201.769999996</v>
      </c>
      <c r="J117" s="6"/>
    </row>
    <row r="118" spans="1:11">
      <c r="A118" s="6"/>
      <c r="B118" s="6"/>
      <c r="C118" s="6"/>
      <c r="D118" s="7" t="s">
        <v>15</v>
      </c>
      <c r="E118" s="6"/>
      <c r="F118" s="6"/>
      <c r="G118" s="18"/>
      <c r="H118" s="18"/>
      <c r="I118" s="35"/>
      <c r="J118" s="6"/>
    </row>
    <row r="119" spans="1:11">
      <c r="A119" s="6"/>
      <c r="B119" s="6"/>
      <c r="C119" s="6"/>
      <c r="D119" s="7"/>
      <c r="E119" s="6"/>
      <c r="F119" s="6"/>
      <c r="G119" s="18"/>
      <c r="H119" s="18"/>
      <c r="I119" s="35"/>
      <c r="J119" s="6"/>
    </row>
    <row r="120" spans="1:11">
      <c r="A120" s="6"/>
      <c r="B120" s="6"/>
      <c r="C120" s="6"/>
      <c r="D120" s="7" t="s">
        <v>321</v>
      </c>
      <c r="E120" s="6"/>
      <c r="F120" s="6"/>
      <c r="G120" s="18"/>
      <c r="H120" s="18"/>
      <c r="I120" s="35">
        <f>SUM(I117+I111+I105+I99+I93+I87+I81+I75+I66+I60+I53+I48+I42+I35+I30)</f>
        <v>203126352.77000001</v>
      </c>
      <c r="J120" s="6"/>
    </row>
    <row r="121" spans="1:11" ht="13.5" thickBot="1">
      <c r="A121" s="6"/>
      <c r="B121" s="6"/>
      <c r="C121" s="6"/>
      <c r="D121" s="7" t="s">
        <v>322</v>
      </c>
      <c r="E121" s="6"/>
      <c r="F121" s="6"/>
      <c r="G121" s="18"/>
      <c r="H121" s="18"/>
      <c r="I121" s="31">
        <f>I15-I120</f>
        <v>3098.2299999892712</v>
      </c>
      <c r="J121" s="6"/>
    </row>
    <row r="122" spans="1:11" ht="13.5" thickTop="1">
      <c r="A122" s="6"/>
      <c r="B122" s="6"/>
      <c r="C122" s="6"/>
      <c r="D122" s="6"/>
      <c r="E122" s="19"/>
      <c r="H122" s="18"/>
      <c r="I122" s="17"/>
      <c r="J122" s="6"/>
      <c r="K122" s="29"/>
    </row>
    <row r="123" spans="1:11">
      <c r="A123" s="6"/>
      <c r="B123" s="6"/>
      <c r="C123" s="6"/>
      <c r="D123" s="6"/>
      <c r="E123" s="19"/>
      <c r="H123" s="18"/>
      <c r="I123" s="17"/>
      <c r="J123" s="6"/>
    </row>
    <row r="124" spans="1:11">
      <c r="A124" s="6"/>
      <c r="B124" s="6"/>
      <c r="C124" s="6"/>
      <c r="D124" s="6"/>
      <c r="E124" s="19"/>
      <c r="H124" s="18"/>
      <c r="I124" s="17"/>
      <c r="J124" s="6"/>
    </row>
    <row r="125" spans="1:11">
      <c r="A125" s="6"/>
      <c r="B125" s="6"/>
      <c r="C125" s="6"/>
      <c r="D125" s="6"/>
      <c r="E125" s="19"/>
      <c r="H125" s="18"/>
      <c r="I125" s="17"/>
      <c r="J125" s="6"/>
    </row>
    <row r="126" spans="1:11">
      <c r="A126" s="6"/>
      <c r="B126" s="6"/>
      <c r="C126" s="6"/>
      <c r="D126" s="6"/>
      <c r="E126" s="19"/>
      <c r="H126" s="18"/>
      <c r="I126" s="17"/>
      <c r="J126" s="6"/>
    </row>
    <row r="127" spans="1:11">
      <c r="A127" s="6"/>
      <c r="B127" s="6"/>
      <c r="C127" s="6"/>
      <c r="D127" s="6"/>
      <c r="E127" s="19"/>
      <c r="H127" s="18"/>
      <c r="I127" s="17"/>
      <c r="J127" s="6"/>
    </row>
    <row r="128" spans="1:11">
      <c r="A128" s="6"/>
      <c r="B128" s="6"/>
      <c r="C128" s="6"/>
      <c r="D128" s="6"/>
      <c r="E128" s="19"/>
      <c r="H128" s="18"/>
      <c r="I128" s="17"/>
      <c r="J128" s="6"/>
    </row>
    <row r="129" spans="1:10">
      <c r="A129" s="6"/>
      <c r="B129" s="6"/>
      <c r="C129" s="6"/>
      <c r="D129" s="6"/>
      <c r="E129" s="19"/>
      <c r="H129" s="18"/>
      <c r="I129" s="17"/>
      <c r="J129" s="6"/>
    </row>
    <row r="130" spans="1:10">
      <c r="A130" s="6"/>
      <c r="B130" s="6"/>
      <c r="C130" s="6"/>
      <c r="D130" s="6"/>
      <c r="E130" s="19"/>
      <c r="H130" s="18"/>
      <c r="I130" s="17"/>
      <c r="J130" s="6"/>
    </row>
    <row r="131" spans="1:10">
      <c r="A131" s="6"/>
      <c r="B131" s="6"/>
      <c r="C131" s="6"/>
      <c r="D131" s="6"/>
      <c r="E131" s="19"/>
      <c r="H131" s="18"/>
      <c r="I131" s="17"/>
      <c r="J131" s="6"/>
    </row>
    <row r="132" spans="1:10">
      <c r="A132" s="6"/>
      <c r="B132" s="6"/>
      <c r="C132" s="6"/>
      <c r="D132" s="6"/>
      <c r="E132" s="19"/>
      <c r="H132" s="18"/>
      <c r="I132" s="17"/>
      <c r="J132" s="6"/>
    </row>
    <row r="133" spans="1:10">
      <c r="A133" s="6"/>
      <c r="B133" s="6"/>
      <c r="C133" s="6"/>
      <c r="D133" s="6"/>
      <c r="E133" s="19"/>
      <c r="H133" s="18"/>
      <c r="I133" s="17"/>
      <c r="J133" s="6"/>
    </row>
    <row r="134" spans="1:10">
      <c r="A134" s="6"/>
      <c r="B134" s="6"/>
      <c r="C134" s="6"/>
      <c r="D134" s="6"/>
      <c r="E134" s="19"/>
      <c r="H134" s="18"/>
      <c r="I134" s="17"/>
      <c r="J134" s="6"/>
    </row>
    <row r="135" spans="1:10">
      <c r="A135" s="6"/>
      <c r="B135" s="6"/>
      <c r="C135" s="6"/>
      <c r="D135" s="6"/>
      <c r="E135" s="19"/>
      <c r="H135" s="18"/>
      <c r="I135" s="17"/>
      <c r="J135" s="6"/>
    </row>
    <row r="136" spans="1:10">
      <c r="A136" s="6"/>
      <c r="B136" s="6"/>
      <c r="C136" s="6"/>
      <c r="D136" s="6"/>
      <c r="E136" s="19"/>
      <c r="H136" s="18"/>
      <c r="I136" s="17"/>
      <c r="J136" s="6"/>
    </row>
    <row r="137" spans="1:10">
      <c r="A137" s="6"/>
      <c r="B137" s="6"/>
      <c r="C137" s="6"/>
      <c r="D137" s="6"/>
      <c r="E137" s="19"/>
      <c r="H137" s="18"/>
      <c r="I137" s="17"/>
      <c r="J137" s="6"/>
    </row>
    <row r="138" spans="1:10">
      <c r="A138" s="6"/>
      <c r="B138" s="6"/>
      <c r="C138" s="6"/>
      <c r="D138" s="6"/>
      <c r="E138" s="19"/>
      <c r="H138" s="18"/>
      <c r="I138" s="17"/>
      <c r="J138" s="6"/>
    </row>
    <row r="139" spans="1:10">
      <c r="A139" s="6"/>
      <c r="B139" s="6"/>
      <c r="C139" s="6"/>
      <c r="D139" s="6"/>
      <c r="E139" s="19"/>
      <c r="H139" s="18"/>
      <c r="I139" s="17"/>
      <c r="J139" s="6"/>
    </row>
    <row r="140" spans="1:10">
      <c r="A140" s="6"/>
      <c r="B140" s="6"/>
      <c r="C140" s="6"/>
      <c r="D140" s="6"/>
      <c r="E140" s="19"/>
      <c r="H140" s="18"/>
      <c r="I140" s="17"/>
      <c r="J140" s="6"/>
    </row>
    <row r="141" spans="1:10">
      <c r="A141" s="6"/>
      <c r="B141" s="6"/>
      <c r="C141" s="6"/>
      <c r="D141" s="6"/>
      <c r="E141" s="19"/>
      <c r="H141" s="18"/>
      <c r="I141" s="17"/>
      <c r="J141" s="6"/>
    </row>
    <row r="142" spans="1:10">
      <c r="A142" s="6"/>
      <c r="B142" s="2" t="s">
        <v>323</v>
      </c>
      <c r="C142" s="9" t="s">
        <v>324</v>
      </c>
      <c r="D142" s="9"/>
      <c r="E142" s="19"/>
      <c r="H142" s="18"/>
      <c r="I142" s="17"/>
      <c r="J142" s="6"/>
    </row>
    <row r="143" spans="1:10">
      <c r="A143" s="6"/>
      <c r="B143" s="6"/>
      <c r="C143" s="6"/>
      <c r="D143" s="6" t="s">
        <v>288</v>
      </c>
      <c r="E143" s="19"/>
      <c r="H143" s="18"/>
      <c r="I143" s="17">
        <f>'LBP NO. 2'!M1006</f>
        <v>7607467</v>
      </c>
      <c r="J143" s="6"/>
    </row>
    <row r="144" spans="1:10">
      <c r="A144" s="6"/>
      <c r="B144" s="6"/>
      <c r="C144" s="6"/>
      <c r="D144" s="6" t="s">
        <v>271</v>
      </c>
      <c r="E144" s="19"/>
      <c r="H144" s="18"/>
      <c r="I144" s="17">
        <f>'LBP NO. 2'!M1019</f>
        <v>1138000</v>
      </c>
      <c r="J144" s="6"/>
    </row>
    <row r="145" spans="1:10">
      <c r="A145" s="6"/>
      <c r="B145" s="6"/>
      <c r="C145" s="6"/>
      <c r="D145" s="6" t="s">
        <v>289</v>
      </c>
      <c r="E145" s="19"/>
      <c r="H145" s="18"/>
      <c r="I145" s="17">
        <f>'LBP NO. 2'!M1026</f>
        <v>100000</v>
      </c>
      <c r="J145" s="6"/>
    </row>
    <row r="146" spans="1:10">
      <c r="A146" s="6"/>
      <c r="B146" s="6"/>
      <c r="C146" s="6"/>
      <c r="D146" s="6" t="s">
        <v>320</v>
      </c>
      <c r="E146" s="19"/>
      <c r="H146" s="18"/>
      <c r="I146" s="36">
        <v>0</v>
      </c>
      <c r="J146" s="6"/>
    </row>
    <row r="147" spans="1:10">
      <c r="A147" s="6"/>
      <c r="B147" s="6"/>
      <c r="C147" s="6"/>
      <c r="D147" s="7" t="s">
        <v>325</v>
      </c>
      <c r="E147" s="19"/>
      <c r="H147" s="18"/>
      <c r="I147" s="17">
        <f>SUM(I143:I146)</f>
        <v>8845467</v>
      </c>
      <c r="J147" s="6"/>
    </row>
    <row r="148" spans="1:10" ht="13.5" thickBot="1">
      <c r="A148" s="6"/>
      <c r="B148" s="6"/>
      <c r="C148" s="6"/>
      <c r="D148" s="7" t="s">
        <v>322</v>
      </c>
      <c r="E148" s="19"/>
      <c r="H148" s="18"/>
      <c r="I148" s="37">
        <f>I21-I147</f>
        <v>9533</v>
      </c>
      <c r="J148" s="6"/>
    </row>
    <row r="149" spans="1:10" ht="13.5" thickTop="1">
      <c r="A149" s="6"/>
      <c r="B149" s="6"/>
      <c r="C149" s="6"/>
      <c r="D149" s="6"/>
      <c r="E149" s="19"/>
      <c r="H149" s="18"/>
      <c r="I149" s="17"/>
      <c r="J149" s="6"/>
    </row>
    <row r="150" spans="1:10">
      <c r="A150" s="6"/>
      <c r="B150" s="6"/>
      <c r="C150" s="6"/>
      <c r="D150" s="6"/>
      <c r="E150" s="6"/>
      <c r="F150" s="6"/>
      <c r="G150" s="19"/>
      <c r="H150" s="18"/>
      <c r="I150" s="17"/>
      <c r="J150" s="6"/>
    </row>
    <row r="151" spans="1:10">
      <c r="A151" s="15" t="s">
        <v>326</v>
      </c>
      <c r="B151" s="22"/>
      <c r="C151" s="22"/>
      <c r="D151" s="22"/>
      <c r="E151" s="22"/>
      <c r="F151" s="22"/>
      <c r="G151" s="22"/>
      <c r="H151" s="22"/>
      <c r="I151" s="22"/>
      <c r="J151" s="22"/>
    </row>
    <row r="153" spans="1:10">
      <c r="D153" s="6" t="s">
        <v>283</v>
      </c>
    </row>
    <row r="154" spans="1:10">
      <c r="D154" s="6" t="s">
        <v>327</v>
      </c>
      <c r="I154" s="29">
        <f>I15</f>
        <v>203129451</v>
      </c>
    </row>
    <row r="155" spans="1:10">
      <c r="D155" s="6" t="s">
        <v>328</v>
      </c>
      <c r="I155" s="38">
        <f>I21</f>
        <v>8855000</v>
      </c>
    </row>
    <row r="156" spans="1:10" ht="13.5" thickBot="1">
      <c r="D156" s="7" t="s">
        <v>329</v>
      </c>
      <c r="I156" s="39">
        <f>SUM(I154:I155)</f>
        <v>211984451</v>
      </c>
    </row>
    <row r="157" spans="1:10" ht="13.5" thickTop="1"/>
    <row r="159" spans="1:10">
      <c r="D159" s="6" t="s">
        <v>330</v>
      </c>
    </row>
    <row r="160" spans="1:10">
      <c r="D160" s="6" t="s">
        <v>327</v>
      </c>
      <c r="I160" s="29">
        <f>I120</f>
        <v>203126352.77000001</v>
      </c>
    </row>
    <row r="161" spans="1:9">
      <c r="D161" s="6" t="s">
        <v>328</v>
      </c>
      <c r="I161" s="38">
        <f>I147</f>
        <v>8845467</v>
      </c>
    </row>
    <row r="162" spans="1:9" ht="13.5" thickBot="1">
      <c r="D162" s="7" t="s">
        <v>331</v>
      </c>
      <c r="I162" s="39">
        <f>SUM(I160:I161)</f>
        <v>211971819.77000001</v>
      </c>
    </row>
    <row r="163" spans="1:9" ht="13.5" thickTop="1"/>
    <row r="165" spans="1:9">
      <c r="D165" s="6" t="s">
        <v>332</v>
      </c>
      <c r="I165" s="29"/>
    </row>
    <row r="166" spans="1:9">
      <c r="D166" s="6" t="s">
        <v>327</v>
      </c>
      <c r="I166" s="48">
        <f>I121</f>
        <v>3098.2299999892712</v>
      </c>
    </row>
    <row r="167" spans="1:9">
      <c r="D167" s="6" t="s">
        <v>328</v>
      </c>
      <c r="I167" s="49">
        <f>I148</f>
        <v>9533</v>
      </c>
    </row>
    <row r="168" spans="1:9">
      <c r="E168" s="7" t="s">
        <v>15</v>
      </c>
      <c r="I168" s="24">
        <f>I166+I167</f>
        <v>12631.229999989271</v>
      </c>
    </row>
    <row r="170" spans="1:9" ht="13.5" thickBot="1">
      <c r="E170" s="7" t="s">
        <v>41</v>
      </c>
      <c r="I170" s="25">
        <f>I168+I162</f>
        <v>211984451</v>
      </c>
    </row>
    <row r="171" spans="1:9" ht="13.5" thickTop="1"/>
    <row r="173" spans="1:9">
      <c r="A173" s="15" t="s">
        <v>333</v>
      </c>
    </row>
    <row r="175" spans="1:9">
      <c r="A175" s="40" t="s">
        <v>334</v>
      </c>
      <c r="B175" s="6" t="s">
        <v>342</v>
      </c>
      <c r="H175" s="6" t="s">
        <v>849</v>
      </c>
    </row>
    <row r="176" spans="1:9">
      <c r="A176" s="40"/>
      <c r="B176" s="6"/>
      <c r="H176" s="6" t="s">
        <v>850</v>
      </c>
    </row>
    <row r="177" spans="1:8">
      <c r="A177" s="40"/>
      <c r="B177" s="6"/>
      <c r="H177" s="6"/>
    </row>
    <row r="178" spans="1:8">
      <c r="A178" s="40" t="s">
        <v>335</v>
      </c>
      <c r="B178" s="6" t="s">
        <v>343</v>
      </c>
      <c r="H178" s="6" t="s">
        <v>851</v>
      </c>
    </row>
    <row r="179" spans="1:8">
      <c r="H179" s="6" t="s">
        <v>852</v>
      </c>
    </row>
    <row r="180" spans="1:8">
      <c r="H180" s="6"/>
    </row>
    <row r="181" spans="1:8">
      <c r="A181" s="40" t="s">
        <v>336</v>
      </c>
      <c r="B181" s="6" t="s">
        <v>848</v>
      </c>
      <c r="H181" s="6" t="s">
        <v>851</v>
      </c>
    </row>
    <row r="182" spans="1:8">
      <c r="H182" s="6" t="s">
        <v>858</v>
      </c>
    </row>
    <row r="183" spans="1:8">
      <c r="H183" s="6"/>
    </row>
    <row r="184" spans="1:8">
      <c r="A184" s="40" t="s">
        <v>337</v>
      </c>
      <c r="B184" s="6" t="s">
        <v>344</v>
      </c>
      <c r="H184" s="6" t="s">
        <v>349</v>
      </c>
    </row>
    <row r="185" spans="1:8">
      <c r="A185" s="40"/>
      <c r="B185" s="6"/>
      <c r="H185" s="6"/>
    </row>
    <row r="186" spans="1:8">
      <c r="A186" s="105" t="s">
        <v>338</v>
      </c>
      <c r="B186" s="104" t="s">
        <v>896</v>
      </c>
      <c r="H186" s="104" t="s">
        <v>897</v>
      </c>
    </row>
    <row r="187" spans="1:8">
      <c r="A187" s="40"/>
      <c r="B187" s="6"/>
      <c r="H187" s="6"/>
    </row>
    <row r="188" spans="1:8">
      <c r="A188" s="105" t="s">
        <v>339</v>
      </c>
      <c r="B188" s="6" t="s">
        <v>345</v>
      </c>
      <c r="H188" s="6" t="s">
        <v>853</v>
      </c>
    </row>
    <row r="189" spans="1:8">
      <c r="A189" s="40"/>
      <c r="B189" s="6"/>
      <c r="H189" s="6" t="s">
        <v>854</v>
      </c>
    </row>
    <row r="191" spans="1:8">
      <c r="A191" s="105" t="s">
        <v>340</v>
      </c>
      <c r="B191" s="6" t="s">
        <v>346</v>
      </c>
      <c r="H191" s="6" t="s">
        <v>855</v>
      </c>
    </row>
    <row r="192" spans="1:8">
      <c r="A192" s="40"/>
      <c r="B192" s="6"/>
      <c r="H192" s="6"/>
    </row>
    <row r="193" spans="1:9">
      <c r="A193" s="105" t="s">
        <v>341</v>
      </c>
      <c r="B193" s="6" t="s">
        <v>347</v>
      </c>
      <c r="H193" s="6" t="s">
        <v>856</v>
      </c>
    </row>
    <row r="194" spans="1:9">
      <c r="H194" s="6" t="s">
        <v>350</v>
      </c>
    </row>
    <row r="195" spans="1:9">
      <c r="H195" s="6"/>
    </row>
    <row r="196" spans="1:9">
      <c r="A196" s="105" t="s">
        <v>898</v>
      </c>
      <c r="B196" s="6" t="s">
        <v>348</v>
      </c>
      <c r="H196" s="6" t="s">
        <v>857</v>
      </c>
    </row>
    <row r="197" spans="1:9">
      <c r="A197" s="40"/>
      <c r="B197" s="6"/>
      <c r="H197" s="6"/>
    </row>
    <row r="201" spans="1:9">
      <c r="A201" s="1723" t="s">
        <v>1730</v>
      </c>
      <c r="B201" s="1723"/>
      <c r="C201" s="1723"/>
      <c r="D201" s="1723"/>
      <c r="E201" s="1723"/>
      <c r="F201" s="1723"/>
      <c r="G201" s="1723"/>
      <c r="H201" s="1723"/>
      <c r="I201" s="1723"/>
    </row>
    <row r="202" spans="1:9">
      <c r="A202" s="1723" t="s">
        <v>351</v>
      </c>
      <c r="B202" s="1723"/>
      <c r="C202" s="1723"/>
      <c r="D202" s="1723"/>
      <c r="E202" s="1723"/>
      <c r="F202" s="1723"/>
      <c r="G202" s="1723"/>
      <c r="H202" s="1723"/>
      <c r="I202" s="1723"/>
    </row>
    <row r="203" spans="1:9">
      <c r="A203" s="1723" t="s">
        <v>174</v>
      </c>
      <c r="B203" s="1723"/>
      <c r="C203" s="1723"/>
      <c r="D203" s="1723"/>
      <c r="E203" s="1723"/>
      <c r="F203" s="1723"/>
      <c r="G203" s="1723"/>
      <c r="H203" s="1723"/>
      <c r="I203" s="1723"/>
    </row>
    <row r="204" spans="1:9">
      <c r="A204" s="1723" t="s">
        <v>0</v>
      </c>
      <c r="B204" s="1723"/>
      <c r="C204" s="1723"/>
      <c r="D204" s="1723"/>
      <c r="E204" s="1723"/>
      <c r="F204" s="1723"/>
      <c r="G204" s="1723"/>
      <c r="H204" s="1723"/>
      <c r="I204" s="1723"/>
    </row>
    <row r="206" spans="1:9">
      <c r="I206" s="41"/>
    </row>
    <row r="207" spans="1:9">
      <c r="I207" s="41"/>
    </row>
    <row r="208" spans="1:9">
      <c r="A208" s="6" t="s">
        <v>352</v>
      </c>
      <c r="I208" s="41">
        <f>I15</f>
        <v>203129451</v>
      </c>
    </row>
    <row r="209" spans="1:13">
      <c r="I209" s="41"/>
    </row>
    <row r="210" spans="1:13">
      <c r="A210" s="6" t="s">
        <v>353</v>
      </c>
      <c r="I210" s="42">
        <f>I120</f>
        <v>203126352.77000001</v>
      </c>
    </row>
    <row r="211" spans="1:13">
      <c r="I211" s="41"/>
    </row>
    <row r="212" spans="1:13" ht="13.5" thickBot="1">
      <c r="B212" s="6" t="s">
        <v>20</v>
      </c>
      <c r="I212" s="43">
        <f>I208-I210</f>
        <v>3098.2299999892712</v>
      </c>
    </row>
    <row r="213" spans="1:13" ht="13.5" thickTop="1">
      <c r="I213" s="41"/>
    </row>
    <row r="214" spans="1:13">
      <c r="I214" s="41"/>
    </row>
    <row r="215" spans="1:13">
      <c r="I215" s="41"/>
    </row>
    <row r="216" spans="1:13">
      <c r="A216" s="104" t="s">
        <v>1731</v>
      </c>
      <c r="I216" s="41">
        <f>'LBP NO. 1'!J75</f>
        <v>176322132.03999999</v>
      </c>
    </row>
    <row r="217" spans="1:13">
      <c r="I217" s="44" t="s">
        <v>354</v>
      </c>
    </row>
    <row r="218" spans="1:13">
      <c r="A218" s="104" t="s">
        <v>1732</v>
      </c>
      <c r="I218" s="41">
        <f>I216*0.45</f>
        <v>79344959.417999998</v>
      </c>
    </row>
    <row r="219" spans="1:13">
      <c r="A219" s="104" t="s">
        <v>1733</v>
      </c>
      <c r="I219" s="42">
        <f>I230</f>
        <v>75615579.799999997</v>
      </c>
      <c r="K219" s="21"/>
      <c r="M219" s="6" t="s">
        <v>419</v>
      </c>
    </row>
    <row r="220" spans="1:13" ht="13.5" thickBot="1">
      <c r="B220" s="7" t="s">
        <v>355</v>
      </c>
      <c r="I220" s="46">
        <f>I218-I219</f>
        <v>3729379.6180000007</v>
      </c>
    </row>
    <row r="221" spans="1:13" ht="13.5" thickTop="1">
      <c r="I221" s="41"/>
    </row>
    <row r="222" spans="1:13">
      <c r="I222" s="41"/>
    </row>
    <row r="223" spans="1:13">
      <c r="I223" s="41"/>
    </row>
    <row r="224" spans="1:13">
      <c r="A224" s="7" t="s">
        <v>356</v>
      </c>
      <c r="I224" s="41"/>
    </row>
    <row r="225" spans="1:10">
      <c r="I225" s="41"/>
    </row>
    <row r="226" spans="1:10">
      <c r="A226" s="6" t="s">
        <v>357</v>
      </c>
      <c r="I226" s="41">
        <f>'PROPOSED BUDGET'!H46</f>
        <v>76909579.799999997</v>
      </c>
    </row>
    <row r="227" spans="1:10">
      <c r="A227" s="6" t="s">
        <v>414</v>
      </c>
      <c r="C227" s="6" t="s">
        <v>365</v>
      </c>
      <c r="F227" s="6"/>
      <c r="H227" s="29"/>
      <c r="I227" s="50">
        <f>'LBP NO. 1'!N117</f>
        <v>1294000</v>
      </c>
    </row>
    <row r="228" spans="1:10">
      <c r="A228" s="6"/>
      <c r="C228" s="104" t="s">
        <v>538</v>
      </c>
      <c r="F228" s="6"/>
      <c r="H228" s="29"/>
      <c r="I228" s="50">
        <f>'LBP NO. 1'!N119</f>
        <v>0</v>
      </c>
    </row>
    <row r="229" spans="1:10">
      <c r="C229" s="52"/>
      <c r="D229" s="52"/>
      <c r="E229" s="52"/>
      <c r="F229" s="52"/>
      <c r="G229" s="52"/>
      <c r="H229" s="52"/>
    </row>
    <row r="230" spans="1:10" ht="13.5" thickBot="1">
      <c r="A230" s="6" t="s">
        <v>358</v>
      </c>
      <c r="C230" s="52"/>
      <c r="D230" s="52"/>
      <c r="E230" s="52"/>
      <c r="F230" s="52"/>
      <c r="G230" s="52"/>
      <c r="H230" s="52"/>
      <c r="I230" s="45">
        <f>I226-I227-I228</f>
        <v>75615579.799999997</v>
      </c>
    </row>
    <row r="231" spans="1:10" ht="13.5" thickTop="1">
      <c r="C231" s="52"/>
      <c r="D231" s="52"/>
      <c r="E231" s="52"/>
      <c r="F231" s="52"/>
      <c r="G231" s="52"/>
      <c r="H231" s="52"/>
      <c r="I231" s="41"/>
    </row>
    <row r="232" spans="1:10">
      <c r="C232" s="52"/>
      <c r="D232" s="52"/>
      <c r="E232" s="52"/>
      <c r="F232" s="52"/>
      <c r="G232" s="52"/>
      <c r="H232" s="52"/>
      <c r="I232" s="41"/>
    </row>
    <row r="233" spans="1:10">
      <c r="A233" s="1723" t="s">
        <v>1730</v>
      </c>
      <c r="B233" s="1723"/>
      <c r="C233" s="1723"/>
      <c r="D233" s="1723"/>
      <c r="E233" s="1723"/>
      <c r="F233" s="1723"/>
      <c r="G233" s="1723"/>
      <c r="H233" s="1723"/>
      <c r="I233" s="1723"/>
      <c r="J233" s="1723"/>
    </row>
    <row r="234" spans="1:10">
      <c r="A234" s="1723" t="s">
        <v>351</v>
      </c>
      <c r="B234" s="1723"/>
      <c r="C234" s="1723"/>
      <c r="D234" s="1723"/>
      <c r="E234" s="1723"/>
      <c r="F234" s="1723"/>
      <c r="G234" s="1723"/>
      <c r="H234" s="1723"/>
      <c r="I234" s="1723"/>
      <c r="J234" s="1723"/>
    </row>
    <row r="235" spans="1:10">
      <c r="A235" s="1723" t="s">
        <v>174</v>
      </c>
      <c r="B235" s="1723"/>
      <c r="C235" s="1723"/>
      <c r="D235" s="1723"/>
      <c r="E235" s="1723"/>
      <c r="F235" s="1723"/>
      <c r="G235" s="1723"/>
      <c r="H235" s="1723"/>
      <c r="I235" s="1723"/>
      <c r="J235" s="1723"/>
    </row>
    <row r="236" spans="1:10">
      <c r="A236" s="1723" t="s">
        <v>10</v>
      </c>
      <c r="B236" s="1723"/>
      <c r="C236" s="1723"/>
      <c r="D236" s="1723"/>
      <c r="E236" s="1723"/>
      <c r="F236" s="1723"/>
      <c r="G236" s="1723"/>
      <c r="H236" s="1723"/>
      <c r="I236" s="1723"/>
      <c r="J236" s="1723"/>
    </row>
    <row r="237" spans="1:10">
      <c r="I237" s="41"/>
    </row>
    <row r="239" spans="1:10">
      <c r="A239" s="7" t="s">
        <v>359</v>
      </c>
    </row>
    <row r="241" spans="2:9">
      <c r="B241" s="104" t="s">
        <v>516</v>
      </c>
      <c r="I241" s="53">
        <f>'LBP NO. 2'!M983</f>
        <v>4087998</v>
      </c>
    </row>
    <row r="242" spans="2:9" hidden="1">
      <c r="B242" s="6" t="s">
        <v>420</v>
      </c>
      <c r="I242" s="53">
        <f>'LBP NO. 2'!M984</f>
        <v>0</v>
      </c>
    </row>
    <row r="243" spans="2:9">
      <c r="B243" s="6" t="s">
        <v>518</v>
      </c>
      <c r="I243" s="53">
        <f>'LBP NO. 2'!M986</f>
        <v>576000</v>
      </c>
    </row>
    <row r="244" spans="2:9">
      <c r="B244" s="6" t="s">
        <v>529</v>
      </c>
      <c r="I244" s="53">
        <f>'LBP NO. 2'!M987</f>
        <v>144000</v>
      </c>
    </row>
    <row r="245" spans="2:9">
      <c r="B245" s="104" t="s">
        <v>912</v>
      </c>
      <c r="I245" s="53">
        <f>'LBP NO. 2'!M988</f>
        <v>19800</v>
      </c>
    </row>
    <row r="246" spans="2:9">
      <c r="B246" s="104" t="s">
        <v>780</v>
      </c>
      <c r="I246" s="53">
        <f>'LBP NO. 2'!M989</f>
        <v>120000</v>
      </c>
    </row>
    <row r="247" spans="2:9">
      <c r="B247" s="6" t="s">
        <v>531</v>
      </c>
      <c r="I247" s="53">
        <f>'LBP NO. 2'!M990</f>
        <v>5000</v>
      </c>
    </row>
    <row r="248" spans="2:9">
      <c r="B248" s="6" t="s">
        <v>532</v>
      </c>
      <c r="I248" s="53">
        <f>'LBP NO. 2'!M993</f>
        <v>21336</v>
      </c>
    </row>
    <row r="249" spans="2:9">
      <c r="B249" s="6" t="s">
        <v>360</v>
      </c>
      <c r="I249" s="53">
        <f>'LBP NO. 2'!M994</f>
        <v>100000</v>
      </c>
    </row>
    <row r="250" spans="2:9">
      <c r="B250" s="6" t="s">
        <v>361</v>
      </c>
      <c r="I250" s="53">
        <f>'LBP NO. 2'!M995</f>
        <v>120000</v>
      </c>
    </row>
    <row r="251" spans="2:9">
      <c r="B251" s="6" t="s">
        <v>790</v>
      </c>
      <c r="I251" s="53">
        <f>'LBP NO. 2'!M996</f>
        <v>340620</v>
      </c>
    </row>
    <row r="252" spans="2:9">
      <c r="B252" s="6" t="s">
        <v>534</v>
      </c>
      <c r="I252" s="53">
        <f>'LBP NO. 2'!M997</f>
        <v>340713</v>
      </c>
    </row>
    <row r="253" spans="2:9">
      <c r="B253" s="6" t="s">
        <v>646</v>
      </c>
      <c r="I253" s="53">
        <f>'LBP NO. 2'!M998</f>
        <v>491000</v>
      </c>
    </row>
    <row r="254" spans="2:9">
      <c r="B254" s="6" t="s">
        <v>362</v>
      </c>
      <c r="I254" s="53">
        <f>'LBP NO. 2'!M999</f>
        <v>43200</v>
      </c>
    </row>
    <row r="255" spans="2:9">
      <c r="B255" s="6" t="s">
        <v>363</v>
      </c>
      <c r="I255" s="53">
        <f>'LBP NO. 2'!M1000</f>
        <v>92000</v>
      </c>
    </row>
    <row r="256" spans="2:9">
      <c r="B256" s="6" t="s">
        <v>642</v>
      </c>
      <c r="I256" s="53">
        <f>'LBP NO. 2'!M1001</f>
        <v>28800</v>
      </c>
    </row>
    <row r="257" spans="1:10">
      <c r="B257" s="6" t="s">
        <v>365</v>
      </c>
      <c r="I257" s="501">
        <f>'LBP NO. 2'!M1002</f>
        <v>77000</v>
      </c>
    </row>
    <row r="258" spans="1:10">
      <c r="B258" s="104" t="s">
        <v>538</v>
      </c>
      <c r="I258" s="54">
        <f>'LBP NO. 2'!M1003</f>
        <v>400000</v>
      </c>
    </row>
    <row r="259" spans="1:10">
      <c r="A259" s="7" t="s">
        <v>364</v>
      </c>
      <c r="I259" s="41">
        <f>SUM(I241:I258)</f>
        <v>7007467</v>
      </c>
    </row>
    <row r="260" spans="1:10">
      <c r="I260" s="41"/>
    </row>
    <row r="261" spans="1:10">
      <c r="A261" s="7" t="s">
        <v>366</v>
      </c>
      <c r="I261" s="41"/>
    </row>
    <row r="262" spans="1:10">
      <c r="I262" s="41"/>
    </row>
    <row r="263" spans="1:10">
      <c r="B263" s="6" t="s">
        <v>367</v>
      </c>
      <c r="I263" s="41">
        <f>'LBP NO. 2'!M1008</f>
        <v>50000</v>
      </c>
    </row>
    <row r="264" spans="1:10">
      <c r="B264" s="6" t="s">
        <v>421</v>
      </c>
      <c r="I264" s="41">
        <f>'LBP NO. 2'!M1009</f>
        <v>40000</v>
      </c>
    </row>
    <row r="265" spans="1:10">
      <c r="B265" s="6" t="s">
        <v>371</v>
      </c>
      <c r="I265" s="41">
        <f>'LBP NO. 2'!M1010</f>
        <v>450000</v>
      </c>
      <c r="J265" s="28"/>
    </row>
    <row r="266" spans="1:10" hidden="1">
      <c r="B266" s="6" t="s">
        <v>370</v>
      </c>
      <c r="C266" s="6"/>
      <c r="I266" s="41">
        <f>'LBP NO. 2'!M1011</f>
        <v>0</v>
      </c>
    </row>
    <row r="267" spans="1:10">
      <c r="B267" s="6" t="s">
        <v>546</v>
      </c>
      <c r="C267" s="6"/>
      <c r="I267" s="41">
        <f>'LBP NO. 2'!M1012</f>
        <v>12000</v>
      </c>
    </row>
    <row r="268" spans="1:10" hidden="1">
      <c r="B268" s="6" t="s">
        <v>369</v>
      </c>
      <c r="C268" s="6"/>
      <c r="I268" s="41">
        <f>'LBP NO. 2'!M1013</f>
        <v>0</v>
      </c>
    </row>
    <row r="269" spans="1:10">
      <c r="B269" s="104" t="s">
        <v>928</v>
      </c>
      <c r="C269" s="6"/>
      <c r="I269" s="41">
        <f>'LBP NO. 2'!M1014</f>
        <v>276000</v>
      </c>
    </row>
    <row r="270" spans="1:10">
      <c r="B270" s="6" t="s">
        <v>907</v>
      </c>
      <c r="C270" s="6"/>
      <c r="I270" s="41">
        <f>'LBP NO. 2'!M1015</f>
        <v>40000</v>
      </c>
    </row>
    <row r="271" spans="1:10">
      <c r="B271" s="6" t="s">
        <v>368</v>
      </c>
      <c r="C271" s="6"/>
      <c r="I271" s="42">
        <f>'LBP NO. 2'!M1016</f>
        <v>270000</v>
      </c>
    </row>
    <row r="272" spans="1:10" hidden="1">
      <c r="B272" s="6" t="s">
        <v>552</v>
      </c>
      <c r="C272" s="6"/>
      <c r="I272" s="42">
        <f>'LBP NO. 2'!M1017</f>
        <v>0</v>
      </c>
    </row>
    <row r="273" spans="1:10">
      <c r="A273" s="7" t="s">
        <v>269</v>
      </c>
      <c r="B273" s="6"/>
      <c r="I273" s="41">
        <f>SUM(I263:I272)</f>
        <v>1138000</v>
      </c>
    </row>
    <row r="274" spans="1:10">
      <c r="I274" s="41"/>
    </row>
    <row r="275" spans="1:10">
      <c r="A275" s="7" t="s">
        <v>372</v>
      </c>
      <c r="I275" s="41">
        <f>'LBP NO. 2'!M1026</f>
        <v>100000</v>
      </c>
      <c r="J275" s="41">
        <f>SUM(I275+I273+I259)</f>
        <v>8245467</v>
      </c>
    </row>
    <row r="276" spans="1:10">
      <c r="I276" s="41"/>
    </row>
    <row r="277" spans="1:10">
      <c r="F277" s="7" t="s">
        <v>373</v>
      </c>
      <c r="I277" s="41"/>
      <c r="J277" s="41">
        <f>J275</f>
        <v>8245467</v>
      </c>
    </row>
    <row r="278" spans="1:10" ht="13.5" thickBot="1">
      <c r="F278" s="7" t="s">
        <v>41</v>
      </c>
      <c r="I278" s="41"/>
      <c r="J278" s="46">
        <f>J277</f>
        <v>8245467</v>
      </c>
    </row>
    <row r="279" spans="1:10" ht="13.5" thickTop="1">
      <c r="I279" s="41"/>
      <c r="J279" s="41"/>
    </row>
    <row r="280" spans="1:10">
      <c r="A280" s="7" t="s">
        <v>10</v>
      </c>
      <c r="I280" s="41"/>
      <c r="J280" s="41"/>
    </row>
    <row r="281" spans="1:10">
      <c r="I281" s="41"/>
      <c r="J281" s="41"/>
    </row>
    <row r="282" spans="1:10">
      <c r="A282" s="6" t="s">
        <v>264</v>
      </c>
      <c r="I282" s="41"/>
      <c r="J282" s="41">
        <f>I21</f>
        <v>8855000</v>
      </c>
    </row>
    <row r="283" spans="1:10">
      <c r="A283" s="6" t="s">
        <v>353</v>
      </c>
      <c r="I283" s="41"/>
      <c r="J283" s="42">
        <f>I147</f>
        <v>8845467</v>
      </c>
    </row>
    <row r="284" spans="1:10" ht="13.5" thickBot="1">
      <c r="A284" s="7" t="s">
        <v>20</v>
      </c>
      <c r="I284" s="41"/>
      <c r="J284" s="102">
        <f>J282-J283</f>
        <v>9533</v>
      </c>
    </row>
    <row r="285" spans="1:10" ht="13.5" thickTop="1">
      <c r="I285" s="41"/>
    </row>
    <row r="286" spans="1:10">
      <c r="I286" s="41"/>
    </row>
  </sheetData>
  <mergeCells count="12">
    <mergeCell ref="A1:J1"/>
    <mergeCell ref="A2:J2"/>
    <mergeCell ref="A3:J3"/>
    <mergeCell ref="A7:J7"/>
    <mergeCell ref="A234:J234"/>
    <mergeCell ref="A236:J236"/>
    <mergeCell ref="A201:I201"/>
    <mergeCell ref="A202:I202"/>
    <mergeCell ref="A203:I203"/>
    <mergeCell ref="A204:I204"/>
    <mergeCell ref="A233:J233"/>
    <mergeCell ref="A235:J235"/>
  </mergeCells>
  <printOptions horizontalCentered="1"/>
  <pageMargins left="0.5" right="0.5" top="0.75" bottom="0.5" header="0.3" footer="0.5"/>
  <pageSetup paperSize="256" scale="95" orientation="portrait" r:id="rId1"/>
  <headerFooter alignWithMargins="0">
    <oddFooter xml:space="preserve">&amp;C&amp;12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zoomScaleNormal="100" workbookViewId="0">
      <selection activeCell="D28" sqref="D28"/>
    </sheetView>
  </sheetViews>
  <sheetFormatPr defaultRowHeight="15.75"/>
  <cols>
    <col min="1" max="1" width="2.5703125" style="1046" customWidth="1"/>
    <col min="2" max="2" width="46.140625" style="1046" customWidth="1"/>
    <col min="3" max="3" width="15" style="1124" customWidth="1"/>
    <col min="4" max="4" width="13.7109375" style="1124" customWidth="1"/>
    <col min="5" max="5" width="12.7109375" style="1124" customWidth="1"/>
    <col min="6" max="11" width="12.7109375" style="1046" customWidth="1"/>
    <col min="12" max="12" width="13.7109375" style="1046" customWidth="1"/>
    <col min="13" max="13" width="13.85546875" style="1046" customWidth="1"/>
    <col min="14" max="14" width="13.5703125" style="1046" customWidth="1"/>
    <col min="15" max="16" width="12.7109375" style="1046" customWidth="1"/>
    <col min="17" max="17" width="14.7109375" style="1046" customWidth="1"/>
    <col min="18" max="18" width="15.7109375" style="1046" customWidth="1"/>
    <col min="19" max="19" width="10.140625" style="1046" bestFit="1" customWidth="1"/>
    <col min="20" max="16384" width="9.140625" style="1046"/>
  </cols>
  <sheetData>
    <row r="1" spans="1:17" ht="18.75">
      <c r="A1" s="1725" t="s">
        <v>1730</v>
      </c>
      <c r="B1" s="1725"/>
      <c r="C1" s="1725"/>
      <c r="D1" s="1725"/>
      <c r="E1" s="1725"/>
      <c r="F1" s="1725"/>
      <c r="G1" s="1725"/>
      <c r="H1" s="1725"/>
      <c r="I1" s="1725"/>
      <c r="J1" s="1725"/>
      <c r="K1" s="1725"/>
      <c r="L1" s="1725"/>
      <c r="M1" s="1725"/>
      <c r="N1" s="1725"/>
      <c r="O1" s="1725"/>
      <c r="P1" s="1725"/>
      <c r="Q1" s="1725"/>
    </row>
    <row r="2" spans="1:17" ht="18.75">
      <c r="A2" s="1725" t="s">
        <v>351</v>
      </c>
      <c r="B2" s="1725"/>
      <c r="C2" s="1725"/>
      <c r="D2" s="1725"/>
      <c r="E2" s="1725"/>
      <c r="F2" s="1725"/>
      <c r="G2" s="1725"/>
      <c r="H2" s="1725"/>
      <c r="I2" s="1725"/>
      <c r="J2" s="1725"/>
      <c r="K2" s="1725"/>
      <c r="L2" s="1725"/>
      <c r="M2" s="1725"/>
      <c r="N2" s="1725"/>
      <c r="O2" s="1725"/>
      <c r="P2" s="1725"/>
      <c r="Q2" s="1725"/>
    </row>
    <row r="3" spans="1:17" ht="18.75">
      <c r="A3" s="1726" t="s">
        <v>174</v>
      </c>
      <c r="B3" s="1726"/>
      <c r="C3" s="1726"/>
      <c r="D3" s="1726"/>
      <c r="E3" s="1726"/>
      <c r="F3" s="1726"/>
      <c r="G3" s="1726"/>
      <c r="H3" s="1726"/>
      <c r="I3" s="1726"/>
      <c r="J3" s="1726"/>
      <c r="K3" s="1726"/>
      <c r="L3" s="1726"/>
      <c r="M3" s="1726"/>
      <c r="N3" s="1726"/>
      <c r="O3" s="1726"/>
      <c r="P3" s="1726"/>
      <c r="Q3" s="1726"/>
    </row>
    <row r="4" spans="1:17">
      <c r="A4" s="1047"/>
      <c r="B4" s="1047"/>
      <c r="C4" s="1048"/>
      <c r="D4" s="1048"/>
      <c r="E4" s="1048"/>
      <c r="F4" s="1047"/>
      <c r="G4" s="1047"/>
      <c r="H4" s="1047"/>
      <c r="I4" s="1047"/>
      <c r="J4" s="1047"/>
      <c r="K4" s="1047"/>
      <c r="L4" s="1047"/>
      <c r="M4" s="1047"/>
      <c r="N4" s="1047"/>
      <c r="O4" s="1047"/>
      <c r="P4" s="1047"/>
      <c r="Q4" s="1047"/>
    </row>
    <row r="5" spans="1:17" s="1055" customFormat="1" ht="20.100000000000001" customHeight="1">
      <c r="A5" s="1049"/>
      <c r="B5" s="1050"/>
      <c r="C5" s="1051"/>
      <c r="D5" s="1052"/>
      <c r="E5" s="1053"/>
      <c r="F5" s="1054"/>
      <c r="G5" s="1050"/>
      <c r="H5" s="1054"/>
      <c r="I5" s="1050"/>
      <c r="J5" s="1054"/>
      <c r="K5" s="1050"/>
      <c r="L5" s="1054"/>
      <c r="M5" s="1054"/>
      <c r="N5" s="1054"/>
      <c r="O5" s="1050"/>
      <c r="P5" s="1054"/>
      <c r="Q5" s="1054"/>
    </row>
    <row r="6" spans="1:17" s="1059" customFormat="1" ht="20.100000000000001" customHeight="1">
      <c r="A6" s="1727" t="s">
        <v>0</v>
      </c>
      <c r="B6" s="1728"/>
      <c r="C6" s="1056">
        <v>1011</v>
      </c>
      <c r="D6" s="1057">
        <v>1021</v>
      </c>
      <c r="E6" s="1058">
        <v>1041</v>
      </c>
      <c r="F6" s="1056">
        <v>1051</v>
      </c>
      <c r="G6" s="1058">
        <v>1071</v>
      </c>
      <c r="H6" s="1056">
        <v>1081</v>
      </c>
      <c r="I6" s="1058">
        <v>1091</v>
      </c>
      <c r="J6" s="1056">
        <v>1101</v>
      </c>
      <c r="K6" s="1058">
        <v>8751</v>
      </c>
      <c r="L6" s="1056">
        <v>7611</v>
      </c>
      <c r="M6" s="1056">
        <v>8711</v>
      </c>
      <c r="N6" s="1056" t="s">
        <v>1756</v>
      </c>
      <c r="O6" s="1058" t="s">
        <v>1757</v>
      </c>
      <c r="P6" s="1056">
        <v>9998</v>
      </c>
      <c r="Q6" s="1056" t="s">
        <v>15</v>
      </c>
    </row>
    <row r="7" spans="1:17" s="1055" customFormat="1" ht="20.100000000000001" customHeight="1">
      <c r="A7" s="1060"/>
      <c r="B7" s="1061"/>
      <c r="C7" s="1062"/>
      <c r="D7" s="1063"/>
      <c r="E7" s="1064"/>
      <c r="F7" s="1065"/>
      <c r="G7" s="1066"/>
      <c r="H7" s="1065"/>
      <c r="I7" s="1066"/>
      <c r="J7" s="1065"/>
      <c r="K7" s="1066"/>
      <c r="L7" s="1065"/>
      <c r="M7" s="1065"/>
      <c r="N7" s="1065"/>
      <c r="O7" s="1066"/>
      <c r="P7" s="1065"/>
      <c r="Q7" s="1065"/>
    </row>
    <row r="8" spans="1:17" ht="20.100000000000001" customHeight="1">
      <c r="A8" s="1067" t="s">
        <v>359</v>
      </c>
      <c r="B8" s="1068"/>
      <c r="C8" s="1069"/>
      <c r="D8" s="1070"/>
      <c r="E8" s="1069"/>
      <c r="F8" s="1069"/>
      <c r="G8" s="1069"/>
      <c r="H8" s="1069"/>
      <c r="I8" s="1069"/>
      <c r="J8" s="1069"/>
      <c r="K8" s="1069"/>
      <c r="L8" s="1069"/>
      <c r="M8" s="1069"/>
      <c r="N8" s="1069"/>
      <c r="O8" s="1069"/>
      <c r="P8" s="1069"/>
      <c r="Q8" s="1069"/>
    </row>
    <row r="9" spans="1:17" ht="20.100000000000001" customHeight="1">
      <c r="A9" s="1071"/>
      <c r="B9" s="1072" t="s">
        <v>516</v>
      </c>
      <c r="C9" s="1073">
        <v>5722908</v>
      </c>
      <c r="D9" s="1074">
        <v>12965788</v>
      </c>
      <c r="E9" s="1069">
        <v>1397621</v>
      </c>
      <c r="F9" s="1069">
        <v>1394425</v>
      </c>
      <c r="G9" s="1069">
        <v>1511841</v>
      </c>
      <c r="H9" s="1069">
        <v>2220180</v>
      </c>
      <c r="I9" s="1069">
        <v>3418163</v>
      </c>
      <c r="J9" s="1069">
        <v>1952421</v>
      </c>
      <c r="K9" s="1069">
        <v>1531656</v>
      </c>
      <c r="L9" s="1069">
        <v>3059352</v>
      </c>
      <c r="M9" s="1069">
        <v>2986091</v>
      </c>
      <c r="N9" s="1069">
        <v>6766084</v>
      </c>
      <c r="O9" s="1069">
        <v>2063312</v>
      </c>
      <c r="P9" s="1069">
        <v>763047</v>
      </c>
      <c r="Q9" s="1069">
        <f>SUM(C9:P9)</f>
        <v>47752889</v>
      </c>
    </row>
    <row r="10" spans="1:17" ht="20.100000000000001" customHeight="1">
      <c r="A10" s="1071"/>
      <c r="B10" s="1072" t="s">
        <v>420</v>
      </c>
      <c r="C10" s="1073">
        <v>1723800</v>
      </c>
      <c r="D10" s="1074"/>
      <c r="E10" s="1069"/>
      <c r="F10" s="1069"/>
      <c r="G10" s="1069"/>
      <c r="H10" s="1069"/>
      <c r="I10" s="1069"/>
      <c r="J10" s="1069"/>
      <c r="K10" s="1069"/>
      <c r="L10" s="1069"/>
      <c r="M10" s="1069"/>
      <c r="N10" s="1069"/>
      <c r="O10" s="1069"/>
      <c r="P10" s="1069"/>
      <c r="Q10" s="1069">
        <f>SUM(C10:P10)</f>
        <v>1723800</v>
      </c>
    </row>
    <row r="11" spans="1:17" ht="20.100000000000001" customHeight="1">
      <c r="A11" s="1071"/>
      <c r="B11" s="1072" t="s">
        <v>518</v>
      </c>
      <c r="C11" s="1073">
        <v>744000</v>
      </c>
      <c r="D11" s="1074">
        <v>480000</v>
      </c>
      <c r="E11" s="1069">
        <v>72000</v>
      </c>
      <c r="F11" s="1069">
        <f>'[6]LBP NO. 2'!M222</f>
        <v>72000</v>
      </c>
      <c r="G11" s="1069">
        <f>'[6]LBP NO. 2'!M292</f>
        <v>72000</v>
      </c>
      <c r="H11" s="1069">
        <v>144000</v>
      </c>
      <c r="I11" s="1069">
        <v>312000</v>
      </c>
      <c r="J11" s="1069">
        <f>'[6]LBP NO. 2'!M497</f>
        <v>144000</v>
      </c>
      <c r="K11" s="1069">
        <v>72000</v>
      </c>
      <c r="L11" s="1069">
        <v>192000</v>
      </c>
      <c r="M11" s="1069">
        <f>'[6]LBP NO. 2'!M703</f>
        <v>216000</v>
      </c>
      <c r="N11" s="1069">
        <v>384000</v>
      </c>
      <c r="O11" s="1069">
        <f>'[6]LBP NO. 2'!M839</f>
        <v>144000</v>
      </c>
      <c r="P11" s="1069">
        <f>'[6]LBP NO. 2'!M905</f>
        <v>48000</v>
      </c>
      <c r="Q11" s="1069">
        <f t="shared" ref="Q11:Q30" si="0">SUM(C11:P11)</f>
        <v>3096000</v>
      </c>
    </row>
    <row r="12" spans="1:17" ht="20.100000000000001" customHeight="1">
      <c r="A12" s="1075"/>
      <c r="B12" s="1072" t="s">
        <v>528</v>
      </c>
      <c r="C12" s="1073">
        <v>91800</v>
      </c>
      <c r="D12" s="1074">
        <f>'[6]LBP NO. 2'!M88</f>
        <v>928200</v>
      </c>
      <c r="E12" s="1069">
        <v>76500</v>
      </c>
      <c r="F12" s="1069">
        <f>'[6]LBP NO. 2'!M223</f>
        <v>76500</v>
      </c>
      <c r="G12" s="1069">
        <f>'[6]LBP NO. 2'!M293</f>
        <v>76500</v>
      </c>
      <c r="H12" s="1069">
        <f>'[6]LBP NO. 2'!M362</f>
        <v>76500</v>
      </c>
      <c r="I12" s="1069">
        <f>'[6]LBP NO. 2'!M430</f>
        <v>76500</v>
      </c>
      <c r="J12" s="1069">
        <f>'[6]LBP NO. 2'!M498</f>
        <v>76500</v>
      </c>
      <c r="K12" s="1069">
        <f>'[6]LBP NO. 2'!M567</f>
        <v>76500</v>
      </c>
      <c r="L12" s="1069">
        <f>'[6]LBP NO. 2'!M635</f>
        <v>76500</v>
      </c>
      <c r="M12" s="1069">
        <f>'[6]LBP NO. 2'!M704</f>
        <v>76500</v>
      </c>
      <c r="N12" s="1069">
        <f>'[6]LBP NO. 2'!M772</f>
        <v>76500</v>
      </c>
      <c r="O12" s="1069">
        <v>0</v>
      </c>
      <c r="P12" s="1069">
        <v>0</v>
      </c>
      <c r="Q12" s="1069">
        <f t="shared" si="0"/>
        <v>1785000</v>
      </c>
    </row>
    <row r="13" spans="1:17" ht="20.100000000000001" customHeight="1">
      <c r="A13" s="1075"/>
      <c r="B13" s="1072" t="s">
        <v>527</v>
      </c>
      <c r="C13" s="1073">
        <f>'[6]LBP NO. 2'!M18</f>
        <v>91800</v>
      </c>
      <c r="D13" s="1074">
        <f>'[6]LBP NO. 2'!M89</f>
        <v>928200</v>
      </c>
      <c r="E13" s="1069">
        <f>'[6]LBP NO. 2'!M157</f>
        <v>76500</v>
      </c>
      <c r="F13" s="1069">
        <f>'[6]LBP NO. 2'!M224</f>
        <v>76500</v>
      </c>
      <c r="G13" s="1069">
        <f>'[6]LBP NO. 2'!M294</f>
        <v>76500</v>
      </c>
      <c r="H13" s="1069">
        <f>'[6]LBP NO. 2'!M363</f>
        <v>76500</v>
      </c>
      <c r="I13" s="1069">
        <f>'[6]LBP NO. 2'!M431</f>
        <v>76500</v>
      </c>
      <c r="J13" s="1069">
        <f>'[6]LBP NO. 2'!M499</f>
        <v>76500</v>
      </c>
      <c r="K13" s="1069">
        <f>'[6]LBP NO. 2'!M568</f>
        <v>76500</v>
      </c>
      <c r="L13" s="1069">
        <f>'[6]LBP NO. 2'!M636</f>
        <v>76500</v>
      </c>
      <c r="M13" s="1069">
        <f>'[6]LBP NO. 2'!M705</f>
        <v>76500</v>
      </c>
      <c r="N13" s="1069">
        <f>'[6]LBP NO. 2'!M773</f>
        <v>76500</v>
      </c>
      <c r="O13" s="1076">
        <v>0</v>
      </c>
      <c r="P13" s="1076">
        <v>0</v>
      </c>
      <c r="Q13" s="1069">
        <f t="shared" si="0"/>
        <v>1785000</v>
      </c>
    </row>
    <row r="14" spans="1:17" ht="20.100000000000001" customHeight="1">
      <c r="A14" s="1075"/>
      <c r="B14" s="1072" t="s">
        <v>529</v>
      </c>
      <c r="C14" s="1073">
        <v>186000</v>
      </c>
      <c r="D14" s="1074">
        <v>120000</v>
      </c>
      <c r="E14" s="1069">
        <v>18000</v>
      </c>
      <c r="F14" s="1069">
        <f>'[6]LBP NO. 2'!M225</f>
        <v>18000</v>
      </c>
      <c r="G14" s="1069">
        <f>'[6]LBP NO. 2'!M295</f>
        <v>18000</v>
      </c>
      <c r="H14" s="1069">
        <v>36000</v>
      </c>
      <c r="I14" s="1069">
        <v>78000</v>
      </c>
      <c r="J14" s="1069">
        <f>'[6]LBP NO. 2'!M500</f>
        <v>36000</v>
      </c>
      <c r="K14" s="1069">
        <v>18000</v>
      </c>
      <c r="L14" s="1069">
        <v>48000</v>
      </c>
      <c r="M14" s="1069">
        <f>'[6]LBP NO. 2'!M706</f>
        <v>54000</v>
      </c>
      <c r="N14" s="1069">
        <v>96000</v>
      </c>
      <c r="O14" s="1076">
        <f>'[6]LBP NO. 2'!M840</f>
        <v>36000</v>
      </c>
      <c r="P14" s="1076">
        <f>'[6]LBP NO. 2'!M906</f>
        <v>12000</v>
      </c>
      <c r="Q14" s="1069">
        <f t="shared" si="0"/>
        <v>774000</v>
      </c>
    </row>
    <row r="15" spans="1:17" ht="20.100000000000001" customHeight="1">
      <c r="A15" s="1071"/>
      <c r="B15" s="1072" t="s">
        <v>530</v>
      </c>
      <c r="C15" s="1073">
        <v>0</v>
      </c>
      <c r="D15" s="1073">
        <v>0</v>
      </c>
      <c r="E15" s="1069">
        <v>0</v>
      </c>
      <c r="F15" s="1069">
        <v>0</v>
      </c>
      <c r="G15" s="1069">
        <v>0</v>
      </c>
      <c r="H15" s="1069">
        <v>0</v>
      </c>
      <c r="I15" s="1069">
        <v>0</v>
      </c>
      <c r="J15" s="1069">
        <v>0</v>
      </c>
      <c r="K15" s="1069">
        <v>0</v>
      </c>
      <c r="L15" s="1069">
        <v>108000</v>
      </c>
      <c r="M15" s="1069">
        <v>0</v>
      </c>
      <c r="N15" s="1069">
        <v>316800</v>
      </c>
      <c r="O15" s="1069">
        <f>'[6]LBP NO. 2'!M841</f>
        <v>118800</v>
      </c>
      <c r="P15" s="1069">
        <v>0</v>
      </c>
      <c r="Q15" s="1069">
        <f t="shared" si="0"/>
        <v>543600</v>
      </c>
    </row>
    <row r="16" spans="1:17" ht="20.100000000000001" customHeight="1">
      <c r="A16" s="1071"/>
      <c r="B16" s="1072" t="s">
        <v>780</v>
      </c>
      <c r="C16" s="1073">
        <v>155000</v>
      </c>
      <c r="D16" s="1074">
        <v>100000</v>
      </c>
      <c r="E16" s="1069">
        <v>15000</v>
      </c>
      <c r="F16" s="1069">
        <f>'[6]LBP NO. 2'!M226</f>
        <v>15000</v>
      </c>
      <c r="G16" s="1069">
        <f>'[6]LBP NO. 2'!M296</f>
        <v>15000</v>
      </c>
      <c r="H16" s="1069">
        <v>30000</v>
      </c>
      <c r="I16" s="1069">
        <v>65000</v>
      </c>
      <c r="J16" s="1069">
        <f>'[6]LBP NO. 2'!M501</f>
        <v>30000</v>
      </c>
      <c r="K16" s="1069">
        <v>15000</v>
      </c>
      <c r="L16" s="1069">
        <v>40000</v>
      </c>
      <c r="M16" s="1069">
        <f>'[6]LBP NO. 2'!M707</f>
        <v>45000</v>
      </c>
      <c r="N16" s="1069">
        <v>80000</v>
      </c>
      <c r="O16" s="1069">
        <f>'[6]LBP NO. 2'!M842</f>
        <v>30000</v>
      </c>
      <c r="P16" s="1069">
        <f>'[6]LBP NO. 2'!M907</f>
        <v>10000</v>
      </c>
      <c r="Q16" s="1069">
        <f t="shared" si="0"/>
        <v>645000</v>
      </c>
    </row>
    <row r="17" spans="1:17" ht="20.100000000000001" customHeight="1">
      <c r="A17" s="1075"/>
      <c r="B17" s="1072" t="s">
        <v>531</v>
      </c>
      <c r="C17" s="1073">
        <f>10000</f>
        <v>10000</v>
      </c>
      <c r="D17" s="1077">
        <v>5000</v>
      </c>
      <c r="E17" s="1078">
        <v>0</v>
      </c>
      <c r="F17" s="1076">
        <v>5000</v>
      </c>
      <c r="G17" s="1069">
        <v>0</v>
      </c>
      <c r="H17" s="1076">
        <v>5000</v>
      </c>
      <c r="I17" s="1078">
        <v>15000</v>
      </c>
      <c r="J17" s="1076">
        <v>0</v>
      </c>
      <c r="K17" s="1076">
        <v>0</v>
      </c>
      <c r="L17" s="1078">
        <v>0</v>
      </c>
      <c r="M17" s="1078">
        <v>0</v>
      </c>
      <c r="N17" s="1078">
        <v>10000</v>
      </c>
      <c r="O17" s="1069">
        <v>5000</v>
      </c>
      <c r="P17" s="1076">
        <v>5000</v>
      </c>
      <c r="Q17" s="1069">
        <f t="shared" si="0"/>
        <v>60000</v>
      </c>
    </row>
    <row r="18" spans="1:17" ht="20.100000000000001" customHeight="1">
      <c r="A18" s="1075"/>
      <c r="B18" s="1072" t="s">
        <v>532</v>
      </c>
      <c r="C18" s="1073">
        <v>0</v>
      </c>
      <c r="D18" s="1073">
        <v>0</v>
      </c>
      <c r="E18" s="1069">
        <v>0</v>
      </c>
      <c r="F18" s="1069">
        <v>0</v>
      </c>
      <c r="G18" s="1069">
        <v>0</v>
      </c>
      <c r="H18" s="1069">
        <v>0</v>
      </c>
      <c r="I18" s="1069">
        <v>0</v>
      </c>
      <c r="J18" s="1069">
        <v>0</v>
      </c>
      <c r="K18" s="1069">
        <v>0</v>
      </c>
      <c r="L18" s="1069">
        <v>167080.79999999999</v>
      </c>
      <c r="M18" s="1069">
        <v>0</v>
      </c>
      <c r="N18" s="1069">
        <v>546687</v>
      </c>
      <c r="O18" s="1069">
        <f>'[6]LBP NO. 2'!M844</f>
        <v>173241</v>
      </c>
      <c r="P18" s="1076">
        <v>0</v>
      </c>
      <c r="Q18" s="1069">
        <f t="shared" si="0"/>
        <v>887008.8</v>
      </c>
    </row>
    <row r="19" spans="1:17" ht="20.100000000000001" customHeight="1">
      <c r="A19" s="1075"/>
      <c r="B19" s="1072" t="s">
        <v>360</v>
      </c>
      <c r="C19" s="1073">
        <v>50000</v>
      </c>
      <c r="D19" s="1073">
        <v>0</v>
      </c>
      <c r="E19" s="1078">
        <v>0</v>
      </c>
      <c r="F19" s="1078">
        <v>0</v>
      </c>
      <c r="G19" s="1078">
        <v>20000</v>
      </c>
      <c r="H19" s="1078">
        <v>25000</v>
      </c>
      <c r="I19" s="1078">
        <v>100000</v>
      </c>
      <c r="J19" s="1078">
        <v>0</v>
      </c>
      <c r="K19" s="1078">
        <v>0</v>
      </c>
      <c r="L19" s="1078">
        <v>0</v>
      </c>
      <c r="M19" s="1078">
        <v>0</v>
      </c>
      <c r="N19" s="1078">
        <v>0</v>
      </c>
      <c r="O19" s="1078">
        <v>0</v>
      </c>
      <c r="P19" s="1076">
        <v>0</v>
      </c>
      <c r="Q19" s="1069">
        <f t="shared" si="0"/>
        <v>195000</v>
      </c>
    </row>
    <row r="20" spans="1:17" ht="20.100000000000001" customHeight="1">
      <c r="A20" s="1075"/>
      <c r="B20" s="1072" t="s">
        <v>533</v>
      </c>
      <c r="C20" s="1073">
        <v>155000</v>
      </c>
      <c r="D20" s="1074">
        <v>100000</v>
      </c>
      <c r="E20" s="1069">
        <v>15000</v>
      </c>
      <c r="F20" s="1069">
        <f>'[6]LBP NO. 2'!M229</f>
        <v>15000</v>
      </c>
      <c r="G20" s="1078">
        <f>'[6]LBP NO. 2'!M300</f>
        <v>15000</v>
      </c>
      <c r="H20" s="1078">
        <v>30000</v>
      </c>
      <c r="I20" s="1069">
        <v>65000</v>
      </c>
      <c r="J20" s="1069">
        <f>'[6]LBP NO. 2'!M504</f>
        <v>30000</v>
      </c>
      <c r="K20" s="1069">
        <v>15000</v>
      </c>
      <c r="L20" s="1069">
        <v>40000</v>
      </c>
      <c r="M20" s="1069">
        <f>'[6]LBP NO. 2'!M710</f>
        <v>45000</v>
      </c>
      <c r="N20" s="1069">
        <v>80000</v>
      </c>
      <c r="O20" s="1069">
        <f>'[6]LBP NO. 2'!M845</f>
        <v>30000</v>
      </c>
      <c r="P20" s="1078">
        <f>'[6]LBP NO. 2'!M908</f>
        <v>10000</v>
      </c>
      <c r="Q20" s="1069">
        <f t="shared" si="0"/>
        <v>645000</v>
      </c>
    </row>
    <row r="21" spans="1:17" ht="20.100000000000001" customHeight="1">
      <c r="A21" s="1075"/>
      <c r="B21" s="1072" t="s">
        <v>790</v>
      </c>
      <c r="C21" s="1073">
        <v>620587</v>
      </c>
      <c r="D21" s="1074">
        <v>1080448</v>
      </c>
      <c r="E21" s="1069">
        <v>116576</v>
      </c>
      <c r="F21" s="1069">
        <v>116040</v>
      </c>
      <c r="G21" s="1078">
        <v>125974</v>
      </c>
      <c r="H21" s="1078">
        <v>184932</v>
      </c>
      <c r="I21" s="1069">
        <v>284855</v>
      </c>
      <c r="J21" s="1069">
        <v>162669</v>
      </c>
      <c r="K21" s="1069">
        <v>127638</v>
      </c>
      <c r="L21" s="1069">
        <v>254946</v>
      </c>
      <c r="M21" s="1069">
        <v>248754</v>
      </c>
      <c r="N21" s="1069">
        <v>563206</v>
      </c>
      <c r="O21" s="1069">
        <v>171501</v>
      </c>
      <c r="P21" s="1078">
        <v>63527</v>
      </c>
      <c r="Q21" s="1069">
        <f t="shared" si="0"/>
        <v>4121653</v>
      </c>
    </row>
    <row r="22" spans="1:17" ht="20.100000000000001" customHeight="1">
      <c r="A22" s="1075"/>
      <c r="B22" s="1072" t="s">
        <v>534</v>
      </c>
      <c r="C22" s="1073">
        <v>620587</v>
      </c>
      <c r="D22" s="1074">
        <v>1080551</v>
      </c>
      <c r="E22" s="1069">
        <v>116576</v>
      </c>
      <c r="F22" s="1069">
        <v>116296</v>
      </c>
      <c r="G22" s="1078">
        <v>125974</v>
      </c>
      <c r="H22" s="1078">
        <v>185149</v>
      </c>
      <c r="I22" s="1069">
        <v>284855</v>
      </c>
      <c r="J22" s="1069">
        <v>162771</v>
      </c>
      <c r="K22" s="1069">
        <v>127638</v>
      </c>
      <c r="L22" s="1069">
        <v>254946</v>
      </c>
      <c r="M22" s="1069">
        <v>249098</v>
      </c>
      <c r="N22" s="1069">
        <v>564207</v>
      </c>
      <c r="O22" s="1069">
        <v>172213</v>
      </c>
      <c r="P22" s="1078">
        <v>63768</v>
      </c>
      <c r="Q22" s="1069">
        <f t="shared" si="0"/>
        <v>4124629</v>
      </c>
    </row>
    <row r="23" spans="1:17" ht="20.100000000000001" customHeight="1">
      <c r="A23" s="1075"/>
      <c r="B23" s="1072" t="s">
        <v>646</v>
      </c>
      <c r="C23" s="1073">
        <v>894000</v>
      </c>
      <c r="D23" s="1074">
        <v>1560000</v>
      </c>
      <c r="E23" s="1069">
        <v>168000</v>
      </c>
      <c r="F23" s="1069">
        <v>168000</v>
      </c>
      <c r="G23" s="1078">
        <v>182000</v>
      </c>
      <c r="H23" s="1078">
        <v>267000</v>
      </c>
      <c r="I23" s="1069">
        <v>410500</v>
      </c>
      <c r="J23" s="1069">
        <v>235000</v>
      </c>
      <c r="K23" s="1069">
        <v>184000</v>
      </c>
      <c r="L23" s="1069">
        <v>367500</v>
      </c>
      <c r="M23" s="1069">
        <v>359000</v>
      </c>
      <c r="N23" s="1069">
        <v>812000</v>
      </c>
      <c r="O23" s="1069">
        <v>248000</v>
      </c>
      <c r="P23" s="1078">
        <v>92000</v>
      </c>
      <c r="Q23" s="1069">
        <f t="shared" si="0"/>
        <v>5947000</v>
      </c>
    </row>
    <row r="24" spans="1:17" ht="20.100000000000001" customHeight="1">
      <c r="A24" s="1075"/>
      <c r="B24" s="1072" t="s">
        <v>535</v>
      </c>
      <c r="C24" s="1073">
        <v>55800</v>
      </c>
      <c r="D24" s="1074">
        <v>36000</v>
      </c>
      <c r="E24" s="1069">
        <v>5400</v>
      </c>
      <c r="F24" s="1069">
        <f>'[6]LBP NO. 2'!M233</f>
        <v>5400</v>
      </c>
      <c r="G24" s="1078">
        <f>'[6]LBP NO. 2'!M304</f>
        <v>5400</v>
      </c>
      <c r="H24" s="1078">
        <v>10800</v>
      </c>
      <c r="I24" s="1069">
        <v>23400</v>
      </c>
      <c r="J24" s="1069">
        <v>10800</v>
      </c>
      <c r="K24" s="1069">
        <v>5400</v>
      </c>
      <c r="L24" s="1069">
        <v>14400</v>
      </c>
      <c r="M24" s="1069">
        <v>16200</v>
      </c>
      <c r="N24" s="1069">
        <v>28800</v>
      </c>
      <c r="O24" s="1069">
        <v>10800</v>
      </c>
      <c r="P24" s="1078">
        <f>'[6]LBP NO. 2'!M913</f>
        <v>3600</v>
      </c>
      <c r="Q24" s="1069">
        <f t="shared" si="0"/>
        <v>232200</v>
      </c>
    </row>
    <row r="25" spans="1:17" ht="20.100000000000001" customHeight="1">
      <c r="A25" s="1075"/>
      <c r="B25" s="1072" t="s">
        <v>536</v>
      </c>
      <c r="C25" s="1073">
        <v>168000</v>
      </c>
      <c r="D25" s="1074">
        <v>293000</v>
      </c>
      <c r="E25" s="1069">
        <v>31500</v>
      </c>
      <c r="F25" s="1069">
        <v>31500</v>
      </c>
      <c r="G25" s="1078">
        <v>35000</v>
      </c>
      <c r="H25" s="1078">
        <v>50000</v>
      </c>
      <c r="I25" s="1069">
        <v>77000</v>
      </c>
      <c r="J25" s="1069">
        <v>44000</v>
      </c>
      <c r="K25" s="1069">
        <v>35000</v>
      </c>
      <c r="L25" s="1069">
        <v>69000</v>
      </c>
      <c r="M25" s="1069">
        <v>67500</v>
      </c>
      <c r="N25" s="1069">
        <v>152500</v>
      </c>
      <c r="O25" s="1069">
        <v>46500</v>
      </c>
      <c r="P25" s="1078">
        <v>17500</v>
      </c>
      <c r="Q25" s="1069">
        <f t="shared" si="0"/>
        <v>1118000</v>
      </c>
    </row>
    <row r="26" spans="1:17" ht="20.100000000000001" customHeight="1">
      <c r="A26" s="1075"/>
      <c r="B26" s="1072" t="s">
        <v>642</v>
      </c>
      <c r="C26" s="1073">
        <v>37200</v>
      </c>
      <c r="D26" s="1074">
        <v>24000</v>
      </c>
      <c r="E26" s="1069">
        <v>3600</v>
      </c>
      <c r="F26" s="1069">
        <v>3600</v>
      </c>
      <c r="G26" s="1078">
        <v>3600</v>
      </c>
      <c r="H26" s="1078">
        <v>7200</v>
      </c>
      <c r="I26" s="1069">
        <v>15600</v>
      </c>
      <c r="J26" s="1069">
        <v>7200</v>
      </c>
      <c r="K26" s="1069">
        <v>3600</v>
      </c>
      <c r="L26" s="1069">
        <v>9600</v>
      </c>
      <c r="M26" s="1069">
        <v>10800</v>
      </c>
      <c r="N26" s="1069">
        <v>19200</v>
      </c>
      <c r="O26" s="1069">
        <v>7200</v>
      </c>
      <c r="P26" s="1078">
        <f>'[6]LBP NO. 2'!M915</f>
        <v>2400</v>
      </c>
      <c r="Q26" s="1069">
        <f t="shared" si="0"/>
        <v>154800</v>
      </c>
    </row>
    <row r="27" spans="1:17" ht="20.100000000000001" customHeight="1">
      <c r="A27" s="1075"/>
      <c r="B27" s="1072" t="s">
        <v>365</v>
      </c>
      <c r="C27" s="1073">
        <v>0</v>
      </c>
      <c r="D27" s="1074">
        <v>0</v>
      </c>
      <c r="E27" s="1078">
        <f>'[7]LBP NO. 2'!$M$162</f>
        <v>0</v>
      </c>
      <c r="F27" s="1078">
        <v>450000</v>
      </c>
      <c r="G27" s="1078">
        <v>0</v>
      </c>
      <c r="H27" s="1078">
        <v>79000</v>
      </c>
      <c r="I27" s="1078">
        <f>'[7]LBP NO. 2'!$M$427</f>
        <v>0</v>
      </c>
      <c r="J27" s="1078">
        <v>0</v>
      </c>
      <c r="K27" s="1078">
        <v>0</v>
      </c>
      <c r="L27" s="1069">
        <v>0</v>
      </c>
      <c r="M27" s="1078">
        <v>0</v>
      </c>
      <c r="N27" s="1069">
        <f>'[7]LBP NO. 2'!$M$758</f>
        <v>0</v>
      </c>
      <c r="O27" s="1069">
        <v>765000</v>
      </c>
      <c r="P27" s="1078">
        <v>0</v>
      </c>
      <c r="Q27" s="1069">
        <f t="shared" si="0"/>
        <v>1294000</v>
      </c>
    </row>
    <row r="28" spans="1:17" ht="20.100000000000001" customHeight="1">
      <c r="A28" s="1075"/>
      <c r="B28" s="1072" t="s">
        <v>1758</v>
      </c>
      <c r="C28" s="1073">
        <v>0</v>
      </c>
      <c r="D28" s="1074">
        <v>0</v>
      </c>
      <c r="E28" s="1078">
        <v>0</v>
      </c>
      <c r="F28" s="1078">
        <v>0</v>
      </c>
      <c r="G28" s="1078">
        <v>0</v>
      </c>
      <c r="H28" s="1078">
        <v>0</v>
      </c>
      <c r="I28" s="1078">
        <v>0</v>
      </c>
      <c r="J28" s="1078">
        <v>0</v>
      </c>
      <c r="K28" s="1078">
        <v>0</v>
      </c>
      <c r="L28" s="1069">
        <v>0</v>
      </c>
      <c r="M28" s="1078">
        <v>0</v>
      </c>
      <c r="N28" s="1069">
        <v>0</v>
      </c>
      <c r="O28" s="1069">
        <v>0</v>
      </c>
      <c r="P28" s="1078">
        <v>0</v>
      </c>
      <c r="Q28" s="1069">
        <f t="shared" si="0"/>
        <v>0</v>
      </c>
    </row>
    <row r="29" spans="1:17" ht="20.100000000000001" customHeight="1">
      <c r="A29" s="1075"/>
      <c r="B29" s="1072" t="s">
        <v>537</v>
      </c>
      <c r="C29" s="1073">
        <v>0</v>
      </c>
      <c r="D29" s="1074">
        <v>0</v>
      </c>
      <c r="E29" s="1078">
        <f>'[7]LBP NO. 2'!$M$163</f>
        <v>0</v>
      </c>
      <c r="F29" s="1069">
        <v>0</v>
      </c>
      <c r="G29" s="1069">
        <v>0</v>
      </c>
      <c r="H29" s="1078">
        <v>0</v>
      </c>
      <c r="I29" s="1069">
        <v>0</v>
      </c>
      <c r="J29" s="1069">
        <v>0</v>
      </c>
      <c r="K29" s="1078">
        <v>0</v>
      </c>
      <c r="L29" s="1078">
        <v>0</v>
      </c>
      <c r="M29" s="1069">
        <v>0</v>
      </c>
      <c r="N29" s="1069">
        <f>'[6]LBP NO. 2'!M789</f>
        <v>25000</v>
      </c>
      <c r="O29" s="1069">
        <v>0</v>
      </c>
      <c r="P29" s="1078">
        <v>0</v>
      </c>
      <c r="Q29" s="1069">
        <f t="shared" si="0"/>
        <v>25000</v>
      </c>
    </row>
    <row r="30" spans="1:17" ht="20.100000000000001" customHeight="1">
      <c r="A30" s="1075"/>
      <c r="B30" s="1079" t="s">
        <v>538</v>
      </c>
      <c r="C30" s="1080">
        <v>0</v>
      </c>
      <c r="D30" s="1081">
        <v>0</v>
      </c>
      <c r="E30" s="1078">
        <v>0</v>
      </c>
      <c r="F30" s="1078">
        <f>'[7]LBP NO. 2'!$M$228</f>
        <v>0</v>
      </c>
      <c r="G30" s="1069">
        <f>'[7]LBP NO. 2'!$M$295</f>
        <v>0</v>
      </c>
      <c r="H30" s="1069">
        <f>'[7]LBP NO. 2'!$M$361</f>
        <v>0</v>
      </c>
      <c r="I30" s="1069">
        <f>'[7]LBP NO. 2'!$M$428</f>
        <v>0</v>
      </c>
      <c r="J30" s="1078">
        <f>'[7]LBP NO. 2'!$M$492</f>
        <v>0</v>
      </c>
      <c r="K30" s="1078">
        <f>'[7]LBP NO. 2'!$M$558</f>
        <v>0</v>
      </c>
      <c r="L30" s="1078">
        <f>'[7]LBP NO. 2'!$M$626</f>
        <v>0</v>
      </c>
      <c r="M30" s="1078">
        <f>'[7]LBP NO. 2'!$M$691</f>
        <v>0</v>
      </c>
      <c r="N30" s="1078">
        <v>0</v>
      </c>
      <c r="O30" s="1078">
        <f>'[7]LBP NO. 2'!$M$823</f>
        <v>0</v>
      </c>
      <c r="P30" s="1078">
        <v>0</v>
      </c>
      <c r="Q30" s="1069">
        <f t="shared" si="0"/>
        <v>0</v>
      </c>
    </row>
    <row r="31" spans="1:17" ht="20.100000000000001" customHeight="1" thickBot="1">
      <c r="A31" s="1082" t="s">
        <v>364</v>
      </c>
      <c r="B31" s="1083"/>
      <c r="C31" s="1084">
        <f t="shared" ref="C31:Q31" si="1">SUM(C9:C30)</f>
        <v>11326482</v>
      </c>
      <c r="D31" s="1085">
        <f t="shared" si="1"/>
        <v>19701187</v>
      </c>
      <c r="E31" s="1086">
        <f t="shared" si="1"/>
        <v>2112273</v>
      </c>
      <c r="F31" s="1084">
        <f t="shared" si="1"/>
        <v>2563261</v>
      </c>
      <c r="G31" s="1084">
        <f t="shared" si="1"/>
        <v>2282789</v>
      </c>
      <c r="H31" s="1084">
        <f t="shared" si="1"/>
        <v>3427261</v>
      </c>
      <c r="I31" s="1084">
        <f t="shared" si="1"/>
        <v>5302373</v>
      </c>
      <c r="J31" s="1084">
        <f t="shared" si="1"/>
        <v>2967861</v>
      </c>
      <c r="K31" s="1084">
        <f t="shared" si="1"/>
        <v>2287932</v>
      </c>
      <c r="L31" s="1084">
        <f t="shared" si="1"/>
        <v>4777824.8</v>
      </c>
      <c r="M31" s="1084">
        <f t="shared" si="1"/>
        <v>4450443</v>
      </c>
      <c r="N31" s="1084">
        <f t="shared" si="1"/>
        <v>10597484</v>
      </c>
      <c r="O31" s="1086">
        <f t="shared" si="1"/>
        <v>4021567</v>
      </c>
      <c r="P31" s="1084">
        <f t="shared" si="1"/>
        <v>1090842</v>
      </c>
      <c r="Q31" s="1084">
        <f t="shared" si="1"/>
        <v>76909579.799999997</v>
      </c>
    </row>
    <row r="32" spans="1:17" ht="20.100000000000001" customHeight="1">
      <c r="A32" s="1071"/>
      <c r="B32" s="1087"/>
      <c r="C32" s="1088"/>
      <c r="D32" s="1089"/>
      <c r="E32" s="1090"/>
      <c r="F32" s="1091"/>
      <c r="G32" s="1091"/>
      <c r="H32" s="1091"/>
      <c r="I32" s="1091"/>
      <c r="J32" s="1091"/>
      <c r="K32" s="1091"/>
      <c r="L32" s="1091"/>
      <c r="M32" s="1091"/>
      <c r="N32" s="1091"/>
      <c r="O32" s="1092"/>
      <c r="P32" s="1091"/>
      <c r="Q32" s="1091"/>
    </row>
    <row r="33" spans="1:18">
      <c r="C33" s="1093"/>
      <c r="D33" s="1093"/>
      <c r="E33" s="1094"/>
      <c r="F33" s="1095"/>
      <c r="G33" s="1095"/>
      <c r="H33" s="1095"/>
      <c r="I33" s="1095"/>
      <c r="J33" s="1095"/>
      <c r="K33" s="1095"/>
      <c r="L33" s="1095"/>
      <c r="M33" s="1095"/>
      <c r="N33" s="1095"/>
      <c r="O33" s="1096"/>
      <c r="P33" s="1095"/>
      <c r="Q33" s="1097"/>
    </row>
    <row r="34" spans="1:18" s="1055" customFormat="1">
      <c r="A34" s="1098"/>
      <c r="B34" s="1099"/>
      <c r="C34" s="1100"/>
      <c r="D34" s="1101"/>
      <c r="E34" s="1100"/>
      <c r="F34" s="1101"/>
      <c r="G34" s="1100"/>
      <c r="H34" s="1101"/>
      <c r="I34" s="1100"/>
      <c r="J34" s="1101"/>
      <c r="K34" s="1100"/>
      <c r="L34" s="1101"/>
      <c r="M34" s="1100"/>
      <c r="N34" s="1101"/>
      <c r="O34" s="1100"/>
      <c r="P34" s="1101"/>
      <c r="Q34" s="1099"/>
    </row>
    <row r="35" spans="1:18" s="1055" customFormat="1">
      <c r="A35" s="1727" t="s">
        <v>0</v>
      </c>
      <c r="B35" s="1729"/>
      <c r="C35" s="1058">
        <v>1011</v>
      </c>
      <c r="D35" s="1056">
        <v>1021</v>
      </c>
      <c r="E35" s="1058">
        <v>1041</v>
      </c>
      <c r="F35" s="1056">
        <v>1051</v>
      </c>
      <c r="G35" s="1058">
        <v>1071</v>
      </c>
      <c r="H35" s="1056">
        <v>1081</v>
      </c>
      <c r="I35" s="1058">
        <v>1091</v>
      </c>
      <c r="J35" s="1056">
        <v>1101</v>
      </c>
      <c r="K35" s="1058">
        <v>8751</v>
      </c>
      <c r="L35" s="1056">
        <v>7611</v>
      </c>
      <c r="M35" s="1058">
        <v>8711</v>
      </c>
      <c r="N35" s="1056" t="s">
        <v>1756</v>
      </c>
      <c r="O35" s="1058" t="s">
        <v>1757</v>
      </c>
      <c r="P35" s="1056">
        <v>9998</v>
      </c>
      <c r="Q35" s="1057" t="s">
        <v>15</v>
      </c>
    </row>
    <row r="36" spans="1:18" s="1055" customFormat="1">
      <c r="A36" s="1102"/>
      <c r="B36" s="1103"/>
      <c r="C36" s="1066"/>
      <c r="D36" s="1065"/>
      <c r="E36" s="1066"/>
      <c r="F36" s="1065"/>
      <c r="G36" s="1066"/>
      <c r="H36" s="1065"/>
      <c r="I36" s="1066"/>
      <c r="J36" s="1065"/>
      <c r="K36" s="1066"/>
      <c r="L36" s="1065"/>
      <c r="M36" s="1066"/>
      <c r="N36" s="1065"/>
      <c r="O36" s="1066"/>
      <c r="P36" s="1065"/>
      <c r="Q36" s="1103"/>
    </row>
    <row r="37" spans="1:18" ht="20.100000000000001" customHeight="1">
      <c r="A37" s="1104" t="s">
        <v>1759</v>
      </c>
      <c r="B37" s="1105"/>
      <c r="C37" s="1106"/>
      <c r="D37" s="1107"/>
      <c r="E37" s="1106"/>
      <c r="F37" s="1108"/>
      <c r="G37" s="1109"/>
      <c r="H37" s="1108"/>
      <c r="I37" s="1109"/>
      <c r="J37" s="1108"/>
      <c r="K37" s="1109"/>
      <c r="L37" s="1108"/>
      <c r="M37" s="1109"/>
      <c r="N37" s="1108"/>
      <c r="O37" s="1109"/>
      <c r="P37" s="1108"/>
      <c r="Q37" s="1110"/>
    </row>
    <row r="38" spans="1:18" ht="20.100000000000001" customHeight="1">
      <c r="A38" s="1075"/>
      <c r="B38" s="1072" t="s">
        <v>540</v>
      </c>
      <c r="C38" s="1111">
        <v>650000</v>
      </c>
      <c r="D38" s="1111">
        <f>'[6]LBP NO. 2'!M106</f>
        <v>1346000</v>
      </c>
      <c r="E38" s="1111">
        <v>100000</v>
      </c>
      <c r="F38" s="1111">
        <f>'[6]LBP NO. 2'!M240</f>
        <v>43000</v>
      </c>
      <c r="G38" s="1111">
        <v>100000</v>
      </c>
      <c r="H38" s="1111">
        <v>110000</v>
      </c>
      <c r="I38" s="1111">
        <v>130000</v>
      </c>
      <c r="J38" s="1111">
        <v>140000</v>
      </c>
      <c r="K38" s="1111">
        <v>38000</v>
      </c>
      <c r="L38" s="1111">
        <f>'[6]LBP NO. 2'!M654</f>
        <v>108000</v>
      </c>
      <c r="M38" s="1111">
        <v>132000</v>
      </c>
      <c r="N38" s="1111">
        <v>191774</v>
      </c>
      <c r="O38" s="1111">
        <v>95166</v>
      </c>
      <c r="P38" s="1111">
        <f>'[6]LBP NO. 2'!M920</f>
        <v>88000</v>
      </c>
      <c r="Q38" s="1111">
        <f>SUM(C38:P38)</f>
        <v>3271940</v>
      </c>
      <c r="R38" s="1112">
        <f>SUM(Q38:Q64)</f>
        <v>157173344.16999999</v>
      </c>
    </row>
    <row r="39" spans="1:18" ht="20.100000000000001" customHeight="1">
      <c r="A39" s="1075"/>
      <c r="B39" s="1072" t="s">
        <v>421</v>
      </c>
      <c r="C39" s="1111">
        <f>'[6]LBP NO. 2'!M37</f>
        <v>450000</v>
      </c>
      <c r="D39" s="1111">
        <f>'[6]LBP NO. 2'!M107</f>
        <v>964000</v>
      </c>
      <c r="E39" s="1111">
        <v>100000</v>
      </c>
      <c r="F39" s="1111">
        <f>'[6]LBP NO. 2'!M241</f>
        <v>35000</v>
      </c>
      <c r="G39" s="1111">
        <f>'[6]LBP NO. 2'!M312</f>
        <v>100000</v>
      </c>
      <c r="H39" s="1111">
        <v>130000</v>
      </c>
      <c r="I39" s="1111">
        <v>100000</v>
      </c>
      <c r="J39" s="1111">
        <f>'[6]LBP NO. 2'!M516</f>
        <v>100000</v>
      </c>
      <c r="K39" s="1111">
        <f>'[6]LBP NO. 2'!M585</f>
        <v>40000</v>
      </c>
      <c r="L39" s="1111">
        <f>'[6]LBP NO. 2'!M655</f>
        <v>120000</v>
      </c>
      <c r="M39" s="1111">
        <v>180000</v>
      </c>
      <c r="N39" s="1111">
        <v>102478</v>
      </c>
      <c r="O39" s="1111">
        <v>43923</v>
      </c>
      <c r="P39" s="1111">
        <f>'[6]LBP NO. 2'!M921</f>
        <v>100000</v>
      </c>
      <c r="Q39" s="1111">
        <f t="shared" ref="Q39:Q64" si="2">SUM(C39:P39)</f>
        <v>2565401</v>
      </c>
      <c r="R39" s="1112">
        <f>R38+Q31</f>
        <v>234082923.96999997</v>
      </c>
    </row>
    <row r="40" spans="1:18" ht="20.100000000000001" customHeight="1">
      <c r="A40" s="1075"/>
      <c r="B40" s="1072" t="s">
        <v>371</v>
      </c>
      <c r="C40" s="1111">
        <v>1300000</v>
      </c>
      <c r="D40" s="1111">
        <v>750000</v>
      </c>
      <c r="E40" s="1111">
        <v>210587</v>
      </c>
      <c r="F40" s="1111">
        <v>85000</v>
      </c>
      <c r="G40" s="1111">
        <f>'[6]LBP NO. 2'!M313</f>
        <v>70000</v>
      </c>
      <c r="H40" s="1111">
        <v>250815</v>
      </c>
      <c r="I40" s="1111">
        <v>230000</v>
      </c>
      <c r="J40" s="1111">
        <v>120000</v>
      </c>
      <c r="K40" s="1111">
        <f>'[6]LBP NO. 2'!M586</f>
        <v>80000</v>
      </c>
      <c r="L40" s="1111">
        <v>200000</v>
      </c>
      <c r="M40" s="1111">
        <v>50000</v>
      </c>
      <c r="N40" s="1111">
        <v>124410</v>
      </c>
      <c r="O40" s="1111">
        <v>121598</v>
      </c>
      <c r="P40" s="1111">
        <v>80000</v>
      </c>
      <c r="Q40" s="1111">
        <f t="shared" si="2"/>
        <v>3672410</v>
      </c>
    </row>
    <row r="41" spans="1:18" ht="20.100000000000001" customHeight="1">
      <c r="A41" s="1075"/>
      <c r="B41" s="1072" t="s">
        <v>541</v>
      </c>
      <c r="C41" s="1111">
        <v>0</v>
      </c>
      <c r="D41" s="1111">
        <v>0</v>
      </c>
      <c r="E41" s="1111">
        <v>0</v>
      </c>
      <c r="F41" s="1111">
        <v>0</v>
      </c>
      <c r="G41" s="1111">
        <v>0</v>
      </c>
      <c r="H41" s="1111">
        <v>0</v>
      </c>
      <c r="I41" s="1111">
        <f>'[6]LBP NO. 2'!M451</f>
        <v>200000</v>
      </c>
      <c r="J41" s="1111">
        <v>0</v>
      </c>
      <c r="K41" s="1111">
        <v>0</v>
      </c>
      <c r="L41" s="1111">
        <v>0</v>
      </c>
      <c r="M41" s="1111">
        <v>0</v>
      </c>
      <c r="N41" s="1111">
        <v>0</v>
      </c>
      <c r="O41" s="1111">
        <v>0</v>
      </c>
      <c r="P41" s="1111">
        <v>0</v>
      </c>
      <c r="Q41" s="1111">
        <f t="shared" si="2"/>
        <v>200000</v>
      </c>
    </row>
    <row r="42" spans="1:18" ht="20.100000000000001" customHeight="1">
      <c r="A42" s="1075"/>
      <c r="B42" s="1072" t="s">
        <v>542</v>
      </c>
      <c r="C42" s="1111">
        <v>0</v>
      </c>
      <c r="D42" s="1111">
        <v>0</v>
      </c>
      <c r="E42" s="1111">
        <v>0</v>
      </c>
      <c r="F42" s="1111">
        <v>0</v>
      </c>
      <c r="G42" s="1111">
        <v>0</v>
      </c>
      <c r="H42" s="1111">
        <v>0</v>
      </c>
      <c r="I42" s="1111">
        <v>0</v>
      </c>
      <c r="J42" s="1111">
        <v>0</v>
      </c>
      <c r="K42" s="1111">
        <v>0</v>
      </c>
      <c r="L42" s="1111">
        <v>0</v>
      </c>
      <c r="M42" s="1111">
        <v>0</v>
      </c>
      <c r="N42" s="1076">
        <v>1403645</v>
      </c>
      <c r="O42" s="1076">
        <v>1397420</v>
      </c>
      <c r="P42" s="1111">
        <v>0</v>
      </c>
      <c r="Q42" s="1111">
        <f t="shared" si="2"/>
        <v>2801065</v>
      </c>
    </row>
    <row r="43" spans="1:18" ht="20.100000000000001" customHeight="1">
      <c r="A43" s="1075"/>
      <c r="B43" s="1072" t="s">
        <v>543</v>
      </c>
      <c r="C43" s="1111">
        <v>0</v>
      </c>
      <c r="D43" s="1111">
        <v>0</v>
      </c>
      <c r="E43" s="1111">
        <v>0</v>
      </c>
      <c r="F43" s="1111">
        <v>0</v>
      </c>
      <c r="G43" s="1111">
        <v>0</v>
      </c>
      <c r="H43" s="1111">
        <v>0</v>
      </c>
      <c r="I43" s="1111">
        <v>0</v>
      </c>
      <c r="J43" s="1111">
        <v>0</v>
      </c>
      <c r="K43" s="1111">
        <v>0</v>
      </c>
      <c r="L43" s="1111">
        <v>0</v>
      </c>
      <c r="M43" s="1111">
        <v>0</v>
      </c>
      <c r="N43" s="1076">
        <v>197150</v>
      </c>
      <c r="O43" s="1111">
        <v>0</v>
      </c>
      <c r="P43" s="1111">
        <v>0</v>
      </c>
      <c r="Q43" s="1111">
        <f t="shared" si="2"/>
        <v>197150</v>
      </c>
    </row>
    <row r="44" spans="1:18" ht="20.100000000000001" customHeight="1">
      <c r="A44" s="1075"/>
      <c r="B44" s="1072" t="s">
        <v>905</v>
      </c>
      <c r="C44" s="1111">
        <v>0</v>
      </c>
      <c r="D44" s="1111">
        <f>'[6]LBP NO. 2'!M109</f>
        <v>750000</v>
      </c>
      <c r="E44" s="1111">
        <v>0</v>
      </c>
      <c r="F44" s="1111">
        <v>0</v>
      </c>
      <c r="G44" s="1111">
        <v>0</v>
      </c>
      <c r="H44" s="1111">
        <v>0</v>
      </c>
      <c r="I44" s="1111">
        <v>0</v>
      </c>
      <c r="J44" s="1111">
        <v>0</v>
      </c>
      <c r="K44" s="1111">
        <v>0</v>
      </c>
      <c r="L44" s="1111">
        <v>0</v>
      </c>
      <c r="M44" s="1111">
        <v>0</v>
      </c>
      <c r="N44" s="1111">
        <v>0</v>
      </c>
      <c r="O44" s="1111">
        <v>0</v>
      </c>
      <c r="P44" s="1111">
        <v>0</v>
      </c>
      <c r="Q44" s="1111">
        <f t="shared" si="2"/>
        <v>750000</v>
      </c>
    </row>
    <row r="45" spans="1:18" ht="20.100000000000001" customHeight="1">
      <c r="A45" s="1075"/>
      <c r="B45" s="1072" t="s">
        <v>544</v>
      </c>
      <c r="C45" s="1111">
        <v>10000</v>
      </c>
      <c r="D45" s="1111">
        <f>'[6]LBP NO. 2'!M110</f>
        <v>10000</v>
      </c>
      <c r="E45" s="1111">
        <v>0</v>
      </c>
      <c r="F45" s="1111">
        <f>'[6]LBP NO. 2'!M243</f>
        <v>250</v>
      </c>
      <c r="G45" s="1111">
        <v>0</v>
      </c>
      <c r="H45" s="1076">
        <f>'[8]LBP NO. 2'!$M$322</f>
        <v>0</v>
      </c>
      <c r="I45" s="1111">
        <f>'[6]LBP NO. 2'!M452</f>
        <v>5000</v>
      </c>
      <c r="J45" s="1111">
        <f>'[6]LBP NO. 2'!M518</f>
        <v>500</v>
      </c>
      <c r="K45" s="1076">
        <v>0</v>
      </c>
      <c r="L45" s="1111">
        <f>'[6]LBP NO. 2'!M657</f>
        <v>1200</v>
      </c>
      <c r="M45" s="1111">
        <f>'[6]LBP NO. 2'!M724</f>
        <v>1000</v>
      </c>
      <c r="N45" s="1111">
        <v>0</v>
      </c>
      <c r="O45" s="1111">
        <v>0</v>
      </c>
      <c r="P45" s="1111">
        <v>0</v>
      </c>
      <c r="Q45" s="1111">
        <f t="shared" si="2"/>
        <v>27950</v>
      </c>
    </row>
    <row r="46" spans="1:18" ht="20.100000000000001" customHeight="1">
      <c r="A46" s="1075"/>
      <c r="B46" s="1072" t="s">
        <v>545</v>
      </c>
      <c r="C46" s="1111">
        <v>0</v>
      </c>
      <c r="D46" s="1111">
        <v>96000</v>
      </c>
      <c r="E46" s="1111">
        <v>0</v>
      </c>
      <c r="F46" s="1111">
        <v>0</v>
      </c>
      <c r="G46" s="1111">
        <v>0</v>
      </c>
      <c r="H46" s="1111">
        <v>0</v>
      </c>
      <c r="I46" s="1111">
        <v>0</v>
      </c>
      <c r="J46" s="1111">
        <v>0</v>
      </c>
      <c r="K46" s="1111">
        <v>0</v>
      </c>
      <c r="L46" s="1111">
        <v>0</v>
      </c>
      <c r="M46" s="1111">
        <v>0</v>
      </c>
      <c r="N46" s="1111">
        <v>0</v>
      </c>
      <c r="O46" s="1111">
        <v>0</v>
      </c>
      <c r="P46" s="1111">
        <v>0</v>
      </c>
      <c r="Q46" s="1111">
        <f t="shared" si="2"/>
        <v>96000</v>
      </c>
    </row>
    <row r="47" spans="1:18" ht="20.100000000000001" customHeight="1">
      <c r="A47" s="1075"/>
      <c r="B47" s="1072" t="s">
        <v>546</v>
      </c>
      <c r="C47" s="1111">
        <v>108000</v>
      </c>
      <c r="D47" s="1111">
        <v>440400</v>
      </c>
      <c r="E47" s="1111">
        <f>'[6]LBP NO. 2'!M176</f>
        <v>36000</v>
      </c>
      <c r="F47" s="1111">
        <f>'[6]LBP NO. 2'!M244</f>
        <v>36000</v>
      </c>
      <c r="G47" s="1076">
        <v>48000</v>
      </c>
      <c r="H47" s="1076">
        <v>48000</v>
      </c>
      <c r="I47" s="1111">
        <f>'[6]LBP NO. 2'!M453</f>
        <v>36000</v>
      </c>
      <c r="J47" s="1111">
        <f>'[6]LBP NO. 2'!M519</f>
        <v>36000</v>
      </c>
      <c r="K47" s="1076">
        <f>'[6]LBP NO. 2'!M588</f>
        <v>36000</v>
      </c>
      <c r="L47" s="1111">
        <f>'[6]LBP NO. 2'!M658</f>
        <v>36000</v>
      </c>
      <c r="M47" s="1111">
        <f>'[6]LBP NO. 2'!M725</f>
        <v>36000</v>
      </c>
      <c r="N47" s="1076">
        <f>'[6]LBP NO. 2'!M797</f>
        <v>36000</v>
      </c>
      <c r="O47" s="1111">
        <v>0</v>
      </c>
      <c r="P47" s="1111">
        <f>'[6]LBP NO. 2'!M923</f>
        <v>36000</v>
      </c>
      <c r="Q47" s="1111">
        <f t="shared" si="2"/>
        <v>968400</v>
      </c>
    </row>
    <row r="48" spans="1:18" ht="20.100000000000001" customHeight="1">
      <c r="A48" s="1075"/>
      <c r="B48" s="1072" t="s">
        <v>547</v>
      </c>
      <c r="C48" s="1111">
        <v>0</v>
      </c>
      <c r="D48" s="1111">
        <v>1300000</v>
      </c>
      <c r="E48" s="1111">
        <v>0</v>
      </c>
      <c r="F48" s="1111">
        <v>0</v>
      </c>
      <c r="G48" s="1111">
        <v>0</v>
      </c>
      <c r="H48" s="1111">
        <v>0</v>
      </c>
      <c r="I48" s="1111">
        <v>0</v>
      </c>
      <c r="J48" s="1111">
        <v>0</v>
      </c>
      <c r="K48" s="1111">
        <v>0</v>
      </c>
      <c r="L48" s="1111">
        <v>0</v>
      </c>
      <c r="M48" s="1111">
        <v>0</v>
      </c>
      <c r="N48" s="1111">
        <v>0</v>
      </c>
      <c r="O48" s="1111">
        <v>0</v>
      </c>
      <c r="P48" s="1111">
        <v>0</v>
      </c>
      <c r="Q48" s="1111">
        <f t="shared" si="2"/>
        <v>1300000</v>
      </c>
    </row>
    <row r="49" spans="1:19" ht="20.100000000000001" customHeight="1">
      <c r="A49" s="1075"/>
      <c r="B49" s="1072" t="s">
        <v>548</v>
      </c>
      <c r="C49" s="1111">
        <v>0</v>
      </c>
      <c r="D49" s="1111">
        <f>'[6]LBP NO. 2'!M114</f>
        <v>250000</v>
      </c>
      <c r="E49" s="1111">
        <v>0</v>
      </c>
      <c r="F49" s="1111">
        <v>0</v>
      </c>
      <c r="G49" s="1111">
        <v>0</v>
      </c>
      <c r="H49" s="1111">
        <v>0</v>
      </c>
      <c r="I49" s="1111">
        <v>0</v>
      </c>
      <c r="J49" s="1111">
        <v>0</v>
      </c>
      <c r="K49" s="1111">
        <v>0</v>
      </c>
      <c r="L49" s="1111">
        <v>0</v>
      </c>
      <c r="M49" s="1111">
        <v>0</v>
      </c>
      <c r="N49" s="1111">
        <v>0</v>
      </c>
      <c r="O49" s="1111">
        <v>0</v>
      </c>
      <c r="P49" s="1111">
        <v>0</v>
      </c>
      <c r="Q49" s="1111">
        <f t="shared" si="2"/>
        <v>250000</v>
      </c>
    </row>
    <row r="50" spans="1:19" ht="20.100000000000001" customHeight="1">
      <c r="A50" s="1075"/>
      <c r="B50" s="1072" t="s">
        <v>906</v>
      </c>
      <c r="C50" s="1111">
        <v>0</v>
      </c>
      <c r="D50" s="1111">
        <f>'[6]LBP NO. 2'!M115</f>
        <v>300000</v>
      </c>
      <c r="E50" s="1111">
        <v>0</v>
      </c>
      <c r="F50" s="1111">
        <v>0</v>
      </c>
      <c r="G50" s="1111">
        <v>0</v>
      </c>
      <c r="H50" s="1111">
        <v>0</v>
      </c>
      <c r="I50" s="1111">
        <v>0</v>
      </c>
      <c r="J50" s="1111">
        <v>0</v>
      </c>
      <c r="K50" s="1111">
        <v>0</v>
      </c>
      <c r="L50" s="1111">
        <v>0</v>
      </c>
      <c r="M50" s="1111">
        <v>0</v>
      </c>
      <c r="N50" s="1111">
        <v>0</v>
      </c>
      <c r="O50" s="1111">
        <v>0</v>
      </c>
      <c r="P50" s="1111">
        <v>0</v>
      </c>
      <c r="Q50" s="1111">
        <f t="shared" si="2"/>
        <v>300000</v>
      </c>
    </row>
    <row r="51" spans="1:19" ht="20.100000000000001" customHeight="1">
      <c r="A51" s="1075"/>
      <c r="B51" s="1072" t="s">
        <v>902</v>
      </c>
      <c r="C51" s="1076">
        <v>300000</v>
      </c>
      <c r="D51" s="1111">
        <f>'[6]LBP NO. 2'!M116</f>
        <v>300000</v>
      </c>
      <c r="E51" s="1076">
        <v>50000</v>
      </c>
      <c r="F51" s="1076">
        <f>'[6]LBP NO. 2'!M245</f>
        <v>14000</v>
      </c>
      <c r="G51" s="1076">
        <f>'[6]LBP NO. 2'!M315</f>
        <v>10000</v>
      </c>
      <c r="H51" s="1076">
        <f>'[6]LBP NO. 2'!M383</f>
        <v>35000</v>
      </c>
      <c r="I51" s="1076">
        <f>'[6]LBP NO. 2'!M454</f>
        <v>50000</v>
      </c>
      <c r="J51" s="1076">
        <f>'[6]LBP NO. 2'!M520</f>
        <v>25000</v>
      </c>
      <c r="K51" s="1076">
        <f>'[6]LBP NO. 2'!M589</f>
        <v>30000</v>
      </c>
      <c r="L51" s="1076">
        <v>50000</v>
      </c>
      <c r="M51" s="1076">
        <f>'[6]LBP NO. 2'!M726</f>
        <v>20000</v>
      </c>
      <c r="N51" s="1076">
        <v>14600</v>
      </c>
      <c r="O51" s="1076">
        <v>14641</v>
      </c>
      <c r="P51" s="1076">
        <f>'[6]LBP NO. 2'!M924</f>
        <v>20000</v>
      </c>
      <c r="Q51" s="1111">
        <f t="shared" si="2"/>
        <v>933241</v>
      </c>
    </row>
    <row r="52" spans="1:19" ht="20.100000000000001" customHeight="1">
      <c r="A52" s="1075"/>
      <c r="B52" s="1072" t="s">
        <v>931</v>
      </c>
      <c r="C52" s="1076">
        <v>0</v>
      </c>
      <c r="D52" s="1111">
        <v>300000</v>
      </c>
      <c r="E52" s="1076">
        <v>0</v>
      </c>
      <c r="F52" s="1076">
        <v>0</v>
      </c>
      <c r="G52" s="1076">
        <v>0</v>
      </c>
      <c r="H52" s="1076">
        <v>0</v>
      </c>
      <c r="I52" s="1076">
        <v>0</v>
      </c>
      <c r="J52" s="1076">
        <v>0</v>
      </c>
      <c r="K52" s="1076">
        <v>0</v>
      </c>
      <c r="L52" s="1076">
        <v>0</v>
      </c>
      <c r="M52" s="1076" t="s">
        <v>1760</v>
      </c>
      <c r="N52" s="1076">
        <v>0</v>
      </c>
      <c r="O52" s="1076">
        <v>0</v>
      </c>
      <c r="P52" s="1076">
        <v>0</v>
      </c>
      <c r="Q52" s="1111">
        <f t="shared" si="2"/>
        <v>300000</v>
      </c>
    </row>
    <row r="53" spans="1:19" ht="20.100000000000001" customHeight="1">
      <c r="A53" s="1075"/>
      <c r="B53" s="1072" t="s">
        <v>549</v>
      </c>
      <c r="C53" s="1076">
        <v>82601</v>
      </c>
      <c r="D53" s="1111">
        <v>0</v>
      </c>
      <c r="E53" s="1111">
        <v>0</v>
      </c>
      <c r="F53" s="1111">
        <v>0</v>
      </c>
      <c r="G53" s="1111">
        <v>0</v>
      </c>
      <c r="H53" s="1111">
        <v>0</v>
      </c>
      <c r="I53" s="1111">
        <v>0</v>
      </c>
      <c r="J53" s="1111">
        <v>0</v>
      </c>
      <c r="K53" s="1111">
        <v>0</v>
      </c>
      <c r="L53" s="1111">
        <v>0</v>
      </c>
      <c r="M53" s="1111">
        <v>0</v>
      </c>
      <c r="N53" s="1111">
        <v>0</v>
      </c>
      <c r="O53" s="1111">
        <v>0</v>
      </c>
      <c r="P53" s="1111">
        <v>0</v>
      </c>
      <c r="Q53" s="1111">
        <f t="shared" si="2"/>
        <v>82601</v>
      </c>
    </row>
    <row r="54" spans="1:19" ht="20.100000000000001" customHeight="1">
      <c r="A54" s="1075"/>
      <c r="B54" s="1072" t="s">
        <v>550</v>
      </c>
      <c r="C54" s="1111">
        <v>0</v>
      </c>
      <c r="D54" s="1111">
        <v>0</v>
      </c>
      <c r="E54" s="1111">
        <v>0</v>
      </c>
      <c r="F54" s="1111">
        <v>0</v>
      </c>
      <c r="G54" s="1111">
        <v>0</v>
      </c>
      <c r="H54" s="1111">
        <v>0</v>
      </c>
      <c r="I54" s="1111">
        <v>0</v>
      </c>
      <c r="J54" s="1111">
        <v>0</v>
      </c>
      <c r="K54" s="1111">
        <v>0</v>
      </c>
      <c r="L54" s="1076">
        <f>'[6]LBP NO. 2'!M660</f>
        <v>1837840</v>
      </c>
      <c r="M54" s="1076">
        <f>'[6]LBP NO. 2'!M727</f>
        <v>847932.2</v>
      </c>
      <c r="N54" s="1111">
        <v>0</v>
      </c>
      <c r="O54" s="1111">
        <v>0</v>
      </c>
      <c r="P54" s="1111">
        <v>0</v>
      </c>
      <c r="Q54" s="1111">
        <f t="shared" si="2"/>
        <v>2685772.2</v>
      </c>
    </row>
    <row r="55" spans="1:19" ht="20.100000000000001" customHeight="1">
      <c r="A55" s="1075"/>
      <c r="B55" s="1072" t="s">
        <v>1614</v>
      </c>
      <c r="C55" s="1111"/>
      <c r="D55" s="1111"/>
      <c r="E55" s="1111"/>
      <c r="F55" s="1111"/>
      <c r="G55" s="1111"/>
      <c r="H55" s="1111"/>
      <c r="I55" s="1111"/>
      <c r="J55" s="1111"/>
      <c r="K55" s="1111"/>
      <c r="L55" s="1076">
        <v>3500000</v>
      </c>
      <c r="M55" s="1076">
        <v>2000000</v>
      </c>
      <c r="N55" s="1111">
        <v>4000000</v>
      </c>
      <c r="O55" s="1111"/>
      <c r="P55" s="1111"/>
      <c r="Q55" s="1111">
        <f t="shared" si="2"/>
        <v>9500000</v>
      </c>
    </row>
    <row r="56" spans="1:19" ht="20.100000000000001" customHeight="1">
      <c r="A56" s="1075"/>
      <c r="B56" s="1072" t="s">
        <v>551</v>
      </c>
      <c r="C56" s="1111">
        <v>0</v>
      </c>
      <c r="D56" s="1111">
        <v>0</v>
      </c>
      <c r="E56" s="1111">
        <v>0</v>
      </c>
      <c r="F56" s="1111">
        <v>0</v>
      </c>
      <c r="G56" s="1111">
        <v>0</v>
      </c>
      <c r="H56" s="1111">
        <v>0</v>
      </c>
      <c r="I56" s="1111">
        <v>300000</v>
      </c>
      <c r="J56" s="1111">
        <v>0</v>
      </c>
      <c r="K56" s="1111">
        <v>0</v>
      </c>
      <c r="L56" s="1111">
        <v>0</v>
      </c>
      <c r="M56" s="1111">
        <v>0</v>
      </c>
      <c r="N56" s="1111">
        <v>0</v>
      </c>
      <c r="O56" s="1111">
        <v>0</v>
      </c>
      <c r="P56" s="1111">
        <v>0</v>
      </c>
      <c r="Q56" s="1111">
        <f t="shared" si="2"/>
        <v>300000</v>
      </c>
    </row>
    <row r="57" spans="1:19" ht="20.100000000000001" customHeight="1">
      <c r="A57" s="1075"/>
      <c r="B57" s="1079" t="s">
        <v>552</v>
      </c>
      <c r="C57" s="1076">
        <v>300000</v>
      </c>
      <c r="D57" s="1076">
        <f>'[7]LBP NO. 2'!$M$111</f>
        <v>0</v>
      </c>
      <c r="E57" s="1076">
        <f>'[6]LBP NO. 2'!M178</f>
        <v>30000</v>
      </c>
      <c r="F57" s="1076">
        <f>'[6]LBP NO. 2'!M246</f>
        <v>6000</v>
      </c>
      <c r="G57" s="1076">
        <v>0</v>
      </c>
      <c r="H57" s="1076">
        <f>'[7]LBP NO. 2'!$M$369</f>
        <v>0</v>
      </c>
      <c r="I57" s="1076">
        <f>'[6]LBP NO. 2'!M456</f>
        <v>25000</v>
      </c>
      <c r="J57" s="1076">
        <f>'[6]LBP NO. 2'!M521</f>
        <v>22000</v>
      </c>
      <c r="K57" s="1076">
        <f>'[6]LBP NO. 2'!M590</f>
        <v>10000</v>
      </c>
      <c r="L57" s="1111">
        <f>'[6]LBP NO. 2'!M661</f>
        <v>150000</v>
      </c>
      <c r="M57" s="1111">
        <f>'[6]LBP NO. 2'!M728</f>
        <v>10000</v>
      </c>
      <c r="N57" s="1076">
        <v>111500</v>
      </c>
      <c r="O57" s="1076">
        <v>75141</v>
      </c>
      <c r="P57" s="1076">
        <f>'[6]LBP NO. 2'!M925</f>
        <v>15000</v>
      </c>
      <c r="Q57" s="1111">
        <f t="shared" si="2"/>
        <v>754641</v>
      </c>
    </row>
    <row r="58" spans="1:19" ht="20.100000000000001" customHeight="1">
      <c r="A58" s="1113" t="s">
        <v>269</v>
      </c>
      <c r="B58" s="1113"/>
      <c r="C58" s="1111">
        <f t="shared" ref="C58:P58" si="3">SUM(C38:C57)</f>
        <v>3200601</v>
      </c>
      <c r="D58" s="1111">
        <f t="shared" si="3"/>
        <v>6806400</v>
      </c>
      <c r="E58" s="1111">
        <f t="shared" si="3"/>
        <v>526587</v>
      </c>
      <c r="F58" s="1111">
        <f t="shared" si="3"/>
        <v>219250</v>
      </c>
      <c r="G58" s="1111">
        <f t="shared" si="3"/>
        <v>328000</v>
      </c>
      <c r="H58" s="1111">
        <f t="shared" si="3"/>
        <v>573815</v>
      </c>
      <c r="I58" s="1111">
        <f t="shared" si="3"/>
        <v>1076000</v>
      </c>
      <c r="J58" s="1111">
        <f t="shared" si="3"/>
        <v>443500</v>
      </c>
      <c r="K58" s="1111">
        <f t="shared" si="3"/>
        <v>234000</v>
      </c>
      <c r="L58" s="1111">
        <f t="shared" si="3"/>
        <v>6003040</v>
      </c>
      <c r="M58" s="1111">
        <f t="shared" si="3"/>
        <v>3276932.2</v>
      </c>
      <c r="N58" s="1111">
        <f t="shared" si="3"/>
        <v>6181557</v>
      </c>
      <c r="O58" s="1111">
        <f t="shared" si="3"/>
        <v>1747889</v>
      </c>
      <c r="P58" s="1111">
        <f t="shared" si="3"/>
        <v>339000</v>
      </c>
      <c r="Q58" s="1111">
        <f t="shared" si="2"/>
        <v>30956571.199999999</v>
      </c>
      <c r="S58" s="1096"/>
    </row>
    <row r="59" spans="1:19" ht="20.100000000000001" customHeight="1">
      <c r="A59" s="1113" t="s">
        <v>372</v>
      </c>
      <c r="B59" s="1113"/>
      <c r="C59" s="1111">
        <v>1900000</v>
      </c>
      <c r="D59" s="1111">
        <v>0</v>
      </c>
      <c r="E59" s="1111">
        <v>0</v>
      </c>
      <c r="F59" s="1111">
        <v>0</v>
      </c>
      <c r="G59" s="1111">
        <v>0</v>
      </c>
      <c r="H59" s="1111">
        <v>0</v>
      </c>
      <c r="I59" s="1111">
        <v>0</v>
      </c>
      <c r="J59" s="1111">
        <v>0</v>
      </c>
      <c r="K59" s="1111">
        <v>0</v>
      </c>
      <c r="L59" s="1111">
        <v>0</v>
      </c>
      <c r="M59" s="1111">
        <v>0</v>
      </c>
      <c r="N59" s="1111">
        <v>0</v>
      </c>
      <c r="O59" s="1111">
        <v>0</v>
      </c>
      <c r="P59" s="1111">
        <v>0</v>
      </c>
      <c r="Q59" s="1111">
        <f t="shared" si="2"/>
        <v>1900000</v>
      </c>
    </row>
    <row r="60" spans="1:19" ht="20.100000000000001" customHeight="1">
      <c r="A60" s="1113" t="s">
        <v>1761</v>
      </c>
      <c r="B60" s="1114"/>
      <c r="C60" s="1115"/>
      <c r="D60" s="1116"/>
      <c r="E60" s="1116"/>
      <c r="F60" s="1116"/>
      <c r="G60" s="1116"/>
      <c r="H60" s="1116"/>
      <c r="I60" s="1116"/>
      <c r="J60" s="1116"/>
      <c r="K60" s="1116"/>
      <c r="L60" s="1116"/>
      <c r="M60" s="1116"/>
      <c r="N60" s="1116"/>
      <c r="O60" s="1116"/>
      <c r="P60" s="1116"/>
      <c r="Q60" s="1111"/>
    </row>
    <row r="61" spans="1:19" ht="20.100000000000001" customHeight="1">
      <c r="A61" s="1075"/>
      <c r="B61" s="1117" t="s">
        <v>555</v>
      </c>
      <c r="C61" s="1115">
        <f>'LBP NO. 2a'!K102</f>
        <v>37503890.200000003</v>
      </c>
      <c r="D61" s="1116"/>
      <c r="E61" s="1116"/>
      <c r="F61" s="1116"/>
      <c r="G61" s="1116"/>
      <c r="H61" s="1116"/>
      <c r="I61" s="1116"/>
      <c r="J61" s="1116"/>
      <c r="K61" s="1116"/>
      <c r="L61" s="1116"/>
      <c r="M61" s="1116"/>
      <c r="N61" s="1116"/>
      <c r="O61" s="1116"/>
      <c r="P61" s="1116"/>
      <c r="Q61" s="1111">
        <f t="shared" si="2"/>
        <v>37503890.200000003</v>
      </c>
    </row>
    <row r="62" spans="1:19" ht="20.100000000000001" customHeight="1">
      <c r="A62" s="1075"/>
      <c r="B62" s="1117" t="s">
        <v>411</v>
      </c>
      <c r="C62" s="1115">
        <f>'LBP NO. 2a'!K103</f>
        <v>10156472.550000001</v>
      </c>
      <c r="D62" s="1116"/>
      <c r="E62" s="1116"/>
      <c r="F62" s="1116"/>
      <c r="G62" s="1116"/>
      <c r="H62" s="1116"/>
      <c r="I62" s="1116"/>
      <c r="J62" s="1116"/>
      <c r="K62" s="1116"/>
      <c r="L62" s="1116"/>
      <c r="M62" s="1116"/>
      <c r="N62" s="1116"/>
      <c r="O62" s="1116"/>
      <c r="P62" s="1116"/>
      <c r="Q62" s="1111">
        <f t="shared" si="2"/>
        <v>10156472.550000001</v>
      </c>
    </row>
    <row r="63" spans="1:19" ht="20.100000000000001" customHeight="1">
      <c r="A63" s="1075"/>
      <c r="B63" s="1117" t="s">
        <v>556</v>
      </c>
      <c r="C63" s="1115">
        <f>'LBP NO. 2a'!K104</f>
        <v>21000</v>
      </c>
      <c r="D63" s="1116"/>
      <c r="E63" s="1116"/>
      <c r="F63" s="1116"/>
      <c r="G63" s="1116"/>
      <c r="H63" s="1116"/>
      <c r="I63" s="1116"/>
      <c r="J63" s="1116"/>
      <c r="K63" s="1116"/>
      <c r="L63" s="1116"/>
      <c r="M63" s="1116"/>
      <c r="N63" s="1116"/>
      <c r="O63" s="1116"/>
      <c r="P63" s="1116"/>
      <c r="Q63" s="1111">
        <f t="shared" si="2"/>
        <v>21000</v>
      </c>
    </row>
    <row r="64" spans="1:19" ht="20.100000000000001" customHeight="1">
      <c r="A64" s="1075"/>
      <c r="B64" s="1117" t="s">
        <v>557</v>
      </c>
      <c r="C64" s="1115">
        <f>SUM(9298050+84062151.77)-C61-C62-C63</f>
        <v>45678839.019999996</v>
      </c>
      <c r="D64" s="1116"/>
      <c r="E64" s="1116"/>
      <c r="F64" s="1116"/>
      <c r="G64" s="1116"/>
      <c r="H64" s="1116"/>
      <c r="I64" s="1116"/>
      <c r="J64" s="1116"/>
      <c r="K64" s="1116"/>
      <c r="L64" s="1116"/>
      <c r="M64" s="1116"/>
      <c r="N64" s="1116"/>
      <c r="O64" s="1116"/>
      <c r="P64" s="1116"/>
      <c r="Q64" s="1111">
        <f t="shared" si="2"/>
        <v>45678839.019999996</v>
      </c>
    </row>
    <row r="65" spans="1:18" s="1218" customFormat="1" ht="20.100000000000001" customHeight="1" thickBot="1">
      <c r="A65" s="1214"/>
      <c r="B65" s="1215" t="s">
        <v>41</v>
      </c>
      <c r="C65" s="1216">
        <f t="shared" ref="C65:Q65" si="4">SUM(C64+C63+C62+C61+C59+C58+C31)</f>
        <v>109787284.77</v>
      </c>
      <c r="D65" s="1216">
        <f t="shared" si="4"/>
        <v>26507587</v>
      </c>
      <c r="E65" s="1216">
        <f t="shared" si="4"/>
        <v>2638860</v>
      </c>
      <c r="F65" s="1216">
        <f t="shared" si="4"/>
        <v>2782511</v>
      </c>
      <c r="G65" s="1216">
        <f t="shared" si="4"/>
        <v>2610789</v>
      </c>
      <c r="H65" s="1216">
        <f t="shared" si="4"/>
        <v>4001076</v>
      </c>
      <c r="I65" s="1216">
        <f t="shared" si="4"/>
        <v>6378373</v>
      </c>
      <c r="J65" s="1216">
        <f t="shared" si="4"/>
        <v>3411361</v>
      </c>
      <c r="K65" s="1216">
        <f t="shared" si="4"/>
        <v>2521932</v>
      </c>
      <c r="L65" s="1216">
        <f t="shared" si="4"/>
        <v>10780864.800000001</v>
      </c>
      <c r="M65" s="1216">
        <f t="shared" si="4"/>
        <v>7727375.2000000002</v>
      </c>
      <c r="N65" s="1216">
        <f t="shared" si="4"/>
        <v>16779041</v>
      </c>
      <c r="O65" s="1216">
        <f t="shared" si="4"/>
        <v>5769456</v>
      </c>
      <c r="P65" s="1216">
        <f t="shared" si="4"/>
        <v>1429842</v>
      </c>
      <c r="Q65" s="1216">
        <f t="shared" si="4"/>
        <v>203126352.76999998</v>
      </c>
      <c r="R65" s="1217">
        <f>SUM(Q38:Q64)</f>
        <v>157173344.16999999</v>
      </c>
    </row>
    <row r="66" spans="1:18" ht="20.100000000000001" customHeight="1">
      <c r="A66" s="1071"/>
      <c r="B66" s="1118"/>
      <c r="C66" s="1119"/>
      <c r="D66" s="1120"/>
      <c r="E66" s="1119"/>
      <c r="F66" s="1121"/>
      <c r="G66" s="1122"/>
      <c r="H66" s="1121"/>
      <c r="I66" s="1122"/>
      <c r="J66" s="1121"/>
      <c r="K66" s="1122"/>
      <c r="L66" s="1121"/>
      <c r="M66" s="1122"/>
      <c r="N66" s="1121"/>
      <c r="O66" s="1122"/>
      <c r="P66" s="1121"/>
      <c r="Q66" s="1123"/>
    </row>
    <row r="67" spans="1:18">
      <c r="Q67" s="1096"/>
    </row>
    <row r="68" spans="1:18">
      <c r="C68" s="1213"/>
      <c r="Q68" s="1096">
        <v>203126352.76999998</v>
      </c>
    </row>
    <row r="69" spans="1:18">
      <c r="C69" s="1213"/>
      <c r="Q69" s="1096">
        <f>Q65-Q68</f>
        <v>0</v>
      </c>
    </row>
    <row r="70" spans="1:18">
      <c r="Q70" s="1096"/>
    </row>
  </sheetData>
  <mergeCells count="5">
    <mergeCell ref="A1:Q1"/>
    <mergeCell ref="A2:Q2"/>
    <mergeCell ref="A3:Q3"/>
    <mergeCell ref="A6:B6"/>
    <mergeCell ref="A35:B35"/>
  </mergeCells>
  <pageMargins left="0.75" right="0" top="1.25" bottom="0.75" header="0.3" footer="0.3"/>
  <pageSetup paperSize="14"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1"/>
  <sheetViews>
    <sheetView workbookViewId="0">
      <selection activeCell="P20" sqref="P20"/>
    </sheetView>
  </sheetViews>
  <sheetFormatPr defaultRowHeight="12.75"/>
  <cols>
    <col min="1" max="1" width="2.7109375" style="104" customWidth="1"/>
    <col min="2" max="2" width="2.140625" style="104" customWidth="1"/>
    <col min="3" max="5" width="1.7109375" style="104" customWidth="1"/>
    <col min="6" max="6" width="33.85546875" style="104" customWidth="1"/>
    <col min="7" max="7" width="4" style="1423" hidden="1" customWidth="1"/>
    <col min="8" max="8" width="12.28515625" style="104" customWidth="1"/>
    <col min="9" max="9" width="12" style="1" customWidth="1"/>
    <col min="10" max="10" width="14.7109375" style="104" customWidth="1"/>
    <col min="11" max="11" width="14.5703125" style="104" hidden="1" customWidth="1"/>
    <col min="12" max="12" width="16.28515625" style="626" hidden="1" customWidth="1"/>
    <col min="13" max="13" width="14.5703125" style="626" customWidth="1"/>
    <col min="14" max="14" width="15.5703125" style="104" customWidth="1"/>
    <col min="15" max="15" width="2.7109375" style="104" customWidth="1"/>
    <col min="16" max="16" width="15" style="104" bestFit="1" customWidth="1"/>
    <col min="17" max="16384" width="9.140625" style="104"/>
  </cols>
  <sheetData>
    <row r="1" spans="1:14" ht="18" customHeight="1">
      <c r="A1" s="1467" t="s">
        <v>861</v>
      </c>
      <c r="B1" s="1467"/>
      <c r="C1" s="1467"/>
      <c r="D1" s="1467"/>
      <c r="E1" s="1467"/>
      <c r="F1" s="1467"/>
      <c r="G1" s="1467"/>
      <c r="H1" s="1467"/>
      <c r="I1" s="1467"/>
      <c r="J1" s="1467"/>
      <c r="K1" s="1467"/>
      <c r="L1" s="1467"/>
      <c r="M1" s="1467"/>
      <c r="N1" s="1467"/>
    </row>
    <row r="2" spans="1:14" ht="18" customHeight="1">
      <c r="A2" s="1467" t="s">
        <v>174</v>
      </c>
      <c r="B2" s="1467"/>
      <c r="C2" s="1467"/>
      <c r="D2" s="1467"/>
      <c r="E2" s="1467"/>
      <c r="F2" s="1467"/>
      <c r="G2" s="1467"/>
      <c r="H2" s="1467"/>
      <c r="I2" s="1467"/>
      <c r="J2" s="1467"/>
      <c r="K2" s="1467"/>
      <c r="L2" s="1467"/>
      <c r="M2" s="1467"/>
      <c r="N2" s="1467"/>
    </row>
    <row r="3" spans="1:14" ht="18" customHeight="1">
      <c r="A3" s="1467" t="s">
        <v>1780</v>
      </c>
      <c r="B3" s="1467"/>
      <c r="C3" s="1467"/>
      <c r="D3" s="1467"/>
      <c r="E3" s="1467"/>
      <c r="F3" s="1467"/>
      <c r="G3" s="1467"/>
      <c r="H3" s="1467"/>
      <c r="I3" s="1467"/>
      <c r="J3" s="1467"/>
      <c r="K3" s="1467"/>
      <c r="L3" s="1467"/>
      <c r="M3" s="1467"/>
      <c r="N3" s="1467"/>
    </row>
    <row r="4" spans="1:14" ht="18" customHeight="1">
      <c r="A4" s="1467"/>
      <c r="B4" s="1467"/>
      <c r="C4" s="1467"/>
      <c r="D4" s="1467"/>
      <c r="E4" s="1467"/>
      <c r="F4" s="1467"/>
      <c r="G4" s="1467"/>
      <c r="H4" s="1467"/>
      <c r="I4" s="1467"/>
      <c r="J4" s="1467"/>
      <c r="K4" s="1467"/>
      <c r="L4" s="1467"/>
      <c r="M4" s="1467"/>
      <c r="N4" s="1467"/>
    </row>
    <row r="5" spans="1:14" ht="18" customHeight="1">
      <c r="A5" s="1253"/>
      <c r="B5" s="1253"/>
      <c r="C5" s="1253"/>
      <c r="D5" s="1253"/>
      <c r="E5" s="1253"/>
      <c r="F5" s="1253"/>
      <c r="G5" s="1422"/>
      <c r="H5" s="1253"/>
      <c r="I5" s="1255"/>
      <c r="J5" s="1253"/>
      <c r="K5" s="1253"/>
      <c r="L5" s="1256"/>
      <c r="M5" s="1256"/>
      <c r="N5" s="1253"/>
    </row>
    <row r="6" spans="1:14" ht="18" customHeight="1">
      <c r="A6" s="1468" t="s">
        <v>1781</v>
      </c>
      <c r="B6" s="1468"/>
      <c r="C6" s="1468"/>
      <c r="D6" s="1468"/>
      <c r="E6" s="1468"/>
      <c r="F6" s="1468"/>
      <c r="G6" s="1468"/>
      <c r="H6" s="1468"/>
      <c r="I6" s="1468"/>
      <c r="J6" s="1468"/>
      <c r="K6" s="1468"/>
      <c r="L6" s="1468"/>
      <c r="M6" s="1468"/>
      <c r="N6" s="1468"/>
    </row>
    <row r="7" spans="1:14" ht="12" customHeight="1">
      <c r="A7" s="1469" t="s">
        <v>1782</v>
      </c>
      <c r="B7" s="1469"/>
      <c r="C7" s="1469"/>
      <c r="D7" s="1469"/>
      <c r="E7" s="1469"/>
      <c r="F7" s="1469"/>
      <c r="G7" s="1469"/>
      <c r="H7" s="1469"/>
      <c r="I7" s="1469"/>
      <c r="J7" s="1469"/>
      <c r="K7" s="1469"/>
      <c r="L7" s="1469"/>
      <c r="M7" s="1469"/>
      <c r="N7" s="1469"/>
    </row>
    <row r="8" spans="1:14" ht="18" customHeight="1">
      <c r="A8" s="1253" t="s">
        <v>1810</v>
      </c>
      <c r="B8" s="1253"/>
      <c r="C8" s="1253"/>
      <c r="D8" s="1253"/>
      <c r="E8" s="1253"/>
      <c r="F8" s="1253"/>
      <c r="G8" s="1422"/>
      <c r="H8" s="1253"/>
      <c r="I8" s="1255"/>
      <c r="J8" s="1253"/>
      <c r="K8" s="1253"/>
      <c r="L8" s="1256"/>
      <c r="M8" s="1256"/>
      <c r="N8" s="1253"/>
    </row>
    <row r="9" spans="1:14" ht="18" customHeight="1">
      <c r="A9" s="1253" t="s">
        <v>1811</v>
      </c>
      <c r="B9" s="1253"/>
      <c r="C9" s="1253"/>
      <c r="D9" s="1253"/>
      <c r="E9" s="1253"/>
      <c r="F9" s="1253"/>
      <c r="G9" s="1422"/>
      <c r="H9" s="1253"/>
      <c r="I9" s="1255"/>
      <c r="J9" s="1253"/>
      <c r="K9" s="1253"/>
      <c r="L9" s="1256"/>
      <c r="M9" s="1256"/>
      <c r="N9" s="1253"/>
    </row>
    <row r="10" spans="1:14" ht="8.1" customHeight="1">
      <c r="A10" s="1257" t="s">
        <v>1812</v>
      </c>
      <c r="B10" s="1253"/>
      <c r="C10" s="1253"/>
      <c r="D10" s="1253"/>
      <c r="E10" s="1253"/>
      <c r="F10" s="1253"/>
      <c r="G10" s="1422"/>
      <c r="H10" s="1253"/>
      <c r="I10" s="1255"/>
      <c r="J10" s="1253"/>
      <c r="K10" s="1253"/>
      <c r="L10" s="1256"/>
      <c r="M10" s="1256"/>
      <c r="N10" s="1253"/>
    </row>
    <row r="11" spans="1:14" ht="18" customHeight="1">
      <c r="A11" s="1253"/>
      <c r="B11" s="1253"/>
      <c r="C11" s="1253"/>
      <c r="D11" s="1253"/>
      <c r="E11" s="1253"/>
      <c r="F11" s="1253" t="s">
        <v>1813</v>
      </c>
      <c r="G11" s="1422"/>
      <c r="H11" s="1253"/>
      <c r="I11" s="1255"/>
      <c r="J11" s="1253"/>
      <c r="K11" s="1253"/>
      <c r="L11" s="1256"/>
      <c r="M11" s="1256"/>
      <c r="N11" s="1253"/>
    </row>
    <row r="12" spans="1:14" ht="18" customHeight="1" thickBot="1">
      <c r="A12" s="1449"/>
      <c r="B12" s="1449"/>
      <c r="C12" s="1449"/>
      <c r="D12" s="1449"/>
      <c r="E12" s="1449"/>
      <c r="F12" s="1449"/>
      <c r="G12" s="1449"/>
      <c r="H12" s="1449"/>
      <c r="I12" s="1449"/>
      <c r="J12" s="1449"/>
      <c r="K12" s="1449"/>
      <c r="L12" s="1449"/>
      <c r="M12" s="1449"/>
      <c r="N12" s="1449"/>
    </row>
    <row r="13" spans="1:14" s="1" customFormat="1" ht="18" customHeight="1">
      <c r="A13" s="513"/>
      <c r="B13" s="514"/>
      <c r="C13" s="514"/>
      <c r="D13" s="514"/>
      <c r="E13" s="514"/>
      <c r="F13" s="514"/>
      <c r="G13" s="515"/>
      <c r="H13" s="516"/>
      <c r="I13" s="516"/>
      <c r="J13" s="516"/>
      <c r="K13" s="1445"/>
      <c r="L13" s="1446"/>
      <c r="M13" s="1447"/>
      <c r="N13" s="517"/>
    </row>
    <row r="14" spans="1:14" s="1" customFormat="1" ht="18" customHeight="1">
      <c r="A14" s="1450" t="s">
        <v>3</v>
      </c>
      <c r="B14" s="1451"/>
      <c r="C14" s="1451"/>
      <c r="D14" s="1451"/>
      <c r="E14" s="1451"/>
      <c r="F14" s="1451"/>
      <c r="G14" s="518"/>
      <c r="H14" s="518" t="s">
        <v>1</v>
      </c>
      <c r="I14" s="519" t="s">
        <v>2</v>
      </c>
      <c r="J14" s="518" t="s">
        <v>6</v>
      </c>
      <c r="K14" s="1452" t="s">
        <v>618</v>
      </c>
      <c r="L14" s="1451"/>
      <c r="M14" s="1453"/>
      <c r="N14" s="520" t="s">
        <v>7</v>
      </c>
    </row>
    <row r="15" spans="1:14" s="1" customFormat="1" ht="18" customHeight="1">
      <c r="A15" s="521"/>
      <c r="B15" s="509"/>
      <c r="C15" s="509"/>
      <c r="D15" s="509"/>
      <c r="E15" s="509"/>
      <c r="F15" s="509"/>
      <c r="G15" s="522"/>
      <c r="H15" s="518" t="s">
        <v>4</v>
      </c>
      <c r="I15" s="519" t="s">
        <v>5</v>
      </c>
      <c r="J15" s="523">
        <v>2021</v>
      </c>
      <c r="K15" s="518" t="s">
        <v>559</v>
      </c>
      <c r="L15" s="524" t="s">
        <v>562</v>
      </c>
      <c r="M15" s="518">
        <v>2022</v>
      </c>
      <c r="N15" s="525">
        <v>2023</v>
      </c>
    </row>
    <row r="16" spans="1:14" s="1" customFormat="1" ht="18" customHeight="1">
      <c r="A16" s="521"/>
      <c r="B16" s="509"/>
      <c r="C16" s="509"/>
      <c r="D16" s="509"/>
      <c r="E16" s="509"/>
      <c r="F16" s="509"/>
      <c r="G16" s="522"/>
      <c r="H16" s="518"/>
      <c r="I16" s="518"/>
      <c r="J16" s="518" t="s">
        <v>559</v>
      </c>
      <c r="K16" s="518">
        <v>2022</v>
      </c>
      <c r="L16" s="518">
        <v>2022</v>
      </c>
      <c r="M16" s="524" t="s">
        <v>562</v>
      </c>
      <c r="N16" s="520" t="s">
        <v>564</v>
      </c>
    </row>
    <row r="17" spans="1:14" s="1" customFormat="1" ht="18" customHeight="1" thickBot="1">
      <c r="A17" s="1454"/>
      <c r="B17" s="1455"/>
      <c r="C17" s="1455"/>
      <c r="D17" s="1455"/>
      <c r="E17" s="1455"/>
      <c r="F17" s="1455"/>
      <c r="G17" s="526"/>
      <c r="H17" s="526"/>
      <c r="I17" s="526"/>
      <c r="J17" s="526"/>
      <c r="K17" s="526"/>
      <c r="L17" s="527"/>
      <c r="M17" s="527"/>
      <c r="N17" s="528"/>
    </row>
    <row r="18" spans="1:14" ht="18" customHeight="1">
      <c r="A18" s="529" t="s">
        <v>474</v>
      </c>
      <c r="B18" s="530" t="s">
        <v>475</v>
      </c>
      <c r="C18" s="530"/>
      <c r="D18" s="530"/>
      <c r="E18" s="530"/>
      <c r="F18" s="530"/>
      <c r="G18" s="531"/>
      <c r="H18" s="532"/>
      <c r="I18" s="533"/>
      <c r="J18" s="534"/>
      <c r="K18" s="534"/>
      <c r="L18" s="535"/>
      <c r="M18" s="534"/>
      <c r="N18" s="534"/>
    </row>
    <row r="19" spans="1:14" ht="18" customHeight="1">
      <c r="A19" s="536"/>
      <c r="B19" s="537" t="s">
        <v>656</v>
      </c>
      <c r="C19" s="537"/>
      <c r="D19" s="538"/>
      <c r="E19" s="538"/>
      <c r="F19" s="538"/>
      <c r="G19" s="539"/>
      <c r="H19" s="540"/>
      <c r="I19" s="541"/>
      <c r="J19" s="564"/>
      <c r="K19" s="749"/>
      <c r="L19" s="749">
        <v>0</v>
      </c>
      <c r="M19" s="749">
        <v>18060349.82</v>
      </c>
      <c r="N19" s="543">
        <v>0</v>
      </c>
    </row>
    <row r="20" spans="1:14" ht="18" customHeight="1" thickBot="1">
      <c r="A20" s="544"/>
      <c r="B20" s="545" t="s">
        <v>791</v>
      </c>
      <c r="C20" s="545"/>
      <c r="D20" s="545"/>
      <c r="E20" s="545"/>
      <c r="F20" s="545"/>
      <c r="G20" s="546"/>
      <c r="H20" s="547"/>
      <c r="I20" s="548"/>
      <c r="J20" s="549"/>
      <c r="K20" s="550"/>
      <c r="L20" s="551"/>
      <c r="M20" s="1430"/>
      <c r="N20" s="552"/>
    </row>
    <row r="21" spans="1:14" s="7" customFormat="1" ht="18" customHeight="1" thickBot="1">
      <c r="A21" s="553"/>
      <c r="B21" s="554" t="s">
        <v>657</v>
      </c>
      <c r="C21" s="554"/>
      <c r="D21" s="554"/>
      <c r="E21" s="554"/>
      <c r="F21" s="554"/>
      <c r="G21" s="555"/>
      <c r="H21" s="556"/>
      <c r="I21" s="557"/>
      <c r="J21" s="558">
        <f>SUM(J19:J20)</f>
        <v>0</v>
      </c>
      <c r="K21" s="558">
        <f>SUM(K19:K20)</f>
        <v>0</v>
      </c>
      <c r="L21" s="558">
        <f>SUM(L19:L20)</f>
        <v>0</v>
      </c>
      <c r="M21" s="1431">
        <f>SUM(M19:M20)</f>
        <v>18060349.82</v>
      </c>
      <c r="N21" s="1431">
        <f>SUM(N19:N20)</f>
        <v>0</v>
      </c>
    </row>
    <row r="22" spans="1:14" ht="18" customHeight="1">
      <c r="A22" s="559" t="s">
        <v>476</v>
      </c>
      <c r="B22" s="560" t="s">
        <v>477</v>
      </c>
      <c r="C22" s="560"/>
      <c r="D22" s="560"/>
      <c r="E22" s="560"/>
      <c r="F22" s="560"/>
      <c r="G22" s="561"/>
      <c r="H22" s="562"/>
      <c r="I22" s="563"/>
      <c r="J22" s="564"/>
      <c r="K22" s="565"/>
      <c r="L22" s="566"/>
      <c r="M22" s="565"/>
      <c r="N22" s="565"/>
    </row>
    <row r="23" spans="1:14" ht="18" customHeight="1">
      <c r="A23" s="567"/>
      <c r="B23" s="568" t="s">
        <v>509</v>
      </c>
      <c r="C23" s="568"/>
      <c r="D23" s="568"/>
      <c r="E23" s="568"/>
      <c r="F23" s="568"/>
      <c r="G23" s="569"/>
      <c r="H23" s="540"/>
      <c r="I23" s="541"/>
      <c r="J23" s="542"/>
      <c r="K23" s="570"/>
      <c r="L23" s="571"/>
      <c r="M23" s="570"/>
      <c r="N23" s="570"/>
    </row>
    <row r="24" spans="1:14" ht="18" customHeight="1">
      <c r="A24" s="536"/>
      <c r="B24" s="538"/>
      <c r="C24" s="538" t="s">
        <v>181</v>
      </c>
      <c r="D24" s="538"/>
      <c r="E24" s="538"/>
      <c r="F24" s="538"/>
      <c r="G24" s="569"/>
      <c r="H24" s="540"/>
      <c r="I24" s="541"/>
      <c r="J24" s="542"/>
      <c r="K24" s="570"/>
      <c r="L24" s="571"/>
      <c r="M24" s="570"/>
      <c r="N24" s="570"/>
    </row>
    <row r="25" spans="1:14" ht="18" customHeight="1">
      <c r="A25" s="536"/>
      <c r="B25" s="538"/>
      <c r="C25" s="538"/>
      <c r="D25" s="538" t="s">
        <v>478</v>
      </c>
      <c r="E25" s="538"/>
      <c r="F25" s="538"/>
      <c r="G25" s="539"/>
      <c r="H25" s="540"/>
      <c r="I25" s="541"/>
      <c r="J25" s="542"/>
      <c r="K25" s="570"/>
      <c r="L25" s="571"/>
      <c r="M25" s="570"/>
      <c r="N25" s="570"/>
    </row>
    <row r="26" spans="1:14" ht="18" customHeight="1">
      <c r="A26" s="536"/>
      <c r="B26" s="538"/>
      <c r="C26" s="538"/>
      <c r="D26" s="538"/>
      <c r="E26" s="538" t="s">
        <v>42</v>
      </c>
      <c r="F26" s="538"/>
      <c r="G26" s="572" t="s">
        <v>752</v>
      </c>
      <c r="H26" s="540" t="s">
        <v>706</v>
      </c>
      <c r="I26" s="541" t="s">
        <v>727</v>
      </c>
      <c r="J26" s="542">
        <v>2045552.81</v>
      </c>
      <c r="K26" s="570">
        <f>1452464.02</f>
        <v>1452464.02</v>
      </c>
      <c r="L26" s="571">
        <f>2600000-K26</f>
        <v>1147535.98</v>
      </c>
      <c r="M26" s="570">
        <f>L26+K26</f>
        <v>2600000</v>
      </c>
      <c r="N26" s="570">
        <v>2700000</v>
      </c>
    </row>
    <row r="27" spans="1:14" ht="18" customHeight="1">
      <c r="A27" s="536"/>
      <c r="B27" s="538"/>
      <c r="C27" s="538"/>
      <c r="D27" s="538"/>
      <c r="E27" s="538" t="s">
        <v>519</v>
      </c>
      <c r="F27" s="538"/>
      <c r="G27" s="572" t="s">
        <v>753</v>
      </c>
      <c r="H27" s="540" t="s">
        <v>706</v>
      </c>
      <c r="I27" s="541" t="s">
        <v>727</v>
      </c>
      <c r="J27" s="542">
        <v>2030372.19</v>
      </c>
      <c r="K27" s="570">
        <f>911798.37</f>
        <v>911798.37</v>
      </c>
      <c r="L27" s="571">
        <f>950000-K27</f>
        <v>38201.630000000005</v>
      </c>
      <c r="M27" s="570">
        <f>L27+K27</f>
        <v>950000</v>
      </c>
      <c r="N27" s="570">
        <v>1000000</v>
      </c>
    </row>
    <row r="28" spans="1:14" ht="18" customHeight="1">
      <c r="A28" s="536"/>
      <c r="B28" s="538"/>
      <c r="C28" s="538"/>
      <c r="D28" s="538"/>
      <c r="E28" s="538" t="s">
        <v>520</v>
      </c>
      <c r="F28" s="538"/>
      <c r="G28" s="572" t="s">
        <v>740</v>
      </c>
      <c r="H28" s="540" t="s">
        <v>707</v>
      </c>
      <c r="I28" s="541" t="s">
        <v>727</v>
      </c>
      <c r="J28" s="542">
        <v>54137.52</v>
      </c>
      <c r="K28" s="570">
        <f>82518.12</f>
        <v>82518.12</v>
      </c>
      <c r="L28" s="571">
        <f>510000-K28</f>
        <v>427481.88</v>
      </c>
      <c r="M28" s="570">
        <f>L28+K28</f>
        <v>510000</v>
      </c>
      <c r="N28" s="570">
        <v>510000</v>
      </c>
    </row>
    <row r="29" spans="1:14" ht="18" customHeight="1">
      <c r="A29" s="536"/>
      <c r="B29" s="538"/>
      <c r="C29" s="538"/>
      <c r="D29" s="538" t="s">
        <v>1606</v>
      </c>
      <c r="E29" s="538"/>
      <c r="F29" s="538"/>
      <c r="G29" s="539"/>
      <c r="H29" s="540" t="s">
        <v>732</v>
      </c>
      <c r="I29" s="541" t="s">
        <v>727</v>
      </c>
      <c r="J29" s="542">
        <v>0</v>
      </c>
      <c r="K29" s="570">
        <f>6036740.03</f>
        <v>6036740.0300000003</v>
      </c>
      <c r="L29" s="571">
        <f>6500000-K29</f>
        <v>463259.96999999974</v>
      </c>
      <c r="M29" s="570">
        <f t="shared" ref="M29:M34" si="0">L29+K29</f>
        <v>6500000</v>
      </c>
      <c r="N29" s="570">
        <v>6000000</v>
      </c>
    </row>
    <row r="30" spans="1:14" ht="18" customHeight="1">
      <c r="A30" s="536"/>
      <c r="B30" s="538"/>
      <c r="C30" s="538"/>
      <c r="D30" s="538"/>
      <c r="E30" s="538" t="s">
        <v>568</v>
      </c>
      <c r="F30" s="538"/>
      <c r="G30" s="572" t="s">
        <v>754</v>
      </c>
      <c r="H30" s="540" t="s">
        <v>711</v>
      </c>
      <c r="I30" s="541" t="s">
        <v>727</v>
      </c>
      <c r="J30" s="542">
        <v>0</v>
      </c>
      <c r="K30" s="570">
        <f>134058.5</f>
        <v>134058.5</v>
      </c>
      <c r="L30" s="571">
        <f>150000-K30</f>
        <v>15941.5</v>
      </c>
      <c r="M30" s="570">
        <f t="shared" si="0"/>
        <v>150000</v>
      </c>
      <c r="N30" s="570">
        <v>80000</v>
      </c>
    </row>
    <row r="31" spans="1:14" ht="18" customHeight="1">
      <c r="A31" s="536"/>
      <c r="B31" s="538"/>
      <c r="C31" s="538"/>
      <c r="D31" s="538" t="s">
        <v>1607</v>
      </c>
      <c r="E31" s="538"/>
      <c r="F31" s="538"/>
      <c r="G31" s="539"/>
      <c r="H31" s="540"/>
      <c r="I31" s="541"/>
      <c r="J31" s="542"/>
      <c r="K31" s="570"/>
      <c r="L31" s="571"/>
      <c r="M31" s="570"/>
      <c r="N31" s="570"/>
    </row>
    <row r="32" spans="1:14" ht="18" customHeight="1">
      <c r="A32" s="536"/>
      <c r="B32" s="538"/>
      <c r="C32" s="538"/>
      <c r="D32" s="538"/>
      <c r="E32" s="538" t="s">
        <v>521</v>
      </c>
      <c r="F32" s="538"/>
      <c r="G32" s="539"/>
      <c r="H32" s="540" t="s">
        <v>709</v>
      </c>
      <c r="I32" s="541" t="s">
        <v>727</v>
      </c>
      <c r="J32" s="542">
        <v>206870.5</v>
      </c>
      <c r="K32" s="570">
        <f>299131</f>
        <v>299131</v>
      </c>
      <c r="L32" s="571">
        <f>350000-K32</f>
        <v>50869</v>
      </c>
      <c r="M32" s="570">
        <f t="shared" si="0"/>
        <v>350000</v>
      </c>
      <c r="N32" s="570">
        <v>220000</v>
      </c>
    </row>
    <row r="33" spans="1:14" ht="18" customHeight="1">
      <c r="A33" s="536"/>
      <c r="B33" s="538"/>
      <c r="C33" s="538"/>
      <c r="D33" s="538"/>
      <c r="E33" s="538" t="s">
        <v>522</v>
      </c>
      <c r="F33" s="538"/>
      <c r="G33" s="572" t="s">
        <v>755</v>
      </c>
      <c r="H33" s="540" t="s">
        <v>710</v>
      </c>
      <c r="I33" s="541" t="s">
        <v>727</v>
      </c>
      <c r="J33" s="542">
        <v>83680</v>
      </c>
      <c r="K33" s="570">
        <f>69184</f>
        <v>69184</v>
      </c>
      <c r="L33" s="571">
        <f>125000-K33</f>
        <v>55816</v>
      </c>
      <c r="M33" s="570">
        <f t="shared" si="0"/>
        <v>125000</v>
      </c>
      <c r="N33" s="570">
        <v>135000</v>
      </c>
    </row>
    <row r="34" spans="1:14" ht="18" customHeight="1">
      <c r="A34" s="536"/>
      <c r="B34" s="538"/>
      <c r="C34" s="538"/>
      <c r="D34" s="538"/>
      <c r="E34" s="538" t="s">
        <v>523</v>
      </c>
      <c r="F34" s="538"/>
      <c r="G34" s="572" t="s">
        <v>756</v>
      </c>
      <c r="H34" s="540"/>
      <c r="I34" s="541"/>
      <c r="J34" s="542">
        <v>182430</v>
      </c>
      <c r="K34" s="570">
        <f>176951</f>
        <v>176951</v>
      </c>
      <c r="L34" s="571">
        <f>280000-K34</f>
        <v>103049</v>
      </c>
      <c r="M34" s="570">
        <f t="shared" si="0"/>
        <v>280000</v>
      </c>
      <c r="N34" s="570">
        <v>300000</v>
      </c>
    </row>
    <row r="35" spans="1:14" ht="18" customHeight="1">
      <c r="A35" s="536"/>
      <c r="B35" s="538"/>
      <c r="C35" s="538"/>
      <c r="D35" s="538"/>
      <c r="E35" s="538" t="s">
        <v>524</v>
      </c>
      <c r="F35" s="538"/>
      <c r="G35" s="539"/>
      <c r="H35" s="540"/>
      <c r="I35" s="541"/>
      <c r="J35" s="542"/>
      <c r="K35" s="570"/>
      <c r="L35" s="571"/>
      <c r="M35" s="570"/>
      <c r="N35" s="570"/>
    </row>
    <row r="36" spans="1:14" ht="18" customHeight="1">
      <c r="A36" s="536"/>
      <c r="B36" s="538"/>
      <c r="C36" s="538"/>
      <c r="D36" s="538"/>
      <c r="E36" s="538"/>
      <c r="F36" s="538" t="s">
        <v>525</v>
      </c>
      <c r="G36" s="572" t="s">
        <v>757</v>
      </c>
      <c r="H36" s="540" t="s">
        <v>711</v>
      </c>
      <c r="I36" s="541" t="s">
        <v>727</v>
      </c>
      <c r="J36" s="542">
        <v>13941.3</v>
      </c>
      <c r="K36" s="570">
        <v>0</v>
      </c>
      <c r="L36" s="571">
        <f>30000-K36</f>
        <v>30000</v>
      </c>
      <c r="M36" s="570">
        <f>L36+K36</f>
        <v>30000</v>
      </c>
      <c r="N36" s="570">
        <v>30000</v>
      </c>
    </row>
    <row r="37" spans="1:14" ht="18" customHeight="1" thickBot="1">
      <c r="A37" s="544"/>
      <c r="B37" s="545"/>
      <c r="C37" s="545"/>
      <c r="D37" s="545"/>
      <c r="E37" s="545" t="s">
        <v>526</v>
      </c>
      <c r="F37" s="545"/>
      <c r="G37" s="573" t="s">
        <v>758</v>
      </c>
      <c r="H37" s="547" t="s">
        <v>712</v>
      </c>
      <c r="I37" s="548" t="s">
        <v>727</v>
      </c>
      <c r="J37" s="574">
        <v>621979.1</v>
      </c>
      <c r="K37" s="575">
        <f>554985.67</f>
        <v>554985.67000000004</v>
      </c>
      <c r="L37" s="576">
        <f>640000-K37</f>
        <v>85014.329999999958</v>
      </c>
      <c r="M37" s="575">
        <f>L37+K37</f>
        <v>640000</v>
      </c>
      <c r="N37" s="575">
        <v>700000</v>
      </c>
    </row>
    <row r="38" spans="1:14" s="7" customFormat="1" ht="18" customHeight="1" thickBot="1">
      <c r="A38" s="587"/>
      <c r="B38" s="554"/>
      <c r="C38" s="554" t="s">
        <v>479</v>
      </c>
      <c r="D38" s="554"/>
      <c r="E38" s="554"/>
      <c r="F38" s="554"/>
      <c r="G38" s="555"/>
      <c r="H38" s="556"/>
      <c r="I38" s="557"/>
      <c r="J38" s="577">
        <f>SUM(J26:J37)</f>
        <v>5238963.419999999</v>
      </c>
      <c r="K38" s="577">
        <f>SUM(K26:K37)</f>
        <v>9717830.7100000009</v>
      </c>
      <c r="L38" s="578">
        <f>SUM(L26:L37)</f>
        <v>2417169.2899999996</v>
      </c>
      <c r="M38" s="577">
        <f>SUM(M26:M37)</f>
        <v>12135000</v>
      </c>
      <c r="N38" s="588">
        <f>SUM(N26:N37)</f>
        <v>11675000</v>
      </c>
    </row>
    <row r="39" spans="1:14" ht="18" customHeight="1">
      <c r="A39" s="579"/>
      <c r="B39" s="580"/>
      <c r="C39" s="580" t="s">
        <v>182</v>
      </c>
      <c r="D39" s="580"/>
      <c r="E39" s="580"/>
      <c r="F39" s="580"/>
      <c r="G39" s="581"/>
      <c r="H39" s="562"/>
      <c r="I39" s="563"/>
      <c r="J39" s="564"/>
      <c r="K39" s="565"/>
      <c r="L39" s="566"/>
      <c r="M39" s="565"/>
      <c r="N39" s="565"/>
    </row>
    <row r="40" spans="1:14" ht="18" customHeight="1">
      <c r="A40" s="536"/>
      <c r="B40" s="538"/>
      <c r="C40" s="538"/>
      <c r="D40" s="538" t="s">
        <v>480</v>
      </c>
      <c r="E40" s="538"/>
      <c r="F40" s="538"/>
      <c r="G40" s="539"/>
      <c r="H40" s="540"/>
      <c r="I40" s="541"/>
      <c r="J40" s="542"/>
      <c r="K40" s="570"/>
      <c r="L40" s="571"/>
      <c r="M40" s="570"/>
      <c r="N40" s="570"/>
    </row>
    <row r="41" spans="1:14" ht="18" customHeight="1">
      <c r="A41" s="536"/>
      <c r="B41" s="538"/>
      <c r="C41" s="538"/>
      <c r="D41" s="538"/>
      <c r="E41" s="538" t="s">
        <v>481</v>
      </c>
      <c r="F41" s="538"/>
      <c r="G41" s="539"/>
      <c r="H41" s="540"/>
      <c r="I41" s="541"/>
      <c r="J41" s="542"/>
      <c r="K41" s="570"/>
      <c r="L41" s="571"/>
      <c r="M41" s="570"/>
      <c r="N41" s="570"/>
    </row>
    <row r="42" spans="1:14" ht="18" customHeight="1">
      <c r="A42" s="536"/>
      <c r="B42" s="538"/>
      <c r="C42" s="538"/>
      <c r="D42" s="538"/>
      <c r="E42" s="538"/>
      <c r="F42" s="538" t="s">
        <v>482</v>
      </c>
      <c r="G42" s="572" t="s">
        <v>759</v>
      </c>
      <c r="H42" s="540" t="s">
        <v>713</v>
      </c>
      <c r="I42" s="541" t="s">
        <v>727</v>
      </c>
      <c r="J42" s="542">
        <v>439440</v>
      </c>
      <c r="K42" s="570">
        <f>305101</f>
        <v>305101</v>
      </c>
      <c r="L42" s="571">
        <f>450000-K42</f>
        <v>144899</v>
      </c>
      <c r="M42" s="570">
        <f>L42+K42</f>
        <v>450000</v>
      </c>
      <c r="N42" s="570">
        <v>495000</v>
      </c>
    </row>
    <row r="43" spans="1:14" ht="18" customHeight="1">
      <c r="A43" s="536"/>
      <c r="B43" s="538"/>
      <c r="C43" s="538"/>
      <c r="D43" s="538"/>
      <c r="E43" s="538"/>
      <c r="F43" s="538" t="s">
        <v>483</v>
      </c>
      <c r="G43" s="572" t="s">
        <v>760</v>
      </c>
      <c r="H43" s="540" t="s">
        <v>713</v>
      </c>
      <c r="I43" s="541" t="s">
        <v>727</v>
      </c>
      <c r="J43" s="542">
        <v>14900</v>
      </c>
      <c r="K43" s="570">
        <f>10320</f>
        <v>10320</v>
      </c>
      <c r="L43" s="571">
        <f>25000-K43</f>
        <v>14680</v>
      </c>
      <c r="M43" s="570">
        <f>L43+K43</f>
        <v>25000</v>
      </c>
      <c r="N43" s="570">
        <v>25000</v>
      </c>
    </row>
    <row r="44" spans="1:14" ht="18" customHeight="1">
      <c r="A44" s="536"/>
      <c r="B44" s="538"/>
      <c r="C44" s="538"/>
      <c r="D44" s="538"/>
      <c r="E44" s="538"/>
      <c r="F44" s="538" t="s">
        <v>484</v>
      </c>
      <c r="G44" s="572" t="s">
        <v>761</v>
      </c>
      <c r="H44" s="540" t="s">
        <v>713</v>
      </c>
      <c r="I44" s="541" t="s">
        <v>727</v>
      </c>
      <c r="J44" s="542">
        <v>21890</v>
      </c>
      <c r="K44" s="570">
        <f>5745</f>
        <v>5745</v>
      </c>
      <c r="L44" s="571">
        <f>20000-K44</f>
        <v>14255</v>
      </c>
      <c r="M44" s="570">
        <f>L44+K44</f>
        <v>20000</v>
      </c>
      <c r="N44" s="570">
        <v>20000</v>
      </c>
    </row>
    <row r="45" spans="1:14" ht="18" customHeight="1">
      <c r="A45" s="536"/>
      <c r="B45" s="538"/>
      <c r="C45" s="538"/>
      <c r="D45" s="538"/>
      <c r="E45" s="538" t="s">
        <v>485</v>
      </c>
      <c r="F45" s="538"/>
      <c r="G45" s="572" t="s">
        <v>741</v>
      </c>
      <c r="H45" s="540" t="s">
        <v>714</v>
      </c>
      <c r="I45" s="541" t="s">
        <v>727</v>
      </c>
      <c r="J45" s="542">
        <v>89121</v>
      </c>
      <c r="K45" s="570">
        <f>46727</f>
        <v>46727</v>
      </c>
      <c r="L45" s="571">
        <f>100000-K45</f>
        <v>53273</v>
      </c>
      <c r="M45" s="570">
        <f>L45+K45</f>
        <v>100000</v>
      </c>
      <c r="N45" s="570">
        <v>110000</v>
      </c>
    </row>
    <row r="46" spans="1:14" ht="18" customHeight="1">
      <c r="A46" s="536"/>
      <c r="B46" s="538"/>
      <c r="C46" s="538"/>
      <c r="D46" s="538"/>
      <c r="E46" s="538" t="s">
        <v>486</v>
      </c>
      <c r="F46" s="538"/>
      <c r="G46" s="539"/>
      <c r="H46" s="540"/>
      <c r="I46" s="541"/>
      <c r="J46" s="542"/>
      <c r="K46" s="570"/>
      <c r="L46" s="571"/>
      <c r="M46" s="570"/>
      <c r="N46" s="570"/>
    </row>
    <row r="47" spans="1:14" ht="18" customHeight="1">
      <c r="A47" s="536"/>
      <c r="B47" s="538"/>
      <c r="C47" s="538"/>
      <c r="D47" s="538"/>
      <c r="E47" s="538"/>
      <c r="F47" s="538" t="s">
        <v>487</v>
      </c>
      <c r="G47" s="572" t="s">
        <v>762</v>
      </c>
      <c r="H47" s="540" t="s">
        <v>715</v>
      </c>
      <c r="I47" s="541" t="s">
        <v>727</v>
      </c>
      <c r="J47" s="542">
        <v>127200</v>
      </c>
      <c r="K47" s="570">
        <f>75854</f>
        <v>75854</v>
      </c>
      <c r="L47" s="571">
        <f>125000-K47</f>
        <v>49146</v>
      </c>
      <c r="M47" s="570">
        <f>L47+K47</f>
        <v>125000</v>
      </c>
      <c r="N47" s="570">
        <v>150000</v>
      </c>
    </row>
    <row r="48" spans="1:14" ht="18" customHeight="1">
      <c r="A48" s="536"/>
      <c r="B48" s="538"/>
      <c r="C48" s="538"/>
      <c r="D48" s="538"/>
      <c r="E48" s="538"/>
      <c r="F48" s="538" t="s">
        <v>488</v>
      </c>
      <c r="G48" s="572" t="s">
        <v>763</v>
      </c>
      <c r="H48" s="540" t="s">
        <v>715</v>
      </c>
      <c r="I48" s="541" t="s">
        <v>727</v>
      </c>
      <c r="J48" s="542">
        <v>202425</v>
      </c>
      <c r="K48" s="570">
        <f>113956</f>
        <v>113956</v>
      </c>
      <c r="L48" s="571">
        <f>300000-K48</f>
        <v>186044</v>
      </c>
      <c r="M48" s="570">
        <f>L48+K48</f>
        <v>300000</v>
      </c>
      <c r="N48" s="570">
        <v>300000</v>
      </c>
    </row>
    <row r="49" spans="1:16" ht="18" customHeight="1">
      <c r="A49" s="536"/>
      <c r="B49" s="538"/>
      <c r="C49" s="538"/>
      <c r="D49" s="538"/>
      <c r="E49" s="538"/>
      <c r="F49" s="538" t="s">
        <v>489</v>
      </c>
      <c r="G49" s="572" t="s">
        <v>764</v>
      </c>
      <c r="H49" s="540" t="s">
        <v>715</v>
      </c>
      <c r="I49" s="541" t="s">
        <v>727</v>
      </c>
      <c r="J49" s="542">
        <v>444603</v>
      </c>
      <c r="K49" s="570">
        <f>241280</f>
        <v>241280</v>
      </c>
      <c r="L49" s="571">
        <f>250000-K49</f>
        <v>8720</v>
      </c>
      <c r="M49" s="570">
        <f>L49+K49</f>
        <v>250000</v>
      </c>
      <c r="N49" s="570">
        <v>275000</v>
      </c>
    </row>
    <row r="50" spans="1:16" ht="18" customHeight="1">
      <c r="A50" s="536"/>
      <c r="B50" s="538"/>
      <c r="C50" s="538"/>
      <c r="D50" s="538"/>
      <c r="E50" s="538" t="s">
        <v>490</v>
      </c>
      <c r="F50" s="538"/>
      <c r="G50" s="539"/>
      <c r="H50" s="540"/>
      <c r="I50" s="541"/>
      <c r="J50" s="542"/>
      <c r="K50" s="570"/>
      <c r="L50" s="571"/>
      <c r="M50" s="570"/>
      <c r="N50" s="570"/>
    </row>
    <row r="51" spans="1:16" ht="18" customHeight="1">
      <c r="A51" s="536"/>
      <c r="B51" s="538"/>
      <c r="C51" s="538"/>
      <c r="D51" s="538"/>
      <c r="E51" s="538"/>
      <c r="F51" s="538" t="s">
        <v>491</v>
      </c>
      <c r="G51" s="572" t="s">
        <v>765</v>
      </c>
      <c r="H51" s="540" t="s">
        <v>716</v>
      </c>
      <c r="I51" s="541" t="s">
        <v>727</v>
      </c>
      <c r="J51" s="542">
        <v>277118</v>
      </c>
      <c r="K51" s="570">
        <f>243954</f>
        <v>243954</v>
      </c>
      <c r="L51" s="571">
        <f>320000-K51</f>
        <v>76046</v>
      </c>
      <c r="M51" s="570">
        <f>L51+K51</f>
        <v>320000</v>
      </c>
      <c r="N51" s="570">
        <v>350000</v>
      </c>
    </row>
    <row r="52" spans="1:16" ht="18" customHeight="1">
      <c r="A52" s="536"/>
      <c r="B52" s="538"/>
      <c r="C52" s="538"/>
      <c r="D52" s="538"/>
      <c r="E52" s="538"/>
      <c r="F52" s="538" t="s">
        <v>492</v>
      </c>
      <c r="G52" s="572" t="s">
        <v>766</v>
      </c>
      <c r="H52" s="540" t="s">
        <v>716</v>
      </c>
      <c r="I52" s="541" t="s">
        <v>727</v>
      </c>
      <c r="J52" s="542">
        <v>559568.98</v>
      </c>
      <c r="K52" s="570">
        <f>272861.21</f>
        <v>272861.21000000002</v>
      </c>
      <c r="L52" s="571">
        <f>300000-K52</f>
        <v>27138.789999999979</v>
      </c>
      <c r="M52" s="570">
        <f>L52+K52</f>
        <v>300000</v>
      </c>
      <c r="N52" s="570">
        <v>330000</v>
      </c>
    </row>
    <row r="53" spans="1:16" ht="18" customHeight="1">
      <c r="A53" s="536"/>
      <c r="B53" s="538"/>
      <c r="C53" s="538"/>
      <c r="D53" s="538"/>
      <c r="E53" s="538"/>
      <c r="F53" s="538" t="s">
        <v>493</v>
      </c>
      <c r="G53" s="572" t="s">
        <v>767</v>
      </c>
      <c r="H53" s="540" t="s">
        <v>716</v>
      </c>
      <c r="I53" s="541" t="s">
        <v>727</v>
      </c>
      <c r="J53" s="542">
        <v>85300</v>
      </c>
      <c r="K53" s="570">
        <v>0</v>
      </c>
      <c r="L53" s="570">
        <v>0</v>
      </c>
      <c r="M53" s="570">
        <f>L53+K53</f>
        <v>0</v>
      </c>
      <c r="N53" s="570">
        <v>0</v>
      </c>
    </row>
    <row r="54" spans="1:16" ht="18" customHeight="1">
      <c r="A54" s="536"/>
      <c r="B54" s="538"/>
      <c r="C54" s="538"/>
      <c r="D54" s="538"/>
      <c r="E54" s="538"/>
      <c r="F54" s="538" t="s">
        <v>494</v>
      </c>
      <c r="G54" s="572" t="s">
        <v>768</v>
      </c>
      <c r="H54" s="540" t="s">
        <v>716</v>
      </c>
      <c r="I54" s="541" t="s">
        <v>727</v>
      </c>
      <c r="J54" s="542">
        <v>88824</v>
      </c>
      <c r="K54" s="570">
        <f>51031</f>
        <v>51031</v>
      </c>
      <c r="L54" s="571">
        <f>70000-K54</f>
        <v>18969</v>
      </c>
      <c r="M54" s="570">
        <f>L54+K54</f>
        <v>70000</v>
      </c>
      <c r="N54" s="570">
        <v>80000</v>
      </c>
    </row>
    <row r="55" spans="1:16" ht="18" customHeight="1">
      <c r="A55" s="536"/>
      <c r="B55" s="538"/>
      <c r="C55" s="538"/>
      <c r="D55" s="538"/>
      <c r="E55" s="538" t="s">
        <v>495</v>
      </c>
      <c r="F55" s="538"/>
      <c r="G55" s="572" t="s">
        <v>769</v>
      </c>
      <c r="H55" s="540" t="s">
        <v>717</v>
      </c>
      <c r="I55" s="541" t="s">
        <v>727</v>
      </c>
      <c r="J55" s="542">
        <v>212671</v>
      </c>
      <c r="K55" s="570">
        <f>242805</f>
        <v>242805</v>
      </c>
      <c r="L55" s="571">
        <f>250000-K55</f>
        <v>7195</v>
      </c>
      <c r="M55" s="570">
        <f>L55+K55</f>
        <v>250000</v>
      </c>
      <c r="N55" s="570">
        <v>270000</v>
      </c>
      <c r="P55" s="582"/>
    </row>
    <row r="56" spans="1:16" ht="18" customHeight="1">
      <c r="A56" s="536"/>
      <c r="B56" s="538"/>
      <c r="C56" s="538"/>
      <c r="D56" s="538"/>
      <c r="E56" s="538" t="s">
        <v>496</v>
      </c>
      <c r="F56" s="538"/>
      <c r="G56" s="539"/>
      <c r="H56" s="540"/>
      <c r="I56" s="541"/>
      <c r="J56" s="542"/>
      <c r="K56" s="570"/>
      <c r="L56" s="571"/>
      <c r="M56" s="570"/>
      <c r="N56" s="570"/>
      <c r="P56" s="583"/>
    </row>
    <row r="57" spans="1:16" ht="18" customHeight="1">
      <c r="A57" s="536"/>
      <c r="B57" s="538"/>
      <c r="C57" s="538"/>
      <c r="D57" s="538"/>
      <c r="E57" s="538"/>
      <c r="F57" s="538" t="s">
        <v>497</v>
      </c>
      <c r="G57" s="572" t="s">
        <v>770</v>
      </c>
      <c r="H57" s="540" t="s">
        <v>718</v>
      </c>
      <c r="I57" s="541" t="s">
        <v>727</v>
      </c>
      <c r="J57" s="542">
        <v>32100</v>
      </c>
      <c r="K57" s="570">
        <f>27696</f>
        <v>27696</v>
      </c>
      <c r="L57" s="571">
        <f>55000-K57</f>
        <v>27304</v>
      </c>
      <c r="M57" s="570">
        <f>L57+K57</f>
        <v>55000</v>
      </c>
      <c r="N57" s="570">
        <v>60000</v>
      </c>
      <c r="P57" s="583"/>
    </row>
    <row r="58" spans="1:16" ht="18" customHeight="1">
      <c r="A58" s="536"/>
      <c r="B58" s="538"/>
      <c r="C58" s="538"/>
      <c r="D58" s="538"/>
      <c r="E58" s="538"/>
      <c r="F58" s="538" t="s">
        <v>498</v>
      </c>
      <c r="G58" s="572" t="s">
        <v>771</v>
      </c>
      <c r="H58" s="540" t="s">
        <v>719</v>
      </c>
      <c r="I58" s="541" t="s">
        <v>727</v>
      </c>
      <c r="J58" s="542">
        <v>297000</v>
      </c>
      <c r="K58" s="570">
        <v>0</v>
      </c>
      <c r="L58" s="570">
        <v>0</v>
      </c>
      <c r="M58" s="570">
        <f>L58+K58</f>
        <v>0</v>
      </c>
      <c r="N58" s="570">
        <v>0</v>
      </c>
    </row>
    <row r="59" spans="1:16" ht="18" customHeight="1">
      <c r="A59" s="536"/>
      <c r="B59" s="538"/>
      <c r="C59" s="538"/>
      <c r="D59" s="538"/>
      <c r="E59" s="538"/>
      <c r="F59" s="538" t="s">
        <v>499</v>
      </c>
      <c r="G59" s="572" t="s">
        <v>772</v>
      </c>
      <c r="H59" s="540" t="s">
        <v>719</v>
      </c>
      <c r="I59" s="541" t="s">
        <v>727</v>
      </c>
      <c r="J59" s="542">
        <v>52500</v>
      </c>
      <c r="K59" s="570">
        <v>0</v>
      </c>
      <c r="L59" s="570">
        <v>0</v>
      </c>
      <c r="M59" s="570">
        <f>L59+K59</f>
        <v>0</v>
      </c>
      <c r="N59" s="570">
        <v>0</v>
      </c>
    </row>
    <row r="60" spans="1:16" ht="18" customHeight="1">
      <c r="A60" s="536"/>
      <c r="B60" s="538"/>
      <c r="C60" s="538"/>
      <c r="D60" s="538" t="s">
        <v>500</v>
      </c>
      <c r="E60" s="538"/>
      <c r="F60" s="538"/>
      <c r="G60" s="539"/>
      <c r="H60" s="540"/>
      <c r="I60" s="541"/>
      <c r="J60" s="542"/>
      <c r="K60" s="570"/>
      <c r="L60" s="571"/>
      <c r="M60" s="570"/>
      <c r="N60" s="570"/>
    </row>
    <row r="61" spans="1:16" ht="18" customHeight="1">
      <c r="A61" s="536"/>
      <c r="B61" s="538"/>
      <c r="C61" s="538"/>
      <c r="D61" s="538"/>
      <c r="E61" s="538" t="s">
        <v>501</v>
      </c>
      <c r="F61" s="538"/>
      <c r="G61" s="539"/>
      <c r="H61" s="540"/>
      <c r="I61" s="541"/>
      <c r="J61" s="542"/>
      <c r="K61" s="570"/>
      <c r="L61" s="571"/>
      <c r="M61" s="570"/>
      <c r="N61" s="570"/>
    </row>
    <row r="62" spans="1:16" ht="18" customHeight="1">
      <c r="A62" s="536"/>
      <c r="B62" s="538"/>
      <c r="C62" s="538"/>
      <c r="D62" s="538"/>
      <c r="E62" s="538"/>
      <c r="F62" s="538" t="s">
        <v>502</v>
      </c>
      <c r="G62" s="572" t="s">
        <v>773</v>
      </c>
      <c r="H62" s="540" t="s">
        <v>720</v>
      </c>
      <c r="I62" s="541" t="s">
        <v>727</v>
      </c>
      <c r="J62" s="542">
        <v>117989.36</v>
      </c>
      <c r="K62" s="570">
        <f>71956</f>
        <v>71956</v>
      </c>
      <c r="L62" s="571">
        <f>100000-K62</f>
        <v>28044</v>
      </c>
      <c r="M62" s="570">
        <f t="shared" ref="M62:M68" si="1">L62+K62</f>
        <v>100000</v>
      </c>
      <c r="N62" s="570">
        <v>110000</v>
      </c>
    </row>
    <row r="63" spans="1:16" ht="18" customHeight="1">
      <c r="A63" s="536"/>
      <c r="B63" s="538"/>
      <c r="C63" s="538"/>
      <c r="D63" s="538"/>
      <c r="E63" s="538" t="s">
        <v>503</v>
      </c>
      <c r="F63" s="538"/>
      <c r="G63" s="572" t="s">
        <v>774</v>
      </c>
      <c r="H63" s="540" t="s">
        <v>721</v>
      </c>
      <c r="I63" s="541" t="s">
        <v>727</v>
      </c>
      <c r="J63" s="542">
        <v>76490</v>
      </c>
      <c r="K63" s="570">
        <f>75749</f>
        <v>75749</v>
      </c>
      <c r="L63" s="571">
        <f>160000-K63</f>
        <v>84251</v>
      </c>
      <c r="M63" s="570">
        <f t="shared" si="1"/>
        <v>160000</v>
      </c>
      <c r="N63" s="570">
        <v>160000</v>
      </c>
    </row>
    <row r="64" spans="1:16" ht="18" customHeight="1">
      <c r="A64" s="536"/>
      <c r="B64" s="538"/>
      <c r="C64" s="538"/>
      <c r="D64" s="538"/>
      <c r="E64" s="538" t="s">
        <v>504</v>
      </c>
      <c r="F64" s="538"/>
      <c r="G64" s="572" t="s">
        <v>744</v>
      </c>
      <c r="H64" s="540" t="s">
        <v>722</v>
      </c>
      <c r="I64" s="541" t="s">
        <v>727</v>
      </c>
      <c r="J64" s="542">
        <v>877765</v>
      </c>
      <c r="K64" s="570">
        <f>384023.2</f>
        <v>384023.2</v>
      </c>
      <c r="L64" s="571">
        <f>420000-K64</f>
        <v>35976.799999999988</v>
      </c>
      <c r="M64" s="570">
        <f t="shared" si="1"/>
        <v>420000</v>
      </c>
      <c r="N64" s="570">
        <v>330000</v>
      </c>
    </row>
    <row r="65" spans="1:14" ht="18" customHeight="1">
      <c r="A65" s="536"/>
      <c r="B65" s="538"/>
      <c r="C65" s="538"/>
      <c r="D65" s="538"/>
      <c r="E65" s="538" t="s">
        <v>505</v>
      </c>
      <c r="F65" s="538"/>
      <c r="G65" s="572" t="s">
        <v>775</v>
      </c>
      <c r="H65" s="540" t="s">
        <v>723</v>
      </c>
      <c r="I65" s="541" t="s">
        <v>727</v>
      </c>
      <c r="J65" s="542">
        <v>221124.28</v>
      </c>
      <c r="K65" s="570">
        <f>27118.8</f>
        <v>27118.799999999999</v>
      </c>
      <c r="L65" s="571">
        <f>150000-K65</f>
        <v>122881.2</v>
      </c>
      <c r="M65" s="570">
        <f t="shared" si="1"/>
        <v>150000</v>
      </c>
      <c r="N65" s="570">
        <v>150000</v>
      </c>
    </row>
    <row r="66" spans="1:14" ht="18" customHeight="1">
      <c r="A66" s="536"/>
      <c r="B66" s="538"/>
      <c r="C66" s="538"/>
      <c r="D66" s="538"/>
      <c r="E66" s="538" t="s">
        <v>506</v>
      </c>
      <c r="F66" s="538"/>
      <c r="G66" s="572" t="s">
        <v>770</v>
      </c>
      <c r="H66" s="540" t="s">
        <v>718</v>
      </c>
      <c r="I66" s="541" t="s">
        <v>727</v>
      </c>
      <c r="J66" s="542">
        <v>554913</v>
      </c>
      <c r="K66" s="570">
        <f>328094.76</f>
        <v>328094.76</v>
      </c>
      <c r="L66" s="571">
        <f>500000-K66</f>
        <v>171905.24</v>
      </c>
      <c r="M66" s="570">
        <f t="shared" si="1"/>
        <v>500000</v>
      </c>
      <c r="N66" s="570">
        <v>600000</v>
      </c>
    </row>
    <row r="67" spans="1:14" ht="18" customHeight="1" thickBot="1">
      <c r="A67" s="536"/>
      <c r="B67" s="538"/>
      <c r="C67" s="538"/>
      <c r="D67" s="538"/>
      <c r="E67" s="538" t="s">
        <v>507</v>
      </c>
      <c r="F67" s="538"/>
      <c r="G67" s="584" t="s">
        <v>740</v>
      </c>
      <c r="H67" s="540" t="s">
        <v>708</v>
      </c>
      <c r="I67" s="541" t="s">
        <v>727</v>
      </c>
      <c r="J67" s="542">
        <v>125530</v>
      </c>
      <c r="K67" s="570">
        <f>130191.5</f>
        <v>130191.5</v>
      </c>
      <c r="L67" s="571">
        <f>150000-K67</f>
        <v>19808.5</v>
      </c>
      <c r="M67" s="570">
        <f t="shared" si="1"/>
        <v>150000</v>
      </c>
      <c r="N67" s="570">
        <v>120000</v>
      </c>
    </row>
    <row r="68" spans="1:14" ht="18" hidden="1" customHeight="1" thickBot="1">
      <c r="A68" s="544"/>
      <c r="B68" s="545"/>
      <c r="C68" s="545"/>
      <c r="D68" s="545"/>
      <c r="E68" s="545" t="s">
        <v>581</v>
      </c>
      <c r="F68" s="545"/>
      <c r="G68" s="573" t="s">
        <v>776</v>
      </c>
      <c r="H68" s="547" t="s">
        <v>724</v>
      </c>
      <c r="I68" s="548" t="s">
        <v>727</v>
      </c>
      <c r="J68" s="574">
        <v>0</v>
      </c>
      <c r="K68" s="575">
        <v>0</v>
      </c>
      <c r="L68" s="575">
        <v>0</v>
      </c>
      <c r="M68" s="575">
        <f t="shared" si="1"/>
        <v>0</v>
      </c>
      <c r="N68" s="575">
        <v>0</v>
      </c>
    </row>
    <row r="69" spans="1:14" s="7" customFormat="1" ht="18" customHeight="1" thickBot="1">
      <c r="A69" s="585"/>
      <c r="B69" s="554"/>
      <c r="C69" s="554" t="s">
        <v>8</v>
      </c>
      <c r="D69" s="554"/>
      <c r="E69" s="554"/>
      <c r="F69" s="554"/>
      <c r="G69" s="555"/>
      <c r="H69" s="556"/>
      <c r="I69" s="557"/>
      <c r="J69" s="577">
        <f>SUM(J40:J68)</f>
        <v>4918472.62</v>
      </c>
      <c r="K69" s="577">
        <f>SUM(K40:K68)</f>
        <v>2654463.4699999997</v>
      </c>
      <c r="L69" s="578">
        <f>SUM(L40:L68)</f>
        <v>1090536.53</v>
      </c>
      <c r="M69" s="577">
        <f>SUM(M40:M68)</f>
        <v>3745000</v>
      </c>
      <c r="N69" s="577">
        <f>SUM(N40:N68)</f>
        <v>3935000</v>
      </c>
    </row>
    <row r="70" spans="1:14" ht="18" customHeight="1">
      <c r="A70" s="579"/>
      <c r="B70" s="580" t="s">
        <v>508</v>
      </c>
      <c r="C70" s="580"/>
      <c r="D70" s="580"/>
      <c r="E70" s="580"/>
      <c r="F70" s="580"/>
      <c r="G70" s="581"/>
      <c r="H70" s="562"/>
      <c r="I70" s="563"/>
      <c r="J70" s="564">
        <f>SUM(J69+J38)</f>
        <v>10157436.039999999</v>
      </c>
      <c r="K70" s="564">
        <f>SUM(K69+K38)</f>
        <v>12372294.18</v>
      </c>
      <c r="L70" s="586">
        <f>SUM(L69+L38)</f>
        <v>3507705.8199999994</v>
      </c>
      <c r="M70" s="564">
        <f>SUM(M69+M38)</f>
        <v>15880000</v>
      </c>
      <c r="N70" s="564">
        <f>SUM(N69+N38)</f>
        <v>15610000</v>
      </c>
    </row>
    <row r="71" spans="1:14" ht="18" customHeight="1">
      <c r="A71" s="536"/>
      <c r="B71" s="568" t="s">
        <v>510</v>
      </c>
      <c r="C71" s="538"/>
      <c r="D71" s="538"/>
      <c r="E71" s="538"/>
      <c r="F71" s="538"/>
      <c r="G71" s="539"/>
      <c r="H71" s="540"/>
      <c r="I71" s="541"/>
      <c r="J71" s="542"/>
      <c r="K71" s="570"/>
      <c r="L71" s="571"/>
      <c r="M71" s="570"/>
      <c r="N71" s="570"/>
    </row>
    <row r="72" spans="1:14" ht="18" customHeight="1">
      <c r="A72" s="536"/>
      <c r="B72" s="538"/>
      <c r="C72" s="538" t="s">
        <v>1734</v>
      </c>
      <c r="D72" s="538"/>
      <c r="E72" s="538"/>
      <c r="F72" s="538"/>
      <c r="G72" s="572" t="s">
        <v>777</v>
      </c>
      <c r="H72" s="540" t="s">
        <v>725</v>
      </c>
      <c r="I72" s="541" t="s">
        <v>727</v>
      </c>
      <c r="J72" s="542">
        <v>166164696</v>
      </c>
      <c r="K72" s="570">
        <f>109621908</f>
        <v>109621908</v>
      </c>
      <c r="L72" s="571">
        <f>219243814-K72</f>
        <v>109621906</v>
      </c>
      <c r="M72" s="570">
        <f>L72+K72</f>
        <v>219243814</v>
      </c>
      <c r="N72" s="570">
        <v>187519451</v>
      </c>
    </row>
    <row r="73" spans="1:14" ht="18" customHeight="1" thickBot="1">
      <c r="A73" s="544"/>
      <c r="B73" s="545"/>
      <c r="C73" s="545" t="s">
        <v>511</v>
      </c>
      <c r="D73" s="545"/>
      <c r="E73" s="545"/>
      <c r="F73" s="545"/>
      <c r="G73" s="573" t="s">
        <v>778</v>
      </c>
      <c r="H73" s="547" t="s">
        <v>726</v>
      </c>
      <c r="I73" s="548" t="s">
        <v>779</v>
      </c>
      <c r="J73" s="574">
        <v>0</v>
      </c>
      <c r="K73" s="575">
        <v>0</v>
      </c>
      <c r="L73" s="575">
        <v>0</v>
      </c>
      <c r="M73" s="575">
        <f>L73+K73</f>
        <v>0</v>
      </c>
      <c r="N73" s="575">
        <v>0</v>
      </c>
    </row>
    <row r="74" spans="1:14" ht="18" customHeight="1" thickBot="1">
      <c r="A74" s="587"/>
      <c r="B74" s="554" t="s">
        <v>512</v>
      </c>
      <c r="C74" s="554"/>
      <c r="D74" s="554"/>
      <c r="E74" s="554"/>
      <c r="F74" s="554"/>
      <c r="G74" s="555"/>
      <c r="H74" s="556"/>
      <c r="I74" s="557"/>
      <c r="J74" s="577">
        <f>SUM(J72:J73)</f>
        <v>166164696</v>
      </c>
      <c r="K74" s="577">
        <f>SUM(K72:K73)</f>
        <v>109621908</v>
      </c>
      <c r="L74" s="578">
        <f>SUM(L72:L73)</f>
        <v>109621906</v>
      </c>
      <c r="M74" s="577">
        <f>SUM(M72:M73)</f>
        <v>219243814</v>
      </c>
      <c r="N74" s="588">
        <f>SUM(N72:N73)</f>
        <v>187519451</v>
      </c>
    </row>
    <row r="75" spans="1:14" s="7" customFormat="1" ht="18" customHeight="1" thickBot="1">
      <c r="A75" s="587" t="s">
        <v>9</v>
      </c>
      <c r="B75" s="554"/>
      <c r="C75" s="554"/>
      <c r="D75" s="554"/>
      <c r="E75" s="554"/>
      <c r="F75" s="554"/>
      <c r="G75" s="555"/>
      <c r="H75" s="556"/>
      <c r="I75" s="557"/>
      <c r="J75" s="577">
        <f>SUM(J74+J69+J38+J21)</f>
        <v>176322132.03999999</v>
      </c>
      <c r="K75" s="577">
        <f t="shared" ref="K75:N75" si="2">SUM(K74+K69+K38+K21)</f>
        <v>121994202.18000001</v>
      </c>
      <c r="L75" s="577">
        <f t="shared" si="2"/>
        <v>113129611.82000001</v>
      </c>
      <c r="M75" s="577">
        <f>SUM(M74+M69+M38+M21)</f>
        <v>253184163.81999999</v>
      </c>
      <c r="N75" s="577">
        <f t="shared" si="2"/>
        <v>203129451</v>
      </c>
    </row>
    <row r="76" spans="1:14" s="7" customFormat="1" ht="18" customHeight="1">
      <c r="A76" s="589"/>
      <c r="B76" s="589"/>
      <c r="C76" s="589"/>
      <c r="D76" s="589"/>
      <c r="E76" s="589"/>
      <c r="F76" s="589"/>
      <c r="G76" s="1414"/>
      <c r="H76" s="751"/>
      <c r="I76" s="590"/>
      <c r="J76" s="591"/>
      <c r="K76" s="591"/>
      <c r="L76" s="592"/>
      <c r="M76" s="592"/>
      <c r="N76" s="591"/>
    </row>
    <row r="77" spans="1:14" s="7" customFormat="1" ht="18" customHeight="1">
      <c r="A77" s="1470" t="s">
        <v>1796</v>
      </c>
      <c r="B77" s="1470"/>
      <c r="C77" s="1470"/>
      <c r="D77" s="1470"/>
      <c r="E77" s="1470"/>
      <c r="F77" s="1470"/>
      <c r="G77" s="1470"/>
      <c r="H77" s="1470"/>
      <c r="I77" s="1470"/>
      <c r="J77" s="1470"/>
      <c r="K77" s="1470"/>
      <c r="L77" s="1470"/>
      <c r="M77" s="1470"/>
      <c r="N77" s="1470"/>
    </row>
    <row r="78" spans="1:14" s="7" customFormat="1" ht="18" customHeight="1">
      <c r="A78" s="1418"/>
      <c r="B78" s="1418"/>
      <c r="C78" s="1418"/>
      <c r="D78" s="1418"/>
      <c r="E78" s="1418"/>
      <c r="F78" s="1418"/>
      <c r="G78" s="1418"/>
      <c r="H78" s="1418"/>
      <c r="I78" s="1418"/>
      <c r="J78" s="1418"/>
      <c r="K78" s="1418"/>
      <c r="L78" s="1418"/>
      <c r="M78" s="1418"/>
      <c r="N78" s="1418"/>
    </row>
    <row r="79" spans="1:14" s="1303" customFormat="1" ht="18" customHeight="1">
      <c r="A79" s="1448" t="s">
        <v>624</v>
      </c>
      <c r="B79" s="1448"/>
      <c r="C79" s="1448"/>
      <c r="D79" s="1448"/>
      <c r="E79" s="1448"/>
      <c r="F79" s="1448"/>
      <c r="G79" s="1448"/>
      <c r="H79" s="1448"/>
      <c r="I79" s="1448"/>
      <c r="J79" s="1448"/>
      <c r="K79" s="1448"/>
      <c r="L79" s="1448"/>
      <c r="M79" s="1448"/>
      <c r="N79" s="1448"/>
    </row>
    <row r="80" spans="1:14" s="7" customFormat="1" ht="18" hidden="1" customHeight="1">
      <c r="A80" s="589"/>
      <c r="B80" s="589"/>
      <c r="C80" s="589"/>
      <c r="D80" s="589"/>
      <c r="E80" s="589"/>
      <c r="F80" s="589"/>
      <c r="G80" s="1414"/>
      <c r="H80" s="751"/>
      <c r="I80" s="590"/>
      <c r="J80" s="591"/>
      <c r="K80" s="591"/>
      <c r="L80" s="592"/>
      <c r="M80" s="592">
        <f>146834345+35000</f>
        <v>146869345</v>
      </c>
      <c r="N80" s="591"/>
    </row>
    <row r="81" spans="1:14" s="593" customFormat="1" ht="20.100000000000001" hidden="1" customHeight="1">
      <c r="A81" s="1456"/>
      <c r="B81" s="1456"/>
      <c r="C81" s="1456"/>
      <c r="D81" s="1456"/>
      <c r="E81" s="1456"/>
      <c r="F81" s="1456"/>
      <c r="G81" s="1456"/>
      <c r="H81" s="1456"/>
      <c r="I81" s="1456"/>
      <c r="J81" s="1456"/>
      <c r="K81" s="1456"/>
      <c r="L81" s="1456"/>
      <c r="M81" s="1456"/>
      <c r="N81" s="1456"/>
    </row>
    <row r="82" spans="1:14" s="7" customFormat="1" ht="18" hidden="1" customHeight="1">
      <c r="A82" s="19"/>
      <c r="B82" s="508"/>
      <c r="C82" s="508"/>
      <c r="D82" s="508"/>
      <c r="E82" s="508"/>
      <c r="F82" s="508"/>
      <c r="G82" s="1419"/>
      <c r="H82" s="508"/>
      <c r="I82" s="509"/>
      <c r="J82" s="508"/>
      <c r="K82" s="508"/>
      <c r="L82" s="510"/>
      <c r="M82" s="510"/>
      <c r="N82" s="511"/>
    </row>
    <row r="83" spans="1:14" s="7" customFormat="1" ht="18" hidden="1" customHeight="1">
      <c r="A83" s="1449" t="s">
        <v>563</v>
      </c>
      <c r="B83" s="1449"/>
      <c r="C83" s="1449"/>
      <c r="D83" s="1449"/>
      <c r="E83" s="1449"/>
      <c r="F83" s="1449"/>
      <c r="G83" s="1449"/>
      <c r="H83" s="1449"/>
      <c r="I83" s="1449"/>
      <c r="J83" s="1449"/>
      <c r="K83" s="1449"/>
      <c r="L83" s="1449"/>
      <c r="M83" s="1449"/>
      <c r="N83" s="1449"/>
    </row>
    <row r="84" spans="1:14" s="7" customFormat="1" ht="18" hidden="1" customHeight="1">
      <c r="A84" s="1449" t="s">
        <v>351</v>
      </c>
      <c r="B84" s="1449"/>
      <c r="C84" s="1449"/>
      <c r="D84" s="1449"/>
      <c r="E84" s="1449"/>
      <c r="F84" s="1449"/>
      <c r="G84" s="1449"/>
      <c r="H84" s="1449"/>
      <c r="I84" s="1449"/>
      <c r="J84" s="1449"/>
      <c r="K84" s="1449"/>
      <c r="L84" s="1449"/>
      <c r="M84" s="1449"/>
      <c r="N84" s="1449"/>
    </row>
    <row r="85" spans="1:14" s="7" customFormat="1" ht="11.25" hidden="1" customHeight="1">
      <c r="A85" s="1417"/>
      <c r="B85" s="1417"/>
      <c r="C85" s="1417"/>
      <c r="D85" s="1417"/>
      <c r="E85" s="1417"/>
      <c r="F85" s="1417"/>
      <c r="G85" s="1417"/>
      <c r="H85" s="1417"/>
      <c r="I85" s="731"/>
      <c r="J85" s="1417"/>
      <c r="K85" s="1417"/>
      <c r="L85" s="512"/>
      <c r="M85" s="512"/>
      <c r="N85" s="1417"/>
    </row>
    <row r="86" spans="1:14" s="7" customFormat="1" ht="18" hidden="1" customHeight="1" thickBot="1">
      <c r="A86" s="1449" t="s">
        <v>0</v>
      </c>
      <c r="B86" s="1449"/>
      <c r="C86" s="1449"/>
      <c r="D86" s="1449"/>
      <c r="E86" s="1449"/>
      <c r="F86" s="1449"/>
      <c r="G86" s="1449"/>
      <c r="H86" s="1449"/>
      <c r="I86" s="1449"/>
      <c r="J86" s="1449"/>
      <c r="K86" s="1449"/>
      <c r="L86" s="1449"/>
      <c r="M86" s="1449"/>
      <c r="N86" s="1449"/>
    </row>
    <row r="87" spans="1:14" s="7" customFormat="1" ht="18" hidden="1" customHeight="1">
      <c r="A87" s="513"/>
      <c r="B87" s="514"/>
      <c r="C87" s="514"/>
      <c r="D87" s="514"/>
      <c r="E87" s="514"/>
      <c r="F87" s="514"/>
      <c r="G87" s="515"/>
      <c r="H87" s="516"/>
      <c r="I87" s="516"/>
      <c r="J87" s="516"/>
      <c r="K87" s="1445"/>
      <c r="L87" s="1446"/>
      <c r="M87" s="1447"/>
      <c r="N87" s="517"/>
    </row>
    <row r="88" spans="1:14" s="7" customFormat="1" ht="18" hidden="1" customHeight="1">
      <c r="A88" s="1450" t="s">
        <v>3</v>
      </c>
      <c r="B88" s="1451"/>
      <c r="C88" s="1451"/>
      <c r="D88" s="1451"/>
      <c r="E88" s="1451"/>
      <c r="F88" s="1451"/>
      <c r="G88" s="518"/>
      <c r="H88" s="518" t="s">
        <v>1</v>
      </c>
      <c r="I88" s="519" t="s">
        <v>2</v>
      </c>
      <c r="J88" s="518" t="s">
        <v>6</v>
      </c>
      <c r="K88" s="1457" t="s">
        <v>618</v>
      </c>
      <c r="L88" s="1458"/>
      <c r="M88" s="1459"/>
      <c r="N88" s="520" t="s">
        <v>7</v>
      </c>
    </row>
    <row r="89" spans="1:14" s="7" customFormat="1" ht="18" hidden="1" customHeight="1">
      <c r="A89" s="521"/>
      <c r="B89" s="509"/>
      <c r="C89" s="509"/>
      <c r="D89" s="509"/>
      <c r="E89" s="509"/>
      <c r="F89" s="509"/>
      <c r="G89" s="522"/>
      <c r="H89" s="518" t="s">
        <v>4</v>
      </c>
      <c r="I89" s="519" t="s">
        <v>5</v>
      </c>
      <c r="J89" s="523">
        <v>2021</v>
      </c>
      <c r="K89" s="518" t="s">
        <v>559</v>
      </c>
      <c r="L89" s="524" t="s">
        <v>562</v>
      </c>
      <c r="M89" s="518">
        <v>2022</v>
      </c>
      <c r="N89" s="525">
        <v>2023</v>
      </c>
    </row>
    <row r="90" spans="1:14" s="7" customFormat="1" ht="18" hidden="1" customHeight="1">
      <c r="A90" s="521"/>
      <c r="B90" s="509"/>
      <c r="C90" s="509"/>
      <c r="D90" s="509"/>
      <c r="E90" s="509"/>
      <c r="F90" s="509"/>
      <c r="G90" s="522"/>
      <c r="H90" s="518"/>
      <c r="I90" s="518"/>
      <c r="J90" s="518" t="s">
        <v>559</v>
      </c>
      <c r="K90" s="518">
        <v>2022</v>
      </c>
      <c r="L90" s="518">
        <v>2022</v>
      </c>
      <c r="M90" s="524" t="s">
        <v>922</v>
      </c>
      <c r="N90" s="520" t="s">
        <v>564</v>
      </c>
    </row>
    <row r="91" spans="1:14" s="7" customFormat="1" ht="10.5" hidden="1" customHeight="1" thickBot="1">
      <c r="A91" s="1454"/>
      <c r="B91" s="1455"/>
      <c r="C91" s="1455"/>
      <c r="D91" s="1455"/>
      <c r="E91" s="1455"/>
      <c r="F91" s="1455"/>
      <c r="G91" s="526"/>
      <c r="H91" s="526"/>
      <c r="I91" s="526"/>
      <c r="J91" s="526"/>
      <c r="K91" s="526"/>
      <c r="L91" s="527"/>
      <c r="M91" s="527"/>
      <c r="N91" s="528"/>
    </row>
    <row r="92" spans="1:14" ht="18" hidden="1" customHeight="1">
      <c r="A92" s="559" t="s">
        <v>513</v>
      </c>
      <c r="B92" s="560" t="s">
        <v>514</v>
      </c>
      <c r="C92" s="560"/>
      <c r="D92" s="560"/>
      <c r="E92" s="560"/>
      <c r="F92" s="560"/>
      <c r="G92" s="561"/>
      <c r="H92" s="562"/>
      <c r="I92" s="607"/>
      <c r="J92" s="564"/>
      <c r="K92" s="565"/>
      <c r="L92" s="566"/>
      <c r="M92" s="566"/>
      <c r="N92" s="565"/>
    </row>
    <row r="93" spans="1:14" ht="18" hidden="1" customHeight="1">
      <c r="A93" s="567"/>
      <c r="B93" s="568" t="s">
        <v>359</v>
      </c>
      <c r="C93" s="568"/>
      <c r="D93" s="568"/>
      <c r="E93" s="568"/>
      <c r="F93" s="568"/>
      <c r="G93" s="539"/>
      <c r="H93" s="540"/>
      <c r="I93" s="595"/>
      <c r="J93" s="542"/>
      <c r="K93" s="570"/>
      <c r="L93" s="571"/>
      <c r="M93" s="571"/>
      <c r="N93" s="570"/>
    </row>
    <row r="94" spans="1:14" ht="18" hidden="1" customHeight="1">
      <c r="A94" s="536"/>
      <c r="B94" s="538"/>
      <c r="C94" s="538" t="s">
        <v>515</v>
      </c>
      <c r="D94" s="538"/>
      <c r="E94" s="538"/>
      <c r="F94" s="597"/>
      <c r="G94" s="584"/>
      <c r="H94" s="598"/>
      <c r="I94" s="755"/>
      <c r="J94" s="756"/>
      <c r="K94" s="757"/>
      <c r="L94" s="758"/>
      <c r="M94" s="758"/>
      <c r="N94" s="757"/>
    </row>
    <row r="95" spans="1:14" ht="18" hidden="1" customHeight="1">
      <c r="A95" s="536"/>
      <c r="B95" s="597"/>
      <c r="C95" s="597"/>
      <c r="D95" s="597" t="s">
        <v>516</v>
      </c>
      <c r="E95" s="597"/>
      <c r="F95" s="597"/>
      <c r="G95" s="584" t="s">
        <v>582</v>
      </c>
      <c r="H95" s="598" t="s">
        <v>672</v>
      </c>
      <c r="I95" s="755"/>
      <c r="J95" s="756">
        <f>SUM('[1]LBP NO. 2'!I14+'[1]LBP NO. 2'!I90+'[1]LBP NO. 2'!I161+'[1]LBP NO. 2'!I230+'[1]LBP NO. 2'!I303+'[1]LBP NO. 2'!I374+'[1]LBP NO. 2'!I446+'[1]LBP NO. 2'!I517+'[1]LBP NO. 2'!I588+'[1]LBP NO. 2'!I659+'[1]LBP NO. 2'!I731+'[1]LBP NO. 2'!I803+'[1]LBP NO. 2'!I874+'[1]LBP NO. 2'!I945)</f>
        <v>38268405.420000002</v>
      </c>
      <c r="K95" s="756">
        <f>SUM('[1]LBP NO. 2'!J14+'[1]LBP NO. 2'!J90+'[1]LBP NO. 2'!J161+'[1]LBP NO. 2'!J230+'[1]LBP NO. 2'!J303+'[1]LBP NO. 2'!J374+'[1]LBP NO. 2'!J446+'[1]LBP NO. 2'!J517+'[1]LBP NO. 2'!J588+'[1]LBP NO. 2'!J659+'[1]LBP NO. 2'!J731+'[1]LBP NO. 2'!J803+'[1]LBP NO. 2'!J874+'[1]LBP NO. 2'!J945)</f>
        <v>20517142.18</v>
      </c>
      <c r="L95" s="756">
        <f>SUM('[1]LBP NO. 2'!K14+'[1]LBP NO. 2'!K90+'[1]LBP NO. 2'!K161+'[1]LBP NO. 2'!K230+'[1]LBP NO. 2'!K303+'[1]LBP NO. 2'!K374+'[1]LBP NO. 2'!K446+'[1]LBP NO. 2'!K517+'[1]LBP NO. 2'!K588+'[1]LBP NO. 2'!K659+'[1]LBP NO. 2'!K731+'[1]LBP NO. 2'!K803+'[1]LBP NO. 2'!K874+'[1]LBP NO. 2'!K945)</f>
        <v>25674444.82</v>
      </c>
      <c r="M95" s="756">
        <f>SUM('[1]LBP NO. 2'!L14+'[1]LBP NO. 2'!L90+'[1]LBP NO. 2'!L161+'[1]LBP NO. 2'!L230+'[1]LBP NO. 2'!L303+'[1]LBP NO. 2'!L374+'[1]LBP NO. 2'!L446+'[1]LBP NO. 2'!L517+'[1]LBP NO. 2'!L588+'[1]LBP NO. 2'!L659+'[1]LBP NO. 2'!L731+'[1]LBP NO. 2'!L803+'[1]LBP NO. 2'!L874+'[1]LBP NO. 2'!L945)</f>
        <v>46191587</v>
      </c>
      <c r="N95" s="756">
        <f>SUM('[1]LBP NO. 2'!M14+'[1]LBP NO. 2'!M90+'[1]LBP NO. 2'!M161+'[1]LBP NO. 2'!M230+'[1]LBP NO. 2'!M303+'[1]LBP NO. 2'!M374+'[1]LBP NO. 2'!M446+'[1]LBP NO. 2'!M517+'[1]LBP NO. 2'!M588+'[1]LBP NO. 2'!M659+'[1]LBP NO. 2'!M731+'[1]LBP NO. 2'!M803+'[1]LBP NO. 2'!M874+'[1]LBP NO. 2'!M945)</f>
        <v>47752889</v>
      </c>
    </row>
    <row r="96" spans="1:14" ht="18" hidden="1" customHeight="1">
      <c r="A96" s="536"/>
      <c r="B96" s="597"/>
      <c r="C96" s="597"/>
      <c r="D96" s="597" t="s">
        <v>420</v>
      </c>
      <c r="E96" s="597"/>
      <c r="F96" s="597"/>
      <c r="G96" s="584"/>
      <c r="H96" s="598" t="s">
        <v>728</v>
      </c>
      <c r="I96" s="755"/>
      <c r="J96" s="756">
        <f>SUM('[1]LBP NO. 2'!I15)</f>
        <v>317523.32</v>
      </c>
      <c r="K96" s="756">
        <f>SUM('[1]LBP NO. 2'!J15)</f>
        <v>802760.91</v>
      </c>
      <c r="L96" s="756">
        <f>SUM('[1]LBP NO. 2'!K15)</f>
        <v>856923.09</v>
      </c>
      <c r="M96" s="756">
        <f>SUM('[1]LBP NO. 2'!L15)</f>
        <v>1659684</v>
      </c>
      <c r="N96" s="756">
        <f>SUM('[1]LBP NO. 2'!M15)</f>
        <v>1723800</v>
      </c>
    </row>
    <row r="97" spans="1:14" ht="18" hidden="1" customHeight="1">
      <c r="A97" s="536"/>
      <c r="B97" s="597"/>
      <c r="C97" s="597" t="s">
        <v>517</v>
      </c>
      <c r="D97" s="597"/>
      <c r="E97" s="597"/>
      <c r="F97" s="597"/>
      <c r="G97" s="895"/>
      <c r="H97" s="598"/>
      <c r="I97" s="755"/>
      <c r="J97" s="756"/>
      <c r="K97" s="757"/>
      <c r="L97" s="758"/>
      <c r="M97" s="757"/>
      <c r="N97" s="757"/>
    </row>
    <row r="98" spans="1:14" ht="18" hidden="1" customHeight="1">
      <c r="A98" s="536"/>
      <c r="B98" s="597"/>
      <c r="C98" s="597"/>
      <c r="D98" s="597" t="s">
        <v>518</v>
      </c>
      <c r="E98" s="597"/>
      <c r="F98" s="597"/>
      <c r="G98" s="584" t="s">
        <v>583</v>
      </c>
      <c r="H98" s="598" t="s">
        <v>673</v>
      </c>
      <c r="I98" s="755"/>
      <c r="J98" s="756">
        <f>SUM('[1]LBP NO. 2'!I17+'[1]LBP NO. 2'!I92+'[1]LBP NO. 2'!I163+'[1]LBP NO. 2'!I232+'[1]LBP NO. 2'!I305+'[1]LBP NO. 2'!I376+'[1]LBP NO. 2'!I448+'[1]LBP NO. 2'!I519+'[1]LBP NO. 2'!I590+'[1]LBP NO. 2'!I661+'[1]LBP NO. 2'!I733+'[1]LBP NO. 2'!I805+'[1]LBP NO. 2'!I876+'[1]LBP NO. 2'!I947)</f>
        <v>2353545.4500000002</v>
      </c>
      <c r="K98" s="756">
        <f>SUM('[1]LBP NO. 2'!J17+'[1]LBP NO. 2'!J92+'[1]LBP NO. 2'!J163+'[1]LBP NO. 2'!J232+'[1]LBP NO. 2'!J305+'[1]LBP NO. 2'!J376+'[1]LBP NO. 2'!J448+'[1]LBP NO. 2'!J519+'[1]LBP NO. 2'!J590+'[1]LBP NO. 2'!J661+'[1]LBP NO. 2'!J733+'[1]LBP NO. 2'!J805+'[1]LBP NO. 2'!J876+'[1]LBP NO. 2'!J947)</f>
        <v>1341000</v>
      </c>
      <c r="L98" s="756">
        <f>SUM('[1]LBP NO. 2'!K17+'[1]LBP NO. 2'!K92+'[1]LBP NO. 2'!K163+'[1]LBP NO. 2'!K232+'[1]LBP NO. 2'!K305+'[1]LBP NO. 2'!K376+'[1]LBP NO. 2'!K448+'[1]LBP NO. 2'!K519+'[1]LBP NO. 2'!K590+'[1]LBP NO. 2'!K661+'[1]LBP NO. 2'!K733+'[1]LBP NO. 2'!K805+'[1]LBP NO. 2'!K876+'[1]LBP NO. 2'!K947)</f>
        <v>1755000</v>
      </c>
      <c r="M98" s="756">
        <f>SUM('[1]LBP NO. 2'!L17+'[1]LBP NO. 2'!L92+'[1]LBP NO. 2'!L163+'[1]LBP NO. 2'!L232+'[1]LBP NO. 2'!L305+'[1]LBP NO. 2'!L376+'[1]LBP NO. 2'!L448+'[1]LBP NO. 2'!L519+'[1]LBP NO. 2'!L590+'[1]LBP NO. 2'!L661+'[1]LBP NO. 2'!L733+'[1]LBP NO. 2'!L805+'[1]LBP NO. 2'!L876+'[1]LBP NO. 2'!L947)</f>
        <v>3096000</v>
      </c>
      <c r="N98" s="756">
        <f>SUM('[1]LBP NO. 2'!M17+'[1]LBP NO. 2'!M92+'[1]LBP NO. 2'!M163+'[1]LBP NO. 2'!M232+'[1]LBP NO. 2'!M305+'[1]LBP NO. 2'!M376+'[1]LBP NO. 2'!M448+'[1]LBP NO. 2'!M519+'[1]LBP NO. 2'!M590+'[1]LBP NO. 2'!M661+'[1]LBP NO. 2'!M733+'[1]LBP NO. 2'!M805+'[1]LBP NO. 2'!M876+'[1]LBP NO. 2'!M947)</f>
        <v>3096000</v>
      </c>
    </row>
    <row r="99" spans="1:14" ht="18" hidden="1" customHeight="1">
      <c r="A99" s="536"/>
      <c r="B99" s="597"/>
      <c r="C99" s="597"/>
      <c r="D99" s="597" t="s">
        <v>528</v>
      </c>
      <c r="E99" s="597"/>
      <c r="F99" s="597"/>
      <c r="G99" s="584" t="s">
        <v>584</v>
      </c>
      <c r="H99" s="598" t="s">
        <v>674</v>
      </c>
      <c r="I99" s="755"/>
      <c r="J99" s="756">
        <f>'[1]LBP NO. 2'!I18+'[1]LBP NO. 2'!I93+'[1]LBP NO. 2'!I164+'[1]LBP NO. 2'!I233+'[1]LBP NO. 2'!I306+'[1]LBP NO. 2'!I377+'[1]LBP NO. 2'!I449+'[1]LBP NO. 2'!I520+'[1]LBP NO. 2'!I591+'[1]LBP NO. 2'!I662+'[1]LBP NO. 2'!I734+'[1]LBP NO. 2'!I806</f>
        <v>1777775</v>
      </c>
      <c r="K99" s="756">
        <f>'[1]LBP NO. 2'!J18+'[1]LBP NO. 2'!J93+'[1]LBP NO. 2'!J164+'[1]LBP NO. 2'!J233+'[1]LBP NO. 2'!J306+'[1]LBP NO. 2'!J377+'[1]LBP NO. 2'!J449+'[1]LBP NO. 2'!J520+'[1]LBP NO. 2'!J591+'[1]LBP NO. 2'!J662+'[1]LBP NO. 2'!J734+'[1]LBP NO. 2'!J806</f>
        <v>892500</v>
      </c>
      <c r="L99" s="756">
        <f>'[1]LBP NO. 2'!K18+'[1]LBP NO. 2'!K93+'[1]LBP NO. 2'!K164+'[1]LBP NO. 2'!K233+'[1]LBP NO. 2'!K306+'[1]LBP NO. 2'!K377+'[1]LBP NO. 2'!K449+'[1]LBP NO. 2'!K520+'[1]LBP NO. 2'!K591+'[1]LBP NO. 2'!K662+'[1]LBP NO. 2'!K734+'[1]LBP NO. 2'!K806</f>
        <v>892500</v>
      </c>
      <c r="M99" s="756">
        <f>'[1]LBP NO. 2'!L18+'[1]LBP NO. 2'!L93+'[1]LBP NO. 2'!L164+'[1]LBP NO. 2'!L233+'[1]LBP NO. 2'!L306+'[1]LBP NO. 2'!L377+'[1]LBP NO. 2'!L449+'[1]LBP NO. 2'!L520+'[1]LBP NO. 2'!L591+'[1]LBP NO. 2'!L662+'[1]LBP NO. 2'!L734+'[1]LBP NO. 2'!L806</f>
        <v>1785000</v>
      </c>
      <c r="N99" s="756">
        <f>'[1]LBP NO. 2'!M18+'[1]LBP NO. 2'!M93+'[1]LBP NO. 2'!M164+'[1]LBP NO. 2'!M233+'[1]LBP NO. 2'!M306+'[1]LBP NO. 2'!M377+'[1]LBP NO. 2'!M449+'[1]LBP NO. 2'!M520+'[1]LBP NO. 2'!M591+'[1]LBP NO. 2'!M662+'[1]LBP NO. 2'!M734+'[1]LBP NO. 2'!M806</f>
        <v>1785000</v>
      </c>
    </row>
    <row r="100" spans="1:14" ht="18" hidden="1" customHeight="1">
      <c r="A100" s="536"/>
      <c r="B100" s="597"/>
      <c r="C100" s="597"/>
      <c r="D100" s="597" t="s">
        <v>527</v>
      </c>
      <c r="E100" s="597"/>
      <c r="F100" s="597"/>
      <c r="G100" s="584" t="s">
        <v>585</v>
      </c>
      <c r="H100" s="598" t="s">
        <v>675</v>
      </c>
      <c r="I100" s="755"/>
      <c r="J100" s="756">
        <f>'[1]LBP NO. 2'!I19+'[1]LBP NO. 2'!I94+'[1]LBP NO. 2'!I165+'[1]LBP NO. 2'!I234+'[1]LBP NO. 2'!I307+'[1]LBP NO. 2'!I378+'[1]LBP NO. 2'!I450+'[1]LBP NO. 2'!I521+'[1]LBP NO. 2'!I592+'[1]LBP NO. 2'!I663+'[1]LBP NO. 2'!I735+'[1]LBP NO. 2'!I807</f>
        <v>1613725</v>
      </c>
      <c r="K100" s="756">
        <f>'[1]LBP NO. 2'!J19+'[1]LBP NO. 2'!J94+'[1]LBP NO. 2'!J165+'[1]LBP NO. 2'!J234+'[1]LBP NO. 2'!J307+'[1]LBP NO. 2'!J378+'[1]LBP NO. 2'!J450+'[1]LBP NO. 2'!J521+'[1]LBP NO. 2'!J592+'[1]LBP NO. 2'!J663+'[1]LBP NO. 2'!J735+'[1]LBP NO. 2'!J807</f>
        <v>803250</v>
      </c>
      <c r="L100" s="756">
        <f>'[1]LBP NO. 2'!K19+'[1]LBP NO. 2'!K94+'[1]LBP NO. 2'!K165+'[1]LBP NO. 2'!K234+'[1]LBP NO. 2'!K307+'[1]LBP NO. 2'!K378+'[1]LBP NO. 2'!K450+'[1]LBP NO. 2'!K521+'[1]LBP NO. 2'!K592+'[1]LBP NO. 2'!K663+'[1]LBP NO. 2'!K735+'[1]LBP NO. 2'!K807</f>
        <v>981750</v>
      </c>
      <c r="M100" s="756">
        <f>'[1]LBP NO. 2'!L19+'[1]LBP NO. 2'!L94+'[1]LBP NO. 2'!L165+'[1]LBP NO. 2'!L234+'[1]LBP NO. 2'!L307+'[1]LBP NO. 2'!L378+'[1]LBP NO. 2'!L450+'[1]LBP NO. 2'!L521+'[1]LBP NO. 2'!L592+'[1]LBP NO. 2'!L663+'[1]LBP NO. 2'!L735+'[1]LBP NO. 2'!L807</f>
        <v>1785000</v>
      </c>
      <c r="N100" s="756">
        <f>'[1]LBP NO. 2'!M19+'[1]LBP NO. 2'!M94+'[1]LBP NO. 2'!M165+'[1]LBP NO. 2'!M234+'[1]LBP NO. 2'!M307+'[1]LBP NO. 2'!M378+'[1]LBP NO. 2'!M450+'[1]LBP NO. 2'!M521+'[1]LBP NO. 2'!M592+'[1]LBP NO. 2'!M663+'[1]LBP NO. 2'!M735+'[1]LBP NO. 2'!M807</f>
        <v>1785000</v>
      </c>
    </row>
    <row r="101" spans="1:14" ht="18" hidden="1" customHeight="1">
      <c r="A101" s="536"/>
      <c r="B101" s="597"/>
      <c r="C101" s="597"/>
      <c r="D101" s="597" t="s">
        <v>529</v>
      </c>
      <c r="E101" s="597"/>
      <c r="F101" s="597"/>
      <c r="G101" s="584" t="s">
        <v>586</v>
      </c>
      <c r="H101" s="598" t="s">
        <v>676</v>
      </c>
      <c r="I101" s="755"/>
      <c r="J101" s="756">
        <f>SUM('[1]LBP NO. 2'!I20+'[1]LBP NO. 2'!I95+'[1]LBP NO. 2'!I166+'[1]LBP NO. 2'!I235+'[1]LBP NO. 2'!I308+'[1]LBP NO. 2'!I379+'[1]LBP NO. 2'!I451+'[1]LBP NO. 2'!I522+'[1]LBP NO. 2'!I593+'[1]LBP NO. 2'!I664+'[1]LBP NO. 2'!I736+'[1]LBP NO. 2'!I808+'[1]LBP NO. 2'!I877+'[1]LBP NO. 2'!I948)</f>
        <v>594000</v>
      </c>
      <c r="K101" s="756">
        <f>SUM('[1]LBP NO. 2'!J20+'[1]LBP NO. 2'!J95+'[1]LBP NO. 2'!J166+'[1]LBP NO. 2'!J235+'[1]LBP NO. 2'!J308+'[1]LBP NO. 2'!J379+'[1]LBP NO. 2'!J451+'[1]LBP NO. 2'!J522+'[1]LBP NO. 2'!J593+'[1]LBP NO. 2'!J664+'[1]LBP NO. 2'!J736+'[1]LBP NO. 2'!J808+'[1]LBP NO. 2'!J877+'[1]LBP NO. 2'!J948)</f>
        <v>654000</v>
      </c>
      <c r="L101" s="756">
        <f>SUM('[1]LBP NO. 2'!K20+'[1]LBP NO. 2'!K95+'[1]LBP NO. 2'!K166+'[1]LBP NO. 2'!K235+'[1]LBP NO. 2'!K308+'[1]LBP NO. 2'!K379+'[1]LBP NO. 2'!K451+'[1]LBP NO. 2'!K522+'[1]LBP NO. 2'!K593+'[1]LBP NO. 2'!K664+'[1]LBP NO. 2'!K736+'[1]LBP NO. 2'!K808+'[1]LBP NO. 2'!K877+'[1]LBP NO. 2'!K948)</f>
        <v>120000</v>
      </c>
      <c r="M101" s="756">
        <f>SUM('[1]LBP NO. 2'!L20+'[1]LBP NO. 2'!L95+'[1]LBP NO. 2'!L166+'[1]LBP NO. 2'!L235+'[1]LBP NO. 2'!L308+'[1]LBP NO. 2'!L379+'[1]LBP NO. 2'!L451+'[1]LBP NO. 2'!L522+'[1]LBP NO. 2'!L593+'[1]LBP NO. 2'!L664+'[1]LBP NO. 2'!L736+'[1]LBP NO. 2'!L808+'[1]LBP NO. 2'!L877+'[1]LBP NO. 2'!L948)</f>
        <v>774000</v>
      </c>
      <c r="N101" s="756">
        <f>SUM('[1]LBP NO. 2'!M20+'[1]LBP NO. 2'!M95+'[1]LBP NO. 2'!M166+'[1]LBP NO. 2'!M235+'[1]LBP NO. 2'!M308+'[1]LBP NO. 2'!M379+'[1]LBP NO. 2'!M451+'[1]LBP NO. 2'!M522+'[1]LBP NO. 2'!M593+'[1]LBP NO. 2'!M664+'[1]LBP NO. 2'!M736+'[1]LBP NO. 2'!M808+'[1]LBP NO. 2'!M877+'[1]LBP NO. 2'!M948)</f>
        <v>774000</v>
      </c>
    </row>
    <row r="102" spans="1:14" ht="18" hidden="1" customHeight="1">
      <c r="A102" s="536"/>
      <c r="B102" s="597"/>
      <c r="C102" s="597"/>
      <c r="D102" s="597" t="s">
        <v>530</v>
      </c>
      <c r="E102" s="597"/>
      <c r="F102" s="597"/>
      <c r="G102" s="584" t="s">
        <v>587</v>
      </c>
      <c r="H102" s="598" t="s">
        <v>693</v>
      </c>
      <c r="I102" s="755"/>
      <c r="J102" s="756">
        <f>SUM('[1]LBP NO. 2'!I665+'[1]LBP NO. 2'!I809+'[1]LBP NO. 2'!I878)</f>
        <v>302000</v>
      </c>
      <c r="K102" s="756">
        <f>SUM('[1]LBP NO. 2'!J665+'[1]LBP NO. 2'!J809+'[1]LBP NO. 2'!J878)</f>
        <v>141800</v>
      </c>
      <c r="L102" s="756">
        <f>SUM('[1]LBP NO. 2'!K665+'[1]LBP NO. 2'!K809+'[1]LBP NO. 2'!K878)</f>
        <v>401800</v>
      </c>
      <c r="M102" s="756">
        <f>SUM('[1]LBP NO. 2'!L665+'[1]LBP NO. 2'!L809+'[1]LBP NO. 2'!L878)</f>
        <v>543600</v>
      </c>
      <c r="N102" s="756">
        <f>SUM('[1]LBP NO. 2'!M665+'[1]LBP NO. 2'!M809+'[1]LBP NO. 2'!M878)</f>
        <v>543600</v>
      </c>
    </row>
    <row r="103" spans="1:14" ht="18" hidden="1" customHeight="1">
      <c r="A103" s="536"/>
      <c r="B103" s="597"/>
      <c r="C103" s="597"/>
      <c r="D103" s="597" t="s">
        <v>780</v>
      </c>
      <c r="E103" s="597"/>
      <c r="F103" s="597"/>
      <c r="G103" s="584" t="s">
        <v>588</v>
      </c>
      <c r="H103" s="598" t="s">
        <v>677</v>
      </c>
      <c r="I103" s="755"/>
      <c r="J103" s="756">
        <f>SUM('[1]LBP NO. 2'!I21+'[1]LBP NO. 2'!I96+'[1]LBP NO. 2'!I167+'[1]LBP NO. 2'!I236+'[1]LBP NO. 2'!I309+'[1]LBP NO. 2'!I380+'[1]LBP NO. 2'!I452+'[1]LBP NO. 2'!I523+'[1]LBP NO. 2'!I594+'[1]LBP NO. 2'!I666+'[1]LBP NO. 2'!I737+'[1]LBP NO. 2'!I810+'[1]LBP NO. 2'!I879+'[1]LBP NO. 2'!I949)</f>
        <v>495000</v>
      </c>
      <c r="K103" s="756">
        <f>SUM('[1]LBP NO. 2'!J21+'[1]LBP NO. 2'!J96+'[1]LBP NO. 2'!J167+'[1]LBP NO. 2'!J236+'[1]LBP NO. 2'!J309+'[1]LBP NO. 2'!J380+'[1]LBP NO. 2'!J452+'[1]LBP NO. 2'!J523+'[1]LBP NO. 2'!J594+'[1]LBP NO. 2'!J666+'[1]LBP NO. 2'!J737+'[1]LBP NO. 2'!J810+'[1]LBP NO. 2'!J879+'[1]LBP NO. 2'!J949)</f>
        <v>0</v>
      </c>
      <c r="L103" s="756">
        <f>SUM('[1]LBP NO. 2'!K21+'[1]LBP NO. 2'!K96+'[1]LBP NO. 2'!K167+'[1]LBP NO. 2'!K236+'[1]LBP NO. 2'!K309+'[1]LBP NO. 2'!K380+'[1]LBP NO. 2'!K452+'[1]LBP NO. 2'!K523+'[1]LBP NO. 2'!K594+'[1]LBP NO. 2'!K666+'[1]LBP NO. 2'!K737+'[1]LBP NO. 2'!K810+'[1]LBP NO. 2'!K879+'[1]LBP NO. 2'!K949)</f>
        <v>645000</v>
      </c>
      <c r="M103" s="756">
        <f>SUM('[1]LBP NO. 2'!L21+'[1]LBP NO. 2'!L96+'[1]LBP NO. 2'!L167+'[1]LBP NO. 2'!L236+'[1]LBP NO. 2'!L309+'[1]LBP NO. 2'!L380+'[1]LBP NO. 2'!L452+'[1]LBP NO. 2'!L523+'[1]LBP NO. 2'!L594+'[1]LBP NO. 2'!L666+'[1]LBP NO. 2'!L737+'[1]LBP NO. 2'!L810+'[1]LBP NO. 2'!L879+'[1]LBP NO. 2'!L949)</f>
        <v>645000</v>
      </c>
      <c r="N103" s="756">
        <f>SUM('[1]LBP NO. 2'!M21+'[1]LBP NO. 2'!M96+'[1]LBP NO. 2'!M167+'[1]LBP NO. 2'!M236+'[1]LBP NO. 2'!M309+'[1]LBP NO. 2'!M380+'[1]LBP NO. 2'!M452+'[1]LBP NO. 2'!M523+'[1]LBP NO. 2'!M594+'[1]LBP NO. 2'!M666+'[1]LBP NO. 2'!M737+'[1]LBP NO. 2'!M810+'[1]LBP NO. 2'!M879+'[1]LBP NO. 2'!M949)</f>
        <v>645000</v>
      </c>
    </row>
    <row r="104" spans="1:14" ht="18" hidden="1" customHeight="1">
      <c r="A104" s="536"/>
      <c r="B104" s="597"/>
      <c r="C104" s="597"/>
      <c r="D104" s="597" t="s">
        <v>531</v>
      </c>
      <c r="E104" s="597"/>
      <c r="F104" s="896"/>
      <c r="G104" s="584" t="s">
        <v>425</v>
      </c>
      <c r="H104" s="598" t="s">
        <v>678</v>
      </c>
      <c r="I104" s="755"/>
      <c r="J104" s="756">
        <f>SUM('[1]LBP NO. 2'!I22+'[1]LBP NO. 2'!I97+'[1]LBP NO. 2'!I168+'[1]LBP NO. 2'!I237+'[1]LBP NO. 2'!I310+'[1]LBP NO. 2'!I381+'[1]LBP NO. 2'!I453+'[1]LBP NO. 2'!I524+'[1]LBP NO. 2'!I595+'[1]LBP NO. 2'!I667+'[1]LBP NO. 2'!I738+'[1]LBP NO. 2'!I811+'[1]LBP NO. 2'!I880+'[1]LBP NO. 2'!I953)</f>
        <v>50000</v>
      </c>
      <c r="K104" s="756">
        <f>SUM('[1]LBP NO. 2'!J22+'[1]LBP NO. 2'!J97+'[1]LBP NO. 2'!J168+'[1]LBP NO. 2'!J237+'[1]LBP NO. 2'!J310+'[1]LBP NO. 2'!J381+'[1]LBP NO. 2'!J453+'[1]LBP NO. 2'!J524+'[1]LBP NO. 2'!J595+'[1]LBP NO. 2'!J667+'[1]LBP NO. 2'!J738+'[1]LBP NO. 2'!J811+'[1]LBP NO. 2'!J880+'[1]LBP NO. 2'!J953)</f>
        <v>10000</v>
      </c>
      <c r="L104" s="756">
        <f>SUM('[1]LBP NO. 2'!K22+'[1]LBP NO. 2'!K97+'[1]LBP NO. 2'!K168+'[1]LBP NO. 2'!K237+'[1]LBP NO. 2'!K310+'[1]LBP NO. 2'!K381+'[1]LBP NO. 2'!K453+'[1]LBP NO. 2'!K524+'[1]LBP NO. 2'!K595+'[1]LBP NO. 2'!K667+'[1]LBP NO. 2'!K738+'[1]LBP NO. 2'!K811+'[1]LBP NO. 2'!K880+'[1]LBP NO. 2'!K953)</f>
        <v>20000</v>
      </c>
      <c r="M104" s="756">
        <f>SUM('[1]LBP NO. 2'!L22+'[1]LBP NO. 2'!L97+'[1]LBP NO. 2'!L168+'[1]LBP NO. 2'!L237+'[1]LBP NO. 2'!L310+'[1]LBP NO. 2'!L381+'[1]LBP NO. 2'!L453+'[1]LBP NO. 2'!L524+'[1]LBP NO. 2'!L595+'[1]LBP NO. 2'!L667+'[1]LBP NO. 2'!L738+'[1]LBP NO. 2'!L811+'[1]LBP NO. 2'!L880+'[1]LBP NO. 2'!L953)</f>
        <v>30000</v>
      </c>
      <c r="N104" s="756">
        <f>SUM('[1]LBP NO. 2'!M22+'[1]LBP NO. 2'!M97+'[1]LBP NO. 2'!M168+'[1]LBP NO. 2'!M237+'[1]LBP NO. 2'!M310+'[1]LBP NO. 2'!M381+'[1]LBP NO. 2'!M453+'[1]LBP NO. 2'!M524+'[1]LBP NO. 2'!M595+'[1]LBP NO. 2'!M667+'[1]LBP NO. 2'!M738+'[1]LBP NO. 2'!M811+'[1]LBP NO. 2'!M880+'[1]LBP NO. 2'!M953)</f>
        <v>60000</v>
      </c>
    </row>
    <row r="105" spans="1:14" s="759" customFormat="1" ht="18" hidden="1" customHeight="1">
      <c r="A105" s="754"/>
      <c r="B105" s="597"/>
      <c r="C105" s="597"/>
      <c r="D105" s="597" t="s">
        <v>886</v>
      </c>
      <c r="E105" s="597"/>
      <c r="F105" s="597"/>
      <c r="G105" s="584" t="s">
        <v>425</v>
      </c>
      <c r="H105" s="598" t="s">
        <v>678</v>
      </c>
      <c r="I105" s="755"/>
      <c r="J105" s="756">
        <f>SUM('[1]LBP NO. 2'!I25+'[1]LBP NO. 2'!I101+'[1]LBP NO. 2'!I172+'[1]LBP NO. 2'!I241+'[1]LBP NO. 2'!I315+'[1]LBP NO. 2'!I386+'[1]LBP NO. 2'!I458+'[1]LBP NO. 2'!I528+'[1]LBP NO. 2'!I599+'[1]LBP NO. 2'!I672+'[1]LBP NO. 2'!I742+'[1]LBP NO. 2'!I816+'[1]LBP NO. 2'!I884+'[1]LBP NO. 2'!I951)</f>
        <v>3160546</v>
      </c>
      <c r="K105" s="756">
        <f>SUM('[1]LBP NO. 2'!J25+'[1]LBP NO. 2'!J101+'[1]LBP NO. 2'!J172+'[1]LBP NO. 2'!J241+'[1]LBP NO. 2'!J315+'[1]LBP NO. 2'!J386+'[1]LBP NO. 2'!J458+'[1]LBP NO. 2'!J528+'[1]LBP NO. 2'!J599+'[1]LBP NO. 2'!J672+'[1]LBP NO. 2'!J742+'[1]LBP NO. 2'!J816+'[1]LBP NO. 2'!J884+'[1]LBP NO. 2'!J951)</f>
        <v>3548132</v>
      </c>
      <c r="L105" s="756">
        <f>SUM('[1]LBP NO. 2'!K25+'[1]LBP NO. 2'!K101+'[1]LBP NO. 2'!K172+'[1]LBP NO. 2'!K241+'[1]LBP NO. 2'!K315+'[1]LBP NO. 2'!K386+'[1]LBP NO. 2'!K458+'[1]LBP NO. 2'!K528+'[1]LBP NO. 2'!K599+'[1]LBP NO. 2'!K672+'[1]LBP NO. 2'!K742+'[1]LBP NO. 2'!K816+'[1]LBP NO. 2'!K884+'[1]LBP NO. 2'!K951)</f>
        <v>430417</v>
      </c>
      <c r="M105" s="756">
        <f>SUM('[1]LBP NO. 2'!L25+'[1]LBP NO. 2'!L101+'[1]LBP NO. 2'!L172+'[1]LBP NO. 2'!L241+'[1]LBP NO. 2'!L315+'[1]LBP NO. 2'!L386+'[1]LBP NO. 2'!L458+'[1]LBP NO. 2'!L528+'[1]LBP NO. 2'!L599+'[1]LBP NO. 2'!L672+'[1]LBP NO. 2'!L742+'[1]LBP NO. 2'!L816+'[1]LBP NO. 2'!L884+'[1]LBP NO. 2'!L951)</f>
        <v>3978549</v>
      </c>
      <c r="N105" s="756">
        <f>SUM('[1]LBP NO. 2'!M25+'[1]LBP NO. 2'!M101+'[1]LBP NO. 2'!M172+'[1]LBP NO. 2'!M241+'[1]LBP NO. 2'!M315+'[1]LBP NO. 2'!M386+'[1]LBP NO. 2'!M458+'[1]LBP NO. 2'!M528+'[1]LBP NO. 2'!M599+'[1]LBP NO. 2'!M672+'[1]LBP NO. 2'!M742+'[1]LBP NO. 2'!M816+'[1]LBP NO. 2'!M884+'[1]LBP NO. 2'!M951)</f>
        <v>4121653</v>
      </c>
    </row>
    <row r="106" spans="1:14" ht="18" hidden="1" customHeight="1">
      <c r="A106" s="536"/>
      <c r="B106" s="538"/>
      <c r="C106" s="538"/>
      <c r="D106" s="538" t="s">
        <v>1492</v>
      </c>
      <c r="E106" s="538"/>
      <c r="F106" s="597"/>
      <c r="G106" s="584"/>
      <c r="H106" s="598" t="s">
        <v>678</v>
      </c>
      <c r="I106" s="755"/>
      <c r="J106" s="756">
        <f>SUM('[1]LBP NO. 2'!I23+'[1]LBP NO. 2'!I99+'[1]LBP NO. 2'!I170+'[1]LBP NO. 2'!I239+'[1]LBP NO. 2'!I312+'[1]LBP NO. 2'!I383+'[1]LBP NO. 2'!I455+'[1]LBP NO. 2'!I526+'[1]LBP NO. 2'!I597+'[1]LBP NO. 2'!I669+'[1]LBP NO. 2'!I740+'[1]LBP NO. 2'!I813)</f>
        <v>2000000</v>
      </c>
      <c r="K106" s="756">
        <f>SUM('[1]LBP NO. 2'!J23+'[1]LBP NO. 2'!J99+'[1]LBP NO. 2'!J170+'[1]LBP NO. 2'!J239+'[1]LBP NO. 2'!J312+'[1]LBP NO. 2'!J383+'[1]LBP NO. 2'!J455+'[1]LBP NO. 2'!J526+'[1]LBP NO. 2'!J597+'[1]LBP NO. 2'!J669+'[1]LBP NO. 2'!J740+'[1]LBP NO. 2'!J813)</f>
        <v>0</v>
      </c>
      <c r="L106" s="756">
        <f>SUM('[1]LBP NO. 2'!K23+'[1]LBP NO. 2'!K99+'[1]LBP NO. 2'!K170+'[1]LBP NO. 2'!K239+'[1]LBP NO. 2'!K312+'[1]LBP NO. 2'!K383+'[1]LBP NO. 2'!K455+'[1]LBP NO. 2'!K526+'[1]LBP NO. 2'!K597+'[1]LBP NO. 2'!K669+'[1]LBP NO. 2'!K740+'[1]LBP NO. 2'!K813)</f>
        <v>0</v>
      </c>
      <c r="M106" s="756">
        <f>SUM('[1]LBP NO. 2'!L23+'[1]LBP NO. 2'!L99+'[1]LBP NO. 2'!L170+'[1]LBP NO. 2'!L239+'[1]LBP NO. 2'!L312+'[1]LBP NO. 2'!L383+'[1]LBP NO. 2'!L455+'[1]LBP NO. 2'!L526+'[1]LBP NO. 2'!L597+'[1]LBP NO. 2'!L669+'[1]LBP NO. 2'!L740+'[1]LBP NO. 2'!L813)</f>
        <v>0</v>
      </c>
      <c r="N106" s="756">
        <f>SUM('[1]LBP NO. 2'!M23+'[1]LBP NO. 2'!M99+'[1]LBP NO. 2'!M170+'[1]LBP NO. 2'!M239+'[1]LBP NO. 2'!M312+'[1]LBP NO. 2'!M383+'[1]LBP NO. 2'!M455+'[1]LBP NO. 2'!M526+'[1]LBP NO. 2'!M597+'[1]LBP NO. 2'!M669+'[1]LBP NO. 2'!M740+'[1]LBP NO. 2'!M813)</f>
        <v>0</v>
      </c>
    </row>
    <row r="107" spans="1:14" ht="18" hidden="1" customHeight="1">
      <c r="A107" s="536"/>
      <c r="B107" s="538"/>
      <c r="C107" s="538"/>
      <c r="D107" s="538" t="s">
        <v>1580</v>
      </c>
      <c r="E107" s="538"/>
      <c r="F107" s="597"/>
      <c r="G107" s="584"/>
      <c r="H107" s="1258" t="s">
        <v>678</v>
      </c>
      <c r="I107" s="755"/>
      <c r="J107" s="756">
        <f>SUM('[1]LBP NO. 2'!I26+'[1]LBP NO. 2'!I98+'[1]LBP NO. 2'!I169+'[1]LBP NO. 2'!I238+'[1]LBP NO. 2'!I311+'[1]LBP NO. 2'!I382+'[1]LBP NO. 2'!I454+'[1]LBP NO. 2'!I525+'[1]LBP NO. 2'!I596+'[1]LBP NO. 2'!I668+'[1]LBP NO. 2'!I739+'[1]LBP NO. 2'!I812+'[1]LBP NO. 2'!I881+'[1]LBP NO. 2'!I952)</f>
        <v>276000</v>
      </c>
      <c r="K107" s="756">
        <f>SUM('[1]LBP NO. 2'!J26+'[1]LBP NO. 2'!J98+'[1]LBP NO. 2'!J169+'[1]LBP NO. 2'!J238+'[1]LBP NO. 2'!J311+'[1]LBP NO. 2'!J382+'[1]LBP NO. 2'!J454+'[1]LBP NO. 2'!J525+'[1]LBP NO. 2'!J596+'[1]LBP NO. 2'!J668+'[1]LBP NO. 2'!J739+'[1]LBP NO. 2'!J812+'[1]LBP NO. 2'!J881+'[1]LBP NO. 2'!J952)</f>
        <v>0</v>
      </c>
      <c r="L107" s="756">
        <f>SUM('[1]LBP NO. 2'!K26+'[1]LBP NO. 2'!K98+'[1]LBP NO. 2'!K169+'[1]LBP NO. 2'!K238+'[1]LBP NO. 2'!K311+'[1]LBP NO. 2'!K382+'[1]LBP NO. 2'!K454+'[1]LBP NO. 2'!K525+'[1]LBP NO. 2'!K596+'[1]LBP NO. 2'!K668+'[1]LBP NO. 2'!K739+'[1]LBP NO. 2'!K812+'[1]LBP NO. 2'!K881+'[1]LBP NO. 2'!K952)</f>
        <v>0</v>
      </c>
      <c r="M107" s="756">
        <f>SUM('[1]LBP NO. 2'!L26+'[1]LBP NO. 2'!L98+'[1]LBP NO. 2'!L169+'[1]LBP NO. 2'!L238+'[1]LBP NO. 2'!L311+'[1]LBP NO. 2'!L382+'[1]LBP NO. 2'!L454+'[1]LBP NO. 2'!L525+'[1]LBP NO. 2'!L596+'[1]LBP NO. 2'!L668+'[1]LBP NO. 2'!L739+'[1]LBP NO. 2'!L812+'[1]LBP NO. 2'!L881+'[1]LBP NO. 2'!L952)</f>
        <v>0</v>
      </c>
      <c r="N107" s="756">
        <f>SUM('[1]LBP NO. 2'!M26+'[1]LBP NO. 2'!M98+'[1]LBP NO. 2'!M169+'[1]LBP NO. 2'!M238+'[1]LBP NO. 2'!M311+'[1]LBP NO. 2'!M382+'[1]LBP NO. 2'!M454+'[1]LBP NO. 2'!M525+'[1]LBP NO. 2'!M596+'[1]LBP NO. 2'!M668+'[1]LBP NO. 2'!M739+'[1]LBP NO. 2'!M812+'[1]LBP NO. 2'!M881+'[1]LBP NO. 2'!M952)</f>
        <v>0</v>
      </c>
    </row>
    <row r="108" spans="1:14" s="759" customFormat="1" ht="18" hidden="1" customHeight="1">
      <c r="A108" s="754"/>
      <c r="B108" s="597"/>
      <c r="C108" s="597"/>
      <c r="D108" s="597" t="s">
        <v>532</v>
      </c>
      <c r="E108" s="597"/>
      <c r="F108" s="597"/>
      <c r="G108" s="584" t="s">
        <v>589</v>
      </c>
      <c r="H108" s="598" t="s">
        <v>694</v>
      </c>
      <c r="I108" s="755"/>
      <c r="J108" s="756">
        <f>'[1]LBP NO. 2'!I670+'[1]LBP NO. 2'!I814+'[1]LBP NO. 2'!I882</f>
        <v>694610</v>
      </c>
      <c r="K108" s="756">
        <f>'[1]LBP NO. 2'!J670+'[1]LBP NO. 2'!J814+'[1]LBP NO. 2'!J882</f>
        <v>346213.4</v>
      </c>
      <c r="L108" s="756">
        <f>'[1]LBP NO. 2'!K670+'[1]LBP NO. 2'!K814+'[1]LBP NO. 2'!K882</f>
        <v>540795.4</v>
      </c>
      <c r="M108" s="756">
        <f>'[1]LBP NO. 2'!L670+'[1]LBP NO. 2'!L814+'[1]LBP NO. 2'!L882</f>
        <v>887008.8</v>
      </c>
      <c r="N108" s="756">
        <f>'[1]LBP NO. 2'!M670+'[1]LBP NO. 2'!M814+'[1]LBP NO. 2'!M882</f>
        <v>887008.8</v>
      </c>
    </row>
    <row r="109" spans="1:14" s="759" customFormat="1" ht="18" hidden="1" customHeight="1">
      <c r="A109" s="754"/>
      <c r="B109" s="597"/>
      <c r="C109" s="597"/>
      <c r="D109" s="597" t="s">
        <v>1617</v>
      </c>
      <c r="E109" s="597"/>
      <c r="F109" s="597"/>
      <c r="G109" s="584"/>
      <c r="H109" s="598" t="s">
        <v>694</v>
      </c>
      <c r="I109" s="755"/>
      <c r="J109" s="756">
        <v>0</v>
      </c>
      <c r="K109" s="756">
        <v>0</v>
      </c>
      <c r="L109" s="756">
        <v>0</v>
      </c>
      <c r="M109" s="756">
        <v>0</v>
      </c>
      <c r="N109" s="756">
        <v>0</v>
      </c>
    </row>
    <row r="110" spans="1:14" ht="18" hidden="1" customHeight="1">
      <c r="A110" s="536"/>
      <c r="B110" s="538"/>
      <c r="C110" s="597"/>
      <c r="D110" s="597" t="s">
        <v>360</v>
      </c>
      <c r="E110" s="597"/>
      <c r="F110" s="597"/>
      <c r="G110" s="584" t="s">
        <v>590</v>
      </c>
      <c r="H110" s="598" t="s">
        <v>695</v>
      </c>
      <c r="I110" s="755"/>
      <c r="J110" s="756">
        <f>SUM('[1]LBP NO. 2'!I27+'[1]LBP NO. 2'!I313+'[1]LBP NO. 2'!I384+'[1]LBP NO. 2'!I456)</f>
        <v>28728.77</v>
      </c>
      <c r="K110" s="756">
        <f>SUM('[1]LBP NO. 2'!J27+'[1]LBP NO. 2'!J313+'[1]LBP NO. 2'!J384+'[1]LBP NO. 2'!J456)</f>
        <v>109678.84999999999</v>
      </c>
      <c r="L110" s="756">
        <f>SUM('[1]LBP NO. 2'!K27+'[1]LBP NO. 2'!K313+'[1]LBP NO. 2'!K384+'[1]LBP NO. 2'!K456)</f>
        <v>42321.150000000009</v>
      </c>
      <c r="M110" s="756">
        <f>SUM('[1]LBP NO. 2'!L27+'[1]LBP NO. 2'!L313+'[1]LBP NO. 2'!L384+'[1]LBP NO. 2'!L456)</f>
        <v>152000</v>
      </c>
      <c r="N110" s="756">
        <f>SUM('[1]LBP NO. 2'!M27+'[1]LBP NO. 2'!M313+'[1]LBP NO. 2'!M384+'[1]LBP NO. 2'!M456)</f>
        <v>195000</v>
      </c>
    </row>
    <row r="111" spans="1:14" ht="18" hidden="1" customHeight="1">
      <c r="A111" s="536"/>
      <c r="B111" s="538"/>
      <c r="C111" s="597"/>
      <c r="D111" s="597" t="s">
        <v>533</v>
      </c>
      <c r="E111" s="597"/>
      <c r="F111" s="597"/>
      <c r="G111" s="584" t="s">
        <v>591</v>
      </c>
      <c r="H111" s="598" t="s">
        <v>679</v>
      </c>
      <c r="I111" s="755"/>
      <c r="J111" s="756">
        <f>'[1]LBP NO. 2'!I24+'[1]LBP NO. 2'!I100+'[1]LBP NO. 2'!I171+'[1]LBP NO. 2'!I240+'[1]LBP NO. 2'!I314+'[1]LBP NO. 2'!I385+'[1]LBP NO. 2'!I457+'[1]LBP NO. 2'!I527+'[1]LBP NO. 2'!I598+'[1]LBP NO. 2'!I671+'[1]LBP NO. 2'!I741+'[1]LBP NO. 2'!I815+'[1]LBP NO. 2'!I883+'[1]LBP NO. 2'!I950</f>
        <v>497000</v>
      </c>
      <c r="K111" s="756">
        <f>'[1]LBP NO. 2'!J24+'[1]LBP NO. 2'!J100+'[1]LBP NO. 2'!J171+'[1]LBP NO. 2'!J240+'[1]LBP NO. 2'!J314+'[1]LBP NO. 2'!J385+'[1]LBP NO. 2'!J457+'[1]LBP NO. 2'!J527+'[1]LBP NO. 2'!J598+'[1]LBP NO. 2'!J671+'[1]LBP NO. 2'!J741+'[1]LBP NO. 2'!J815+'[1]LBP NO. 2'!J883+'[1]LBP NO. 2'!J950</f>
        <v>0</v>
      </c>
      <c r="L111" s="756">
        <f>'[1]LBP NO. 2'!K24+'[1]LBP NO. 2'!K100+'[1]LBP NO. 2'!K171+'[1]LBP NO. 2'!K240+'[1]LBP NO. 2'!K314+'[1]LBP NO. 2'!K385+'[1]LBP NO. 2'!K457+'[1]LBP NO. 2'!K527+'[1]LBP NO. 2'!K598+'[1]LBP NO. 2'!K671+'[1]LBP NO. 2'!K741+'[1]LBP NO. 2'!K815+'[1]LBP NO. 2'!K883+'[1]LBP NO. 2'!K950</f>
        <v>645000</v>
      </c>
      <c r="M111" s="756">
        <f>'[1]LBP NO. 2'!L24+'[1]LBP NO. 2'!L100+'[1]LBP NO. 2'!L171+'[1]LBP NO. 2'!L240+'[1]LBP NO. 2'!L314+'[1]LBP NO. 2'!L385+'[1]LBP NO. 2'!L457+'[1]LBP NO. 2'!L527+'[1]LBP NO. 2'!L598+'[1]LBP NO. 2'!L671+'[1]LBP NO. 2'!L741+'[1]LBP NO. 2'!L815+'[1]LBP NO. 2'!L883+'[1]LBP NO. 2'!L950</f>
        <v>645000</v>
      </c>
      <c r="N111" s="756">
        <f>'[1]LBP NO. 2'!M24+'[1]LBP NO. 2'!M100+'[1]LBP NO. 2'!M171+'[1]LBP NO. 2'!M240+'[1]LBP NO. 2'!M314+'[1]LBP NO. 2'!M385+'[1]LBP NO. 2'!M457+'[1]LBP NO. 2'!M527+'[1]LBP NO. 2'!M598+'[1]LBP NO. 2'!M671+'[1]LBP NO. 2'!M741+'[1]LBP NO. 2'!M815+'[1]LBP NO. 2'!M883+'[1]LBP NO. 2'!M950</f>
        <v>645000</v>
      </c>
    </row>
    <row r="112" spans="1:14" ht="18" hidden="1" customHeight="1">
      <c r="A112" s="536"/>
      <c r="B112" s="538"/>
      <c r="C112" s="597"/>
      <c r="D112" s="597" t="s">
        <v>534</v>
      </c>
      <c r="E112" s="597"/>
      <c r="F112" s="597"/>
      <c r="G112" s="584" t="s">
        <v>592</v>
      </c>
      <c r="H112" s="598" t="s">
        <v>680</v>
      </c>
      <c r="I112" s="755"/>
      <c r="J112" s="756">
        <f>'[1]LBP NO. 2'!I28+'[1]LBP NO. 2'!I102+'[1]LBP NO. 2'!I173+'[1]LBP NO. 2'!I242+'[1]LBP NO. 2'!I316+'[1]LBP NO. 2'!I387+'[1]LBP NO. 2'!I459+'[1]LBP NO. 2'!I529+'[1]LBP NO. 2'!I600+'[1]LBP NO. 2'!I673+'[1]LBP NO. 2'!I743+'[1]LBP NO. 2'!I817+'[1]LBP NO. 2'!I885+'[1]LBP NO. 2'!I954</f>
        <v>3272002</v>
      </c>
      <c r="K112" s="756">
        <f>'[1]LBP NO. 2'!J28+'[1]LBP NO. 2'!J102+'[1]LBP NO. 2'!J173+'[1]LBP NO. 2'!J242+'[1]LBP NO. 2'!J316+'[1]LBP NO. 2'!J387+'[1]LBP NO. 2'!J459+'[1]LBP NO. 2'!J529+'[1]LBP NO. 2'!J600+'[1]LBP NO. 2'!J673+'[1]LBP NO. 2'!J743+'[1]LBP NO. 2'!J817+'[1]LBP NO. 2'!J885+'[1]LBP NO. 2'!J954</f>
        <v>0</v>
      </c>
      <c r="L112" s="756">
        <f>'[1]LBP NO. 2'!K28+'[1]LBP NO. 2'!K102+'[1]LBP NO. 2'!K173+'[1]LBP NO. 2'!K242+'[1]LBP NO. 2'!K316+'[1]LBP NO. 2'!K387+'[1]LBP NO. 2'!K459+'[1]LBP NO. 2'!K529+'[1]LBP NO. 2'!K600+'[1]LBP NO. 2'!K673+'[1]LBP NO. 2'!K743+'[1]LBP NO. 2'!K817+'[1]LBP NO. 2'!K885+'[1]LBP NO. 2'!K954</f>
        <v>3997651</v>
      </c>
      <c r="M112" s="756">
        <f>'[1]LBP NO. 2'!L28+'[1]LBP NO. 2'!L102+'[1]LBP NO. 2'!L173+'[1]LBP NO. 2'!L242+'[1]LBP NO. 2'!L316+'[1]LBP NO. 2'!L387+'[1]LBP NO. 2'!L459+'[1]LBP NO. 2'!L529+'[1]LBP NO. 2'!L600+'[1]LBP NO. 2'!L673+'[1]LBP NO. 2'!L743+'[1]LBP NO. 2'!L817+'[1]LBP NO. 2'!L885+'[1]LBP NO. 2'!L954</f>
        <v>3997651</v>
      </c>
      <c r="N112" s="756">
        <f>'[1]LBP NO. 2'!M28+'[1]LBP NO. 2'!M102+'[1]LBP NO. 2'!M173+'[1]LBP NO. 2'!M242+'[1]LBP NO. 2'!M316+'[1]LBP NO. 2'!M387+'[1]LBP NO. 2'!M459+'[1]LBP NO. 2'!M529+'[1]LBP NO. 2'!M600+'[1]LBP NO. 2'!M673+'[1]LBP NO. 2'!M743+'[1]LBP NO. 2'!M817+'[1]LBP NO. 2'!M885+'[1]LBP NO. 2'!M954</f>
        <v>4124629</v>
      </c>
    </row>
    <row r="113" spans="1:14" ht="18" hidden="1" customHeight="1">
      <c r="A113" s="536"/>
      <c r="B113" s="538"/>
      <c r="C113" s="597"/>
      <c r="D113" s="597" t="s">
        <v>646</v>
      </c>
      <c r="E113" s="597"/>
      <c r="F113" s="597"/>
      <c r="G113" s="584" t="s">
        <v>593</v>
      </c>
      <c r="H113" s="598" t="s">
        <v>681</v>
      </c>
      <c r="I113" s="755"/>
      <c r="J113" s="756">
        <f>'[1]LBP NO. 2'!I29+'[1]LBP NO. 2'!I103+'[1]LBP NO. 2'!I174+'[1]LBP NO. 2'!I243+'[1]LBP NO. 2'!I317+'[1]LBP NO. 2'!I388+'[1]LBP NO. 2'!I460+'[1]LBP NO. 2'!I530+'[1]LBP NO. 2'!I601+'[1]LBP NO. 2'!I674+'[1]LBP NO. 2'!I744+'[1]LBP NO. 2'!I818+'[1]LBP NO. 2'!I886+'[1]LBP NO. 2'!I955</f>
        <v>4527072.5200000005</v>
      </c>
      <c r="K113" s="756">
        <f>'[1]LBP NO. 2'!J29+'[1]LBP NO. 2'!J103+'[1]LBP NO. 2'!J174+'[1]LBP NO. 2'!J243+'[1]LBP NO. 2'!J317+'[1]LBP NO. 2'!J388+'[1]LBP NO. 2'!J460+'[1]LBP NO. 2'!J530+'[1]LBP NO. 2'!J601+'[1]LBP NO. 2'!J674+'[1]LBP NO. 2'!J744+'[1]LBP NO. 2'!J818+'[1]LBP NO. 2'!J886+'[1]LBP NO. 2'!J955</f>
        <v>1933078.92</v>
      </c>
      <c r="L113" s="756">
        <f>'[1]LBP NO. 2'!K29+'[1]LBP NO. 2'!K103+'[1]LBP NO. 2'!K174+'[1]LBP NO. 2'!K243+'[1]LBP NO. 2'!K317+'[1]LBP NO. 2'!K388+'[1]LBP NO. 2'!K460+'[1]LBP NO. 2'!K530+'[1]LBP NO. 2'!K601+'[1]LBP NO. 2'!K674+'[1]LBP NO. 2'!K744+'[1]LBP NO. 2'!K818+'[1]LBP NO. 2'!K886+'[1]LBP NO. 2'!K955</f>
        <v>3857221.08</v>
      </c>
      <c r="M113" s="756">
        <f>'[1]LBP NO. 2'!L29+'[1]LBP NO. 2'!L103+'[1]LBP NO. 2'!L174+'[1]LBP NO. 2'!L243+'[1]LBP NO. 2'!L317+'[1]LBP NO. 2'!L388+'[1]LBP NO. 2'!L460+'[1]LBP NO. 2'!L530+'[1]LBP NO. 2'!L601+'[1]LBP NO. 2'!L674+'[1]LBP NO. 2'!L744+'[1]LBP NO. 2'!L818+'[1]LBP NO. 2'!L886+'[1]LBP NO. 2'!L955</f>
        <v>5790300</v>
      </c>
      <c r="N113" s="756">
        <f>'[1]LBP NO. 2'!M29+'[1]LBP NO. 2'!M103+'[1]LBP NO. 2'!M174+'[1]LBP NO. 2'!M243+'[1]LBP NO. 2'!M317+'[1]LBP NO. 2'!M388+'[1]LBP NO. 2'!M460+'[1]LBP NO. 2'!M530+'[1]LBP NO. 2'!M601+'[1]LBP NO. 2'!M674+'[1]LBP NO. 2'!M744+'[1]LBP NO. 2'!M818+'[1]LBP NO. 2'!M886+'[1]LBP NO. 2'!M955</f>
        <v>5947000</v>
      </c>
    </row>
    <row r="114" spans="1:14" ht="18" hidden="1" customHeight="1">
      <c r="A114" s="536"/>
      <c r="B114" s="538"/>
      <c r="C114" s="597"/>
      <c r="D114" s="597" t="s">
        <v>535</v>
      </c>
      <c r="E114" s="597"/>
      <c r="F114" s="597"/>
      <c r="G114" s="584" t="s">
        <v>594</v>
      </c>
      <c r="H114" s="598" t="s">
        <v>682</v>
      </c>
      <c r="I114" s="755"/>
      <c r="J114" s="756">
        <f>'[1]LBP NO. 2'!I30+'[1]LBP NO. 2'!I104+'[1]LBP NO. 2'!I175+'[1]LBP NO. 2'!I244+'[1]LBP NO. 2'!I318+'[1]LBP NO. 2'!I389+'[1]LBP NO. 2'!I461+'[1]LBP NO. 2'!I531+'[1]LBP NO. 2'!I602+'[1]LBP NO. 2'!I675+'[1]LBP NO. 2'!I745+'[1]LBP NO. 2'!I819+'[1]LBP NO. 2'!I887+'[1]LBP NO. 2'!I956</f>
        <v>117600</v>
      </c>
      <c r="K114" s="756">
        <f>'[1]LBP NO. 2'!J30+'[1]LBP NO. 2'!J104+'[1]LBP NO. 2'!J175+'[1]LBP NO. 2'!J244+'[1]LBP NO. 2'!J318+'[1]LBP NO. 2'!J389+'[1]LBP NO. 2'!J461+'[1]LBP NO. 2'!J531+'[1]LBP NO. 2'!J602+'[1]LBP NO. 2'!J675+'[1]LBP NO. 2'!J745+'[1]LBP NO. 2'!J819+'[1]LBP NO. 2'!J887+'[1]LBP NO. 2'!J956</f>
        <v>55400</v>
      </c>
      <c r="L114" s="756">
        <f>'[1]LBP NO. 2'!K30+'[1]LBP NO. 2'!K104+'[1]LBP NO. 2'!K175+'[1]LBP NO. 2'!K244+'[1]LBP NO. 2'!K318+'[1]LBP NO. 2'!K389+'[1]LBP NO. 2'!K461+'[1]LBP NO. 2'!K531+'[1]LBP NO. 2'!K602+'[1]LBP NO. 2'!K675+'[1]LBP NO. 2'!K745+'[1]LBP NO. 2'!K819+'[1]LBP NO. 2'!K887+'[1]LBP NO. 2'!K956</f>
        <v>176800</v>
      </c>
      <c r="M114" s="756">
        <f>'[1]LBP NO. 2'!L30+'[1]LBP NO. 2'!L104+'[1]LBP NO. 2'!L175+'[1]LBP NO. 2'!L244+'[1]LBP NO. 2'!L318+'[1]LBP NO. 2'!L389+'[1]LBP NO. 2'!L461+'[1]LBP NO. 2'!L531+'[1]LBP NO. 2'!L602+'[1]LBP NO. 2'!L675+'[1]LBP NO. 2'!L745+'[1]LBP NO. 2'!L819+'[1]LBP NO. 2'!L887+'[1]LBP NO. 2'!L956</f>
        <v>232200</v>
      </c>
      <c r="N114" s="756">
        <f>'[1]LBP NO. 2'!M30+'[1]LBP NO. 2'!M104+'[1]LBP NO. 2'!M175+'[1]LBP NO. 2'!M244+'[1]LBP NO. 2'!M318+'[1]LBP NO. 2'!M389+'[1]LBP NO. 2'!M461+'[1]LBP NO. 2'!M531+'[1]LBP NO. 2'!M602+'[1]LBP NO. 2'!M675+'[1]LBP NO. 2'!M745+'[1]LBP NO. 2'!M819+'[1]LBP NO. 2'!M887+'[1]LBP NO. 2'!M956</f>
        <v>232200</v>
      </c>
    </row>
    <row r="115" spans="1:14" ht="18" hidden="1" customHeight="1">
      <c r="A115" s="536"/>
      <c r="B115" s="538"/>
      <c r="C115" s="597"/>
      <c r="D115" s="597" t="s">
        <v>536</v>
      </c>
      <c r="E115" s="597"/>
      <c r="F115" s="597"/>
      <c r="G115" s="584" t="s">
        <v>595</v>
      </c>
      <c r="H115" s="598" t="s">
        <v>683</v>
      </c>
      <c r="I115" s="755"/>
      <c r="J115" s="756">
        <f>'[1]LBP NO. 2'!I31+'[1]LBP NO. 2'!I105+'[1]LBP NO. 2'!I176+'[1]LBP NO. 2'!I245+'[1]LBP NO. 2'!I319+'[1]LBP NO. 2'!I390+'[1]LBP NO. 2'!I462+'[1]LBP NO. 2'!I532+'[1]LBP NO. 2'!I603+'[1]LBP NO. 2'!I676+'[1]LBP NO. 2'!I746+'[1]LBP NO. 2'!I820+'[1]LBP NO. 2'!I888+'[1]LBP NO. 2'!I957</f>
        <v>494953</v>
      </c>
      <c r="K115" s="756">
        <f>'[1]LBP NO. 2'!J31+'[1]LBP NO. 2'!J105+'[1]LBP NO. 2'!J176+'[1]LBP NO. 2'!J245+'[1]LBP NO. 2'!J319+'[1]LBP NO. 2'!J390+'[1]LBP NO. 2'!J462+'[1]LBP NO. 2'!J532+'[1]LBP NO. 2'!J603+'[1]LBP NO. 2'!J676+'[1]LBP NO. 2'!J746+'[1]LBP NO. 2'!J820+'[1]LBP NO. 2'!J888+'[1]LBP NO. 2'!J957</f>
        <v>224790</v>
      </c>
      <c r="L115" s="756">
        <f>'[1]LBP NO. 2'!K31+'[1]LBP NO. 2'!K105+'[1]LBP NO. 2'!K176+'[1]LBP NO. 2'!K245+'[1]LBP NO. 2'!K319+'[1]LBP NO. 2'!K390+'[1]LBP NO. 2'!K462+'[1]LBP NO. 2'!K532+'[1]LBP NO. 2'!K603+'[1]LBP NO. 2'!K676+'[1]LBP NO. 2'!K746+'[1]LBP NO. 2'!K820+'[1]LBP NO. 2'!K888+'[1]LBP NO. 2'!K957</f>
        <v>753460</v>
      </c>
      <c r="M115" s="756">
        <f>'[1]LBP NO. 2'!L31+'[1]LBP NO. 2'!L105+'[1]LBP NO. 2'!L176+'[1]LBP NO. 2'!L245+'[1]LBP NO. 2'!L319+'[1]LBP NO. 2'!L390+'[1]LBP NO. 2'!L462+'[1]LBP NO. 2'!L532+'[1]LBP NO. 2'!L603+'[1]LBP NO. 2'!L676+'[1]LBP NO. 2'!L746+'[1]LBP NO. 2'!L820+'[1]LBP NO. 2'!L888+'[1]LBP NO. 2'!L957</f>
        <v>978250</v>
      </c>
      <c r="N115" s="756">
        <f>'[1]LBP NO. 2'!M31+'[1]LBP NO. 2'!M105+'[1]LBP NO. 2'!M176+'[1]LBP NO. 2'!M245+'[1]LBP NO. 2'!M319+'[1]LBP NO. 2'!M390+'[1]LBP NO. 2'!M462+'[1]LBP NO. 2'!M532+'[1]LBP NO. 2'!M603+'[1]LBP NO. 2'!M676+'[1]LBP NO. 2'!M746+'[1]LBP NO. 2'!M820+'[1]LBP NO. 2'!M888+'[1]LBP NO. 2'!M957</f>
        <v>1118000</v>
      </c>
    </row>
    <row r="116" spans="1:14" ht="18" hidden="1" customHeight="1">
      <c r="A116" s="536"/>
      <c r="B116" s="538"/>
      <c r="C116" s="597"/>
      <c r="D116" s="597" t="s">
        <v>642</v>
      </c>
      <c r="E116" s="597"/>
      <c r="F116" s="597"/>
      <c r="G116" s="584" t="s">
        <v>596</v>
      </c>
      <c r="H116" s="598" t="s">
        <v>684</v>
      </c>
      <c r="I116" s="755"/>
      <c r="J116" s="756">
        <f>'[1]LBP NO. 2'!I32+'[1]LBP NO. 2'!I106+'[1]LBP NO. 2'!I177+'[1]LBP NO. 2'!I246+'[1]LBP NO. 2'!I320+'[1]LBP NO. 2'!I391+'[1]LBP NO. 2'!I463+'[1]LBP NO. 2'!I533+'[1]LBP NO. 2'!I604+'[1]LBP NO. 2'!I677+'[1]LBP NO. 2'!I747+'[1]LBP NO. 2'!I821+'[1]LBP NO. 2'!I889+'[1]LBP NO. 2'!I958</f>
        <v>117076.78</v>
      </c>
      <c r="K116" s="756">
        <f>'[1]LBP NO. 2'!J32+'[1]LBP NO. 2'!J106+'[1]LBP NO. 2'!J177+'[1]LBP NO. 2'!J246+'[1]LBP NO. 2'!J320+'[1]LBP NO. 2'!J391+'[1]LBP NO. 2'!J463+'[1]LBP NO. 2'!J533+'[1]LBP NO. 2'!J604+'[1]LBP NO. 2'!J677+'[1]LBP NO. 2'!J747+'[1]LBP NO. 2'!J821+'[1]LBP NO. 2'!J889+'[1]LBP NO. 2'!J958</f>
        <v>52900</v>
      </c>
      <c r="L116" s="756">
        <f>'[1]LBP NO. 2'!K32+'[1]LBP NO. 2'!K106+'[1]LBP NO. 2'!K177+'[1]LBP NO. 2'!K246+'[1]LBP NO. 2'!K320+'[1]LBP NO. 2'!K391+'[1]LBP NO. 2'!K463+'[1]LBP NO. 2'!K533+'[1]LBP NO. 2'!K604+'[1]LBP NO. 2'!K677+'[1]LBP NO. 2'!K747+'[1]LBP NO. 2'!K821+'[1]LBP NO. 2'!K889+'[1]LBP NO. 2'!K958</f>
        <v>101900</v>
      </c>
      <c r="M116" s="756">
        <f>'[1]LBP NO. 2'!L32+'[1]LBP NO. 2'!L106+'[1]LBP NO. 2'!L177+'[1]LBP NO. 2'!L246+'[1]LBP NO. 2'!L320+'[1]LBP NO. 2'!L391+'[1]LBP NO. 2'!L463+'[1]LBP NO. 2'!L533+'[1]LBP NO. 2'!L604+'[1]LBP NO. 2'!L677+'[1]LBP NO. 2'!L747+'[1]LBP NO. 2'!L821+'[1]LBP NO. 2'!L889+'[1]LBP NO. 2'!L958</f>
        <v>154800</v>
      </c>
      <c r="N116" s="756">
        <f>'[1]LBP NO. 2'!M32+'[1]LBP NO. 2'!M106+'[1]LBP NO. 2'!M177+'[1]LBP NO. 2'!M246+'[1]LBP NO. 2'!M320+'[1]LBP NO. 2'!M391+'[1]LBP NO. 2'!M463+'[1]LBP NO. 2'!M533+'[1]LBP NO. 2'!M604+'[1]LBP NO. 2'!M677+'[1]LBP NO. 2'!M747+'[1]LBP NO. 2'!M821+'[1]LBP NO. 2'!M889+'[1]LBP NO. 2'!M958</f>
        <v>154800</v>
      </c>
    </row>
    <row r="117" spans="1:14" ht="18" hidden="1" customHeight="1">
      <c r="A117" s="536"/>
      <c r="B117" s="538"/>
      <c r="C117" s="597"/>
      <c r="D117" s="597" t="s">
        <v>365</v>
      </c>
      <c r="E117" s="597"/>
      <c r="F117" s="597"/>
      <c r="G117" s="584"/>
      <c r="H117" s="598" t="s">
        <v>685</v>
      </c>
      <c r="I117" s="755"/>
      <c r="J117" s="756">
        <f>SUM('[1]LBP NO. 2'!I33+'[1]LBP NO. 2'!I107+'[1]LBP NO. 2'!I247+'[1]LBP NO. 2'!I392+'[1]LBP NO. 2'!I464+'[1]LBP NO. 2'!I605+'[1]LBP NO. 2'!I748+'[1]LBP NO. 2'!I890)</f>
        <v>476789.78</v>
      </c>
      <c r="K117" s="756">
        <f>SUM('[1]LBP NO. 2'!J33+'[1]LBP NO. 2'!J107+'[1]LBP NO. 2'!J247+'[1]LBP NO. 2'!J392+'[1]LBP NO. 2'!J464+'[1]LBP NO. 2'!J605+'[1]LBP NO. 2'!J748+'[1]LBP NO. 2'!J890)</f>
        <v>59163.3</v>
      </c>
      <c r="L117" s="756">
        <f>SUM('[1]LBP NO. 2'!K33+'[1]LBP NO. 2'!K107+'[1]LBP NO. 2'!K247+'[1]LBP NO. 2'!K392+'[1]LBP NO. 2'!K464+'[1]LBP NO. 2'!K605+'[1]LBP NO. 2'!K748+'[1]LBP NO. 2'!K890)</f>
        <v>4440836.7</v>
      </c>
      <c r="M117" s="756">
        <f>SUM('[1]LBP NO. 2'!L33+'[1]LBP NO. 2'!L107+'[1]LBP NO. 2'!L247+'[1]LBP NO. 2'!L392+'[1]LBP NO. 2'!L464+'[1]LBP NO. 2'!L605+'[1]LBP NO. 2'!L748+'[1]LBP NO. 2'!L890)</f>
        <v>4500000</v>
      </c>
      <c r="N117" s="756">
        <f>SUM('[1]LBP NO. 2'!M33+'[1]LBP NO. 2'!M107+'[1]LBP NO. 2'!M247+'[1]LBP NO. 2'!M392+'[1]LBP NO. 2'!M464+'[1]LBP NO. 2'!M605+'[1]LBP NO. 2'!M748+'[1]LBP NO. 2'!M890)</f>
        <v>1294000</v>
      </c>
    </row>
    <row r="118" spans="1:14" ht="18" hidden="1" customHeight="1">
      <c r="A118" s="536"/>
      <c r="B118" s="538"/>
      <c r="C118" s="597"/>
      <c r="D118" s="597" t="s">
        <v>537</v>
      </c>
      <c r="E118" s="597"/>
      <c r="F118" s="597"/>
      <c r="G118" s="584" t="s">
        <v>598</v>
      </c>
      <c r="H118" s="598" t="s">
        <v>685</v>
      </c>
      <c r="I118" s="755"/>
      <c r="J118" s="756">
        <f>'[1]LBP NO. 2'!I824</f>
        <v>25000</v>
      </c>
      <c r="K118" s="756">
        <f>'[1]LBP NO. 2'!J824</f>
        <v>0</v>
      </c>
      <c r="L118" s="756">
        <f>'[1]LBP NO. 2'!K824</f>
        <v>25000</v>
      </c>
      <c r="M118" s="756">
        <f>'[1]LBP NO. 2'!L824</f>
        <v>25000</v>
      </c>
      <c r="N118" s="756">
        <f>'[1]LBP NO. 2'!M824</f>
        <v>25000</v>
      </c>
    </row>
    <row r="119" spans="1:14" s="759" customFormat="1" ht="18" hidden="1" customHeight="1">
      <c r="A119" s="768"/>
      <c r="B119" s="769"/>
      <c r="C119" s="769"/>
      <c r="D119" s="769" t="s">
        <v>538</v>
      </c>
      <c r="E119" s="769"/>
      <c r="F119" s="769"/>
      <c r="G119" s="770" t="s">
        <v>388</v>
      </c>
      <c r="H119" s="771" t="s">
        <v>696</v>
      </c>
      <c r="I119" s="772"/>
      <c r="J119" s="773">
        <f>SUM('[1]LBP NO. 2'!I34+'[1]LBP NO. 2'!I108+'[1]LBP NO. 2'!I178+'[1]LBP NO. 2'!I248+'[1]LBP NO. 2'!I321+'[1]LBP NO. 2'!I393+'[1]LBP NO. 2'!I465+'[1]LBP NO. 2'!I534+'[1]LBP NO. 2'!I606+'[1]LBP NO. 2'!I678+'[1]LBP NO. 2'!I749+'[1]LBP NO. 2'!I822+'[1]LBP NO. 2'!I891+'[1]LBP NO. 2'!I959)</f>
        <v>3358753.8</v>
      </c>
      <c r="K119" s="773">
        <f>SUM('[1]LBP NO. 2'!J34+'[1]LBP NO. 2'!J108+'[1]LBP NO. 2'!J178+'[1]LBP NO. 2'!J248+'[1]LBP NO. 2'!J321+'[1]LBP NO. 2'!J393+'[1]LBP NO. 2'!J465+'[1]LBP NO. 2'!J534+'[1]LBP NO. 2'!J606+'[1]LBP NO. 2'!J678+'[1]LBP NO. 2'!J749+'[1]LBP NO. 2'!J822+'[1]LBP NO. 2'!J891+'[1]LBP NO. 2'!J959)</f>
        <v>964774.43</v>
      </c>
      <c r="L119" s="773">
        <f>SUM('[1]LBP NO. 2'!K34+'[1]LBP NO. 2'!K108+'[1]LBP NO. 2'!K178+'[1]LBP NO. 2'!K248+'[1]LBP NO. 2'!K321+'[1]LBP NO. 2'!K393+'[1]LBP NO. 2'!K465+'[1]LBP NO. 2'!K534+'[1]LBP NO. 2'!K606+'[1]LBP NO. 2'!K678+'[1]LBP NO. 2'!K749+'[1]LBP NO. 2'!K822+'[1]LBP NO. 2'!K891+'[1]LBP NO. 2'!K959)</f>
        <v>35225.569999999949</v>
      </c>
      <c r="M119" s="773">
        <f>SUM('[1]LBP NO. 2'!L34+'[1]LBP NO. 2'!L108+'[1]LBP NO. 2'!L178+'[1]LBP NO. 2'!L248+'[1]LBP NO. 2'!L321+'[1]LBP NO. 2'!L393+'[1]LBP NO. 2'!L465+'[1]LBP NO. 2'!L534+'[1]LBP NO. 2'!L606+'[1]LBP NO. 2'!L678+'[1]LBP NO. 2'!L749+'[1]LBP NO. 2'!L822+'[1]LBP NO. 2'!L891+'[1]LBP NO. 2'!L959)</f>
        <v>1000000</v>
      </c>
      <c r="N119" s="773">
        <f>SUM('[1]LBP NO. 2'!M34+'[1]LBP NO. 2'!M108+'[1]LBP NO. 2'!M178+'[1]LBP NO. 2'!M248+'[1]LBP NO. 2'!M321+'[1]LBP NO. 2'!M393+'[1]LBP NO. 2'!M465+'[1]LBP NO. 2'!M534+'[1]LBP NO. 2'!M606+'[1]LBP NO. 2'!M678+'[1]LBP NO. 2'!M749+'[1]LBP NO. 2'!M822+'[1]LBP NO. 2'!M891+'[1]LBP NO. 2'!M959)</f>
        <v>0</v>
      </c>
    </row>
    <row r="120" spans="1:14" ht="18" hidden="1" customHeight="1" thickBot="1">
      <c r="A120" s="544"/>
      <c r="B120" s="545"/>
      <c r="C120" s="769"/>
      <c r="D120" s="769" t="s">
        <v>1493</v>
      </c>
      <c r="E120" s="769"/>
      <c r="F120" s="769"/>
      <c r="G120" s="770" t="s">
        <v>388</v>
      </c>
      <c r="H120" s="771" t="s">
        <v>696</v>
      </c>
      <c r="I120" s="772"/>
      <c r="J120" s="773">
        <f>'[1]LBP NO. 2'!I35+'[1]LBP NO. 2'!I109+'[1]LBP NO. 2'!I179+'[1]LBP NO. 2'!I249+'[1]LBP NO. 2'!I322+'[1]LBP NO. 2'!I394+'[1]LBP NO. 2'!I466+'[1]LBP NO. 2'!I535+'[1]LBP NO. 2'!I607+'[1]LBP NO. 2'!I679+'[1]LBP NO. 2'!I750+'[1]LBP NO. 2'!I823+'[1]LBP NO. 2'!I892+'[1]LBP NO. 2'!I960</f>
        <v>1330000</v>
      </c>
      <c r="K120" s="773">
        <f>'[1]LBP NO. 2'!J35+'[1]LBP NO. 2'!J109+'[1]LBP NO. 2'!J179+'[1]LBP NO. 2'!J249+'[1]LBP NO. 2'!J322+'[1]LBP NO. 2'!J394+'[1]LBP NO. 2'!J466+'[1]LBP NO. 2'!J535+'[1]LBP NO. 2'!J607+'[1]LBP NO. 2'!J679+'[1]LBP NO. 2'!J750+'[1]LBP NO. 2'!J823+'[1]LBP NO. 2'!J892+'[1]LBP NO. 2'!J960</f>
        <v>0</v>
      </c>
      <c r="L120" s="773">
        <f>'[1]LBP NO. 2'!K35+'[1]LBP NO. 2'!K109+'[1]LBP NO. 2'!K179+'[1]LBP NO. 2'!K249+'[1]LBP NO. 2'!K322+'[1]LBP NO. 2'!K394+'[1]LBP NO. 2'!K466+'[1]LBP NO. 2'!K535+'[1]LBP NO. 2'!K607+'[1]LBP NO. 2'!K679+'[1]LBP NO. 2'!K750+'[1]LBP NO. 2'!K823+'[1]LBP NO. 2'!K892+'[1]LBP NO. 2'!K960</f>
        <v>0</v>
      </c>
      <c r="M120" s="773">
        <f>'[1]LBP NO. 2'!L35+'[1]LBP NO. 2'!L109+'[1]LBP NO. 2'!L179+'[1]LBP NO. 2'!L249+'[1]LBP NO. 2'!L322+'[1]LBP NO. 2'!L394+'[1]LBP NO. 2'!L466+'[1]LBP NO. 2'!L535+'[1]LBP NO. 2'!L607+'[1]LBP NO. 2'!L679+'[1]LBP NO. 2'!L750+'[1]LBP NO. 2'!L823+'[1]LBP NO. 2'!L892+'[1]LBP NO. 2'!L960</f>
        <v>0</v>
      </c>
      <c r="N120" s="773">
        <f>'[1]LBP NO. 2'!M35+'[1]LBP NO. 2'!M109+'[1]LBP NO. 2'!M179+'[1]LBP NO. 2'!M249+'[1]LBP NO. 2'!M322+'[1]LBP NO. 2'!M394+'[1]LBP NO. 2'!M466+'[1]LBP NO. 2'!M535+'[1]LBP NO. 2'!M607+'[1]LBP NO. 2'!M679+'[1]LBP NO. 2'!M750+'[1]LBP NO. 2'!M823+'[1]LBP NO. 2'!M892+'[1]LBP NO. 2'!M960</f>
        <v>0</v>
      </c>
    </row>
    <row r="121" spans="1:14" s="7" customFormat="1" ht="18" hidden="1" customHeight="1" thickBot="1">
      <c r="A121" s="553"/>
      <c r="B121" s="554"/>
      <c r="C121" s="897"/>
      <c r="D121" s="897" t="s">
        <v>364</v>
      </c>
      <c r="E121" s="897"/>
      <c r="F121" s="897"/>
      <c r="G121" s="898"/>
      <c r="H121" s="899"/>
      <c r="I121" s="900"/>
      <c r="J121" s="901">
        <f t="shared" ref="J121:M121" si="3">SUM(J95:J120)</f>
        <v>66148106.840000011</v>
      </c>
      <c r="K121" s="901">
        <f t="shared" si="3"/>
        <v>32456583.989999998</v>
      </c>
      <c r="L121" s="901">
        <f t="shared" si="3"/>
        <v>46394045.809999995</v>
      </c>
      <c r="M121" s="901">
        <f t="shared" si="3"/>
        <v>78850629.799999997</v>
      </c>
      <c r="N121" s="901">
        <f>SUM(N95:N120)</f>
        <v>76909579.799999997</v>
      </c>
    </row>
    <row r="122" spans="1:14" s="7" customFormat="1" ht="6.75" hidden="1" customHeight="1">
      <c r="A122" s="559"/>
      <c r="B122" s="560"/>
      <c r="C122" s="560"/>
      <c r="D122" s="560"/>
      <c r="E122" s="560"/>
      <c r="F122" s="902"/>
      <c r="G122" s="903"/>
      <c r="H122" s="904"/>
      <c r="I122" s="905"/>
      <c r="J122" s="906"/>
      <c r="K122" s="906"/>
      <c r="L122" s="907"/>
      <c r="M122" s="906"/>
      <c r="N122" s="906"/>
    </row>
    <row r="123" spans="1:14" ht="18" hidden="1" customHeight="1">
      <c r="A123" s="536"/>
      <c r="B123" s="568" t="s">
        <v>539</v>
      </c>
      <c r="C123" s="538"/>
      <c r="D123" s="538"/>
      <c r="E123" s="538"/>
      <c r="F123" s="597"/>
      <c r="G123" s="895"/>
      <c r="H123" s="598"/>
      <c r="I123" s="755"/>
      <c r="J123" s="756"/>
      <c r="K123" s="757"/>
      <c r="L123" s="758"/>
      <c r="M123" s="757"/>
      <c r="N123" s="757"/>
    </row>
    <row r="124" spans="1:14" ht="18" hidden="1" customHeight="1">
      <c r="A124" s="536"/>
      <c r="B124" s="538"/>
      <c r="C124" s="538"/>
      <c r="D124" s="538" t="s">
        <v>540</v>
      </c>
      <c r="E124" s="538"/>
      <c r="F124" s="597"/>
      <c r="G124" s="584" t="s">
        <v>376</v>
      </c>
      <c r="H124" s="598" t="s">
        <v>686</v>
      </c>
      <c r="I124" s="755"/>
      <c r="J124" s="756">
        <f>SUM('[1]LBP NO. 2'!I38+'[1]LBP NO. 2'!I112+'[1]LBP NO. 2'!I182+'[1]LBP NO. 2'!I252+'[1]LBP NO. 2'!I325+'[1]LBP NO. 2'!I397+'[1]LBP NO. 2'!I469+'[1]LBP NO. 2'!I538+'[1]LBP NO. 2'!I610+'[1]LBP NO. 2'!I682+'[1]LBP NO. 2'!I753+'[1]LBP NO. 2'!I827+'[1]LBP NO. 2'!I895+'[1]LBP NO. 2'!I963)</f>
        <v>685674.36</v>
      </c>
      <c r="K124" s="756">
        <f>SUM('[1]LBP NO. 2'!J38+'[1]LBP NO. 2'!J112+'[1]LBP NO. 2'!J182+'[1]LBP NO. 2'!J252+'[1]LBP NO. 2'!J325+'[1]LBP NO. 2'!J397+'[1]LBP NO. 2'!J469+'[1]LBP NO. 2'!J538+'[1]LBP NO. 2'!J610+'[1]LBP NO. 2'!J682+'[1]LBP NO. 2'!J753+'[1]LBP NO. 2'!J827+'[1]LBP NO. 2'!J895+'[1]LBP NO. 2'!J963)</f>
        <v>1075183.1000000001</v>
      </c>
      <c r="L124" s="756">
        <f>SUM('[1]LBP NO. 2'!K38+'[1]LBP NO. 2'!K112+'[1]LBP NO. 2'!K182+'[1]LBP NO. 2'!K252+'[1]LBP NO. 2'!K325+'[1]LBP NO. 2'!K397+'[1]LBP NO. 2'!K469+'[1]LBP NO. 2'!K538+'[1]LBP NO. 2'!K610+'[1]LBP NO. 2'!K682+'[1]LBP NO. 2'!K753+'[1]LBP NO. 2'!K827+'[1]LBP NO. 2'!K895+'[1]LBP NO. 2'!K963)</f>
        <v>2196756.9</v>
      </c>
      <c r="M124" s="756">
        <f>SUM('[1]LBP NO. 2'!L38+'[1]LBP NO. 2'!L112+'[1]LBP NO. 2'!L182+'[1]LBP NO. 2'!L252+'[1]LBP NO. 2'!L325+'[1]LBP NO. 2'!L397+'[1]LBP NO. 2'!L469+'[1]LBP NO. 2'!L538+'[1]LBP NO. 2'!L610+'[1]LBP NO. 2'!L682+'[1]LBP NO. 2'!L753+'[1]LBP NO. 2'!L827+'[1]LBP NO. 2'!L895+'[1]LBP NO. 2'!L963)</f>
        <v>3271940</v>
      </c>
      <c r="N124" s="756">
        <f>SUM('[1]LBP NO. 2'!M38+'[1]LBP NO. 2'!M112+'[1]LBP NO. 2'!M182+'[1]LBP NO. 2'!M252+'[1]LBP NO. 2'!M325+'[1]LBP NO. 2'!M397+'[1]LBP NO. 2'!M469+'[1]LBP NO. 2'!M538+'[1]LBP NO. 2'!M610+'[1]LBP NO. 2'!M682+'[1]LBP NO. 2'!M753+'[1]LBP NO. 2'!M827+'[1]LBP NO. 2'!M895+'[1]LBP NO. 2'!M963)</f>
        <v>3271940</v>
      </c>
    </row>
    <row r="125" spans="1:14" ht="18" hidden="1" customHeight="1">
      <c r="A125" s="536"/>
      <c r="B125" s="538"/>
      <c r="C125" s="538"/>
      <c r="D125" s="538" t="s">
        <v>421</v>
      </c>
      <c r="E125" s="538"/>
      <c r="F125" s="597"/>
      <c r="G125" s="584" t="s">
        <v>377</v>
      </c>
      <c r="H125" s="598" t="s">
        <v>687</v>
      </c>
      <c r="I125" s="755"/>
      <c r="J125" s="756">
        <f>SUM('[1]LBP NO. 2'!I39+'[1]LBP NO. 2'!I113+'[1]LBP NO. 2'!I183+'[1]LBP NO. 2'!I253+'[1]LBP NO. 2'!I326+'[1]LBP NO. 2'!I398+'[1]LBP NO. 2'!I470+'[1]LBP NO. 2'!I539+'[1]LBP NO. 2'!I611+'[1]LBP NO. 2'!I683+'[1]LBP NO. 2'!I754+'[1]LBP NO. 2'!I828+'[1]LBP NO. 2'!I896+'[1]LBP NO. 2'!I964)</f>
        <v>777947</v>
      </c>
      <c r="K125" s="756">
        <f>SUM('[1]LBP NO. 2'!J39+'[1]LBP NO. 2'!J113+'[1]LBP NO. 2'!J183+'[1]LBP NO. 2'!J253+'[1]LBP NO. 2'!J326+'[1]LBP NO. 2'!J398+'[1]LBP NO. 2'!J470+'[1]LBP NO. 2'!J539+'[1]LBP NO. 2'!J611+'[1]LBP NO. 2'!J683+'[1]LBP NO. 2'!J754+'[1]LBP NO. 2'!J828+'[1]LBP NO. 2'!J896+'[1]LBP NO. 2'!J964)</f>
        <v>536710.27</v>
      </c>
      <c r="L125" s="756">
        <f>SUM('[1]LBP NO. 2'!K39+'[1]LBP NO. 2'!K113+'[1]LBP NO. 2'!K183+'[1]LBP NO. 2'!K253+'[1]LBP NO. 2'!K326+'[1]LBP NO. 2'!K398+'[1]LBP NO. 2'!K470+'[1]LBP NO. 2'!K539+'[1]LBP NO. 2'!K611+'[1]LBP NO. 2'!K683+'[1]LBP NO. 2'!K754+'[1]LBP NO. 2'!K828+'[1]LBP NO. 2'!K896+'[1]LBP NO. 2'!K964)</f>
        <v>2028690.73</v>
      </c>
      <c r="M125" s="756">
        <f>SUM('[1]LBP NO. 2'!L39+'[1]LBP NO. 2'!L113+'[1]LBP NO. 2'!L183+'[1]LBP NO. 2'!L253+'[1]LBP NO. 2'!L326+'[1]LBP NO. 2'!L398+'[1]LBP NO. 2'!L470+'[1]LBP NO. 2'!L539+'[1]LBP NO. 2'!L611+'[1]LBP NO. 2'!L683+'[1]LBP NO. 2'!L754+'[1]LBP NO. 2'!L828+'[1]LBP NO. 2'!L896+'[1]LBP NO. 2'!L964)</f>
        <v>2565401</v>
      </c>
      <c r="N125" s="756">
        <f>SUM('[1]LBP NO. 2'!M39+'[1]LBP NO. 2'!M113+'[1]LBP NO. 2'!M183+'[1]LBP NO. 2'!M253+'[1]LBP NO. 2'!M326+'[1]LBP NO. 2'!M398+'[1]LBP NO. 2'!M470+'[1]LBP NO. 2'!M539+'[1]LBP NO. 2'!M611+'[1]LBP NO. 2'!M683+'[1]LBP NO. 2'!M754+'[1]LBP NO. 2'!M828+'[1]LBP NO. 2'!M896+'[1]LBP NO. 2'!M964)</f>
        <v>2565401</v>
      </c>
    </row>
    <row r="126" spans="1:14" ht="18" hidden="1" customHeight="1">
      <c r="A126" s="536"/>
      <c r="B126" s="538"/>
      <c r="C126" s="538"/>
      <c r="D126" s="538" t="s">
        <v>371</v>
      </c>
      <c r="E126" s="538"/>
      <c r="F126" s="597"/>
      <c r="G126" s="584" t="s">
        <v>379</v>
      </c>
      <c r="H126" s="598" t="s">
        <v>688</v>
      </c>
      <c r="I126" s="755"/>
      <c r="J126" s="756">
        <f>SUM('[1]LBP NO. 2'!I40+'[1]LBP NO. 2'!I114+'[1]LBP NO. 2'!I184+'[1]LBP NO. 2'!I254+'[1]LBP NO. 2'!I327+'[1]LBP NO. 2'!I399+'[1]LBP NO. 2'!I471+'[1]LBP NO. 2'!I540+'[1]LBP NO. 2'!I612+'[1]LBP NO. 2'!I684+'[1]LBP NO. 2'!I755+'[1]LBP NO. 2'!I829+'[1]LBP NO. 2'!I897+'[1]LBP NO. 2'!I965)</f>
        <v>3070395.4299999997</v>
      </c>
      <c r="K126" s="756">
        <f>SUM('[1]LBP NO. 2'!J40+'[1]LBP NO. 2'!J114+'[1]LBP NO. 2'!J184+'[1]LBP NO. 2'!J254+'[1]LBP NO. 2'!J327+'[1]LBP NO. 2'!J399+'[1]LBP NO. 2'!J471+'[1]LBP NO. 2'!J540+'[1]LBP NO. 2'!J612+'[1]LBP NO. 2'!J684+'[1]LBP NO. 2'!J755+'[1]LBP NO. 2'!J829+'[1]LBP NO. 2'!J897+'[1]LBP NO. 2'!J965)</f>
        <v>1389577.27</v>
      </c>
      <c r="L126" s="756">
        <f>SUM('[1]LBP NO. 2'!K40+'[1]LBP NO. 2'!K114+'[1]LBP NO. 2'!K184+'[1]LBP NO. 2'!K254+'[1]LBP NO. 2'!K327+'[1]LBP NO. 2'!K399+'[1]LBP NO. 2'!K471+'[1]LBP NO. 2'!K540+'[1]LBP NO. 2'!K612+'[1]LBP NO. 2'!K684+'[1]LBP NO. 2'!K755+'[1]LBP NO. 2'!K829+'[1]LBP NO. 2'!K897+'[1]LBP NO. 2'!K965)</f>
        <v>2282832.73</v>
      </c>
      <c r="M126" s="756">
        <f>SUM('[1]LBP NO. 2'!L40+'[1]LBP NO. 2'!L114+'[1]LBP NO. 2'!L184+'[1]LBP NO. 2'!L254+'[1]LBP NO. 2'!L327+'[1]LBP NO. 2'!L399+'[1]LBP NO. 2'!L471+'[1]LBP NO. 2'!L540+'[1]LBP NO. 2'!L612+'[1]LBP NO. 2'!L684+'[1]LBP NO. 2'!L755+'[1]LBP NO. 2'!L829+'[1]LBP NO. 2'!L897+'[1]LBP NO. 2'!L965)</f>
        <v>3672410</v>
      </c>
      <c r="N126" s="756">
        <f>SUM('[1]LBP NO. 2'!M40+'[1]LBP NO. 2'!M114+'[1]LBP NO. 2'!M184+'[1]LBP NO. 2'!M254+'[1]LBP NO. 2'!M327+'[1]LBP NO. 2'!M399+'[1]LBP NO. 2'!M471+'[1]LBP NO. 2'!M540+'[1]LBP NO. 2'!M612+'[1]LBP NO. 2'!M684+'[1]LBP NO. 2'!M755+'[1]LBP NO. 2'!M829+'[1]LBP NO. 2'!M897+'[1]LBP NO. 2'!M965)</f>
        <v>3672410</v>
      </c>
    </row>
    <row r="127" spans="1:14" ht="18" hidden="1" customHeight="1">
      <c r="A127" s="536"/>
      <c r="B127" s="538"/>
      <c r="C127" s="538"/>
      <c r="D127" s="538" t="s">
        <v>541</v>
      </c>
      <c r="E127" s="538"/>
      <c r="F127" s="597"/>
      <c r="G127" s="584" t="s">
        <v>599</v>
      </c>
      <c r="H127" s="598" t="s">
        <v>697</v>
      </c>
      <c r="I127" s="755"/>
      <c r="J127" s="756">
        <f>'[1]LBP NO. 2'!I472</f>
        <v>200000</v>
      </c>
      <c r="K127" s="756">
        <f>'[1]LBP NO. 2'!J472</f>
        <v>119985</v>
      </c>
      <c r="L127" s="756">
        <f>'[1]LBP NO. 2'!K472</f>
        <v>80015</v>
      </c>
      <c r="M127" s="756">
        <f>'[1]LBP NO. 2'!L472</f>
        <v>200000</v>
      </c>
      <c r="N127" s="756">
        <f>'[1]LBP NO. 2'!M472</f>
        <v>200000</v>
      </c>
    </row>
    <row r="128" spans="1:14" ht="18" hidden="1" customHeight="1">
      <c r="A128" s="536"/>
      <c r="B128" s="538"/>
      <c r="C128" s="538"/>
      <c r="D128" s="538" t="s">
        <v>542</v>
      </c>
      <c r="E128" s="538"/>
      <c r="F128" s="597"/>
      <c r="G128" s="584" t="s">
        <v>378</v>
      </c>
      <c r="H128" s="598" t="s">
        <v>698</v>
      </c>
      <c r="I128" s="755"/>
      <c r="J128" s="756">
        <f>SUM('[1]LBP NO. 2'!I830+'[1]LBP NO. 2'!I898)</f>
        <v>2316974</v>
      </c>
      <c r="K128" s="756">
        <f>SUM('[1]LBP NO. 2'!J830+'[1]LBP NO. 2'!J898)</f>
        <v>896175</v>
      </c>
      <c r="L128" s="756">
        <f>SUM('[1]LBP NO. 2'!K830+'[1]LBP NO. 2'!K898)</f>
        <v>1904890</v>
      </c>
      <c r="M128" s="756">
        <f>SUM('[1]LBP NO. 2'!L830+'[1]LBP NO. 2'!L898)</f>
        <v>2801065</v>
      </c>
      <c r="N128" s="756">
        <f>SUM('[1]LBP NO. 2'!M830+'[1]LBP NO. 2'!M898)</f>
        <v>2801065</v>
      </c>
    </row>
    <row r="129" spans="1:14" ht="18" hidden="1" customHeight="1">
      <c r="A129" s="536"/>
      <c r="B129" s="538"/>
      <c r="C129" s="538"/>
      <c r="D129" s="538" t="s">
        <v>543</v>
      </c>
      <c r="E129" s="538"/>
      <c r="F129" s="597"/>
      <c r="G129" s="584" t="s">
        <v>389</v>
      </c>
      <c r="H129" s="598" t="s">
        <v>699</v>
      </c>
      <c r="I129" s="755"/>
      <c r="J129" s="756">
        <f>'[1]LBP NO. 2'!I831</f>
        <v>120048</v>
      </c>
      <c r="K129" s="756">
        <f>'[1]LBP NO. 2'!J831</f>
        <v>38935</v>
      </c>
      <c r="L129" s="756">
        <f>'[1]LBP NO. 2'!K831</f>
        <v>158215</v>
      </c>
      <c r="M129" s="756">
        <f>'[1]LBP NO. 2'!L831</f>
        <v>197150</v>
      </c>
      <c r="N129" s="756">
        <f>'[1]LBP NO. 2'!M831</f>
        <v>197150</v>
      </c>
    </row>
    <row r="130" spans="1:14" ht="18" hidden="1" customHeight="1">
      <c r="A130" s="536"/>
      <c r="B130" s="538"/>
      <c r="C130" s="538"/>
      <c r="D130" s="538" t="s">
        <v>905</v>
      </c>
      <c r="E130" s="538"/>
      <c r="F130" s="597"/>
      <c r="G130" s="584" t="s">
        <v>600</v>
      </c>
      <c r="H130" s="598" t="s">
        <v>700</v>
      </c>
      <c r="I130" s="755"/>
      <c r="J130" s="756">
        <f>SUM('[1]LBP NO. 2'!I115)</f>
        <v>141032.81</v>
      </c>
      <c r="K130" s="756">
        <f>SUM('[1]LBP NO. 2'!J115)</f>
        <v>74947.850000000006</v>
      </c>
      <c r="L130" s="756">
        <f>SUM('[1]LBP NO. 2'!K115)</f>
        <v>675052.15</v>
      </c>
      <c r="M130" s="756">
        <f>SUM('[1]LBP NO. 2'!L115)</f>
        <v>750000</v>
      </c>
      <c r="N130" s="756">
        <f>SUM('[1]LBP NO. 2'!M115)</f>
        <v>750000</v>
      </c>
    </row>
    <row r="131" spans="1:14" ht="18" hidden="1" customHeight="1">
      <c r="A131" s="536"/>
      <c r="B131" s="538"/>
      <c r="C131" s="538"/>
      <c r="D131" s="538" t="s">
        <v>544</v>
      </c>
      <c r="E131" s="538"/>
      <c r="F131" s="597"/>
      <c r="G131" s="584" t="s">
        <v>601</v>
      </c>
      <c r="H131" s="598" t="s">
        <v>689</v>
      </c>
      <c r="I131" s="755"/>
      <c r="J131" s="756">
        <f>SUM('[1]LBP NO. 2'!I41+'[1]LBP NO. 2'!I116+'[1]LBP NO. 2'!I255+'[1]LBP NO. 2'!I473+'[1]LBP NO. 2'!I541+'[1]LBP NO. 2'!I613+'[1]LBP NO. 2'!I685+'[1]LBP NO. 2'!I756)</f>
        <v>339</v>
      </c>
      <c r="K131" s="756">
        <f>SUM('[1]LBP NO. 2'!J41+'[1]LBP NO. 2'!J116+'[1]LBP NO. 2'!J255+'[1]LBP NO. 2'!J473+'[1]LBP NO. 2'!J541+'[1]LBP NO. 2'!J613+'[1]LBP NO. 2'!J685+'[1]LBP NO. 2'!J756)</f>
        <v>215</v>
      </c>
      <c r="L131" s="756">
        <f>SUM('[1]LBP NO. 2'!K41+'[1]LBP NO. 2'!K116+'[1]LBP NO. 2'!K255+'[1]LBP NO. 2'!K473+'[1]LBP NO. 2'!K541+'[1]LBP NO. 2'!K613+'[1]LBP NO. 2'!K685+'[1]LBP NO. 2'!K756)</f>
        <v>27735</v>
      </c>
      <c r="M131" s="756">
        <f>SUM('[1]LBP NO. 2'!L41+'[1]LBP NO. 2'!L116+'[1]LBP NO. 2'!L255+'[1]LBP NO. 2'!L473+'[1]LBP NO. 2'!L541+'[1]LBP NO. 2'!L613+'[1]LBP NO. 2'!L685+'[1]LBP NO. 2'!L756)</f>
        <v>27950</v>
      </c>
      <c r="N131" s="756">
        <f>SUM('[1]LBP NO. 2'!M41+'[1]LBP NO. 2'!M116+'[1]LBP NO. 2'!M255+'[1]LBP NO. 2'!M473+'[1]LBP NO. 2'!M541+'[1]LBP NO. 2'!M613+'[1]LBP NO. 2'!M685+'[1]LBP NO. 2'!M756)</f>
        <v>27950</v>
      </c>
    </row>
    <row r="132" spans="1:14" ht="18" hidden="1" customHeight="1">
      <c r="A132" s="536"/>
      <c r="B132" s="538"/>
      <c r="C132" s="538"/>
      <c r="D132" s="538" t="s">
        <v>545</v>
      </c>
      <c r="E132" s="538"/>
      <c r="F132" s="597"/>
      <c r="G132" s="584" t="s">
        <v>602</v>
      </c>
      <c r="H132" s="598" t="s">
        <v>690</v>
      </c>
      <c r="I132" s="755"/>
      <c r="J132" s="756">
        <f>SUM('[1]LBP NO. 2'!I117)</f>
        <v>84887.16</v>
      </c>
      <c r="K132" s="756">
        <f>SUM('[1]LBP NO. 2'!J117)</f>
        <v>30575.09</v>
      </c>
      <c r="L132" s="756">
        <f>SUM('[1]LBP NO. 2'!K117)</f>
        <v>65424.91</v>
      </c>
      <c r="M132" s="756">
        <f>SUM('[1]LBP NO. 2'!L117)</f>
        <v>96000</v>
      </c>
      <c r="N132" s="756">
        <f>SUM('[1]LBP NO. 2'!M117)</f>
        <v>96000</v>
      </c>
    </row>
    <row r="133" spans="1:14" ht="18" hidden="1" customHeight="1">
      <c r="A133" s="536"/>
      <c r="B133" s="538"/>
      <c r="C133" s="538"/>
      <c r="D133" s="538" t="s">
        <v>546</v>
      </c>
      <c r="E133" s="538"/>
      <c r="F133" s="597"/>
      <c r="G133" s="584" t="s">
        <v>380</v>
      </c>
      <c r="H133" s="598" t="s">
        <v>690</v>
      </c>
      <c r="I133" s="755"/>
      <c r="J133" s="756">
        <f>SUM('[1]LBP NO. 2'!I42+'[1]LBP NO. 2'!I118+'[1]LBP NO. 2'!I185+'[1]LBP NO. 2'!I256+'[1]LBP NO. 2'!I328+'[1]LBP NO. 2'!I400+'[1]LBP NO. 2'!I474+'[1]LBP NO. 2'!I542+'[1]LBP NO. 2'!I614+'[1]LBP NO. 2'!I686+'[1]LBP NO. 2'!I757+'[1]LBP NO. 2'!I833+'[1]LBP NO. 2'!I966)</f>
        <v>912000</v>
      </c>
      <c r="K133" s="756">
        <f>SUM('[1]LBP NO. 2'!J42+'[1]LBP NO. 2'!J118+'[1]LBP NO. 2'!J185+'[1]LBP NO. 2'!J256+'[1]LBP NO. 2'!J328+'[1]LBP NO. 2'!J400+'[1]LBP NO. 2'!J474+'[1]LBP NO. 2'!J542+'[1]LBP NO. 2'!J614+'[1]LBP NO. 2'!J686+'[1]LBP NO. 2'!J757+'[1]LBP NO. 2'!J833+'[1]LBP NO. 2'!J966)</f>
        <v>448200</v>
      </c>
      <c r="L133" s="756">
        <f>SUM('[1]LBP NO. 2'!K42+'[1]LBP NO. 2'!K118+'[1]LBP NO. 2'!K185+'[1]LBP NO. 2'!K256+'[1]LBP NO. 2'!K328+'[1]LBP NO. 2'!K400+'[1]LBP NO. 2'!K474+'[1]LBP NO. 2'!K542+'[1]LBP NO. 2'!K614+'[1]LBP NO. 2'!K686+'[1]LBP NO. 2'!K757+'[1]LBP NO. 2'!K833+'[1]LBP NO. 2'!K966)</f>
        <v>484200</v>
      </c>
      <c r="M133" s="756">
        <f>SUM('[1]LBP NO. 2'!L42+'[1]LBP NO. 2'!L118+'[1]LBP NO. 2'!L185+'[1]LBP NO. 2'!L256+'[1]LBP NO. 2'!L328+'[1]LBP NO. 2'!L400+'[1]LBP NO. 2'!L474+'[1]LBP NO. 2'!L542+'[1]LBP NO. 2'!L614+'[1]LBP NO. 2'!L686+'[1]LBP NO. 2'!L757+'[1]LBP NO. 2'!L833+'[1]LBP NO. 2'!L966)</f>
        <v>932400</v>
      </c>
      <c r="N133" s="756">
        <f>SUM('[1]LBP NO. 2'!M42+'[1]LBP NO. 2'!M118+'[1]LBP NO. 2'!M185+'[1]LBP NO. 2'!M256+'[1]LBP NO. 2'!M328+'[1]LBP NO. 2'!M400+'[1]LBP NO. 2'!M474+'[1]LBP NO. 2'!M542+'[1]LBP NO. 2'!M614+'[1]LBP NO. 2'!M686+'[1]LBP NO. 2'!M757+'[1]LBP NO. 2'!M833+'[1]LBP NO. 2'!M966)</f>
        <v>968400</v>
      </c>
    </row>
    <row r="134" spans="1:14" ht="18" hidden="1" customHeight="1">
      <c r="A134" s="536"/>
      <c r="B134" s="538"/>
      <c r="C134" s="538"/>
      <c r="D134" s="538" t="s">
        <v>547</v>
      </c>
      <c r="E134" s="538"/>
      <c r="F134" s="597"/>
      <c r="G134" s="584" t="s">
        <v>603</v>
      </c>
      <c r="H134" s="598" t="s">
        <v>701</v>
      </c>
      <c r="I134" s="755"/>
      <c r="J134" s="756">
        <f>'[1]LBP NO. 2'!I119</f>
        <v>630000</v>
      </c>
      <c r="K134" s="756">
        <f>'[1]LBP NO. 2'!J119</f>
        <v>0</v>
      </c>
      <c r="L134" s="756">
        <f>'[1]LBP NO. 2'!K119</f>
        <v>1300000</v>
      </c>
      <c r="M134" s="756">
        <f>'[1]LBP NO. 2'!L119</f>
        <v>1300000</v>
      </c>
      <c r="N134" s="756">
        <f>'[1]LBP NO. 2'!M119</f>
        <v>1300000</v>
      </c>
    </row>
    <row r="135" spans="1:14" ht="18" hidden="1" customHeight="1">
      <c r="A135" s="536"/>
      <c r="B135" s="538"/>
      <c r="C135" s="538"/>
      <c r="D135" s="538" t="s">
        <v>548</v>
      </c>
      <c r="E135" s="538"/>
      <c r="F135" s="597"/>
      <c r="G135" s="584" t="s">
        <v>604</v>
      </c>
      <c r="H135" s="598" t="s">
        <v>702</v>
      </c>
      <c r="I135" s="755"/>
      <c r="J135" s="756">
        <f>'[1]LBP NO. 2'!I120</f>
        <v>249630</v>
      </c>
      <c r="K135" s="756">
        <f>'[1]LBP NO. 2'!J120</f>
        <v>111033</v>
      </c>
      <c r="L135" s="756">
        <f>'[1]LBP NO. 2'!K120</f>
        <v>138967</v>
      </c>
      <c r="M135" s="756">
        <f>'[1]LBP NO. 2'!L120</f>
        <v>250000</v>
      </c>
      <c r="N135" s="756">
        <f>'[1]LBP NO. 2'!M120</f>
        <v>250000</v>
      </c>
    </row>
    <row r="136" spans="1:14" ht="18" hidden="1" customHeight="1">
      <c r="A136" s="536"/>
      <c r="B136" s="538"/>
      <c r="C136" s="538"/>
      <c r="D136" s="538" t="s">
        <v>906</v>
      </c>
      <c r="E136" s="538"/>
      <c r="F136" s="597"/>
      <c r="G136" s="584" t="s">
        <v>605</v>
      </c>
      <c r="H136" s="598" t="s">
        <v>703</v>
      </c>
      <c r="I136" s="755"/>
      <c r="J136" s="756">
        <f>'[1]LBP NO. 2'!I121</f>
        <v>42639.06</v>
      </c>
      <c r="K136" s="756">
        <f>'[1]LBP NO. 2'!J121</f>
        <v>57354.82</v>
      </c>
      <c r="L136" s="756">
        <f>'[1]LBP NO. 2'!K121</f>
        <v>242645.18</v>
      </c>
      <c r="M136" s="756">
        <f>'[1]LBP NO. 2'!L121</f>
        <v>300000</v>
      </c>
      <c r="N136" s="756">
        <f>'[1]LBP NO. 2'!M121</f>
        <v>300000</v>
      </c>
    </row>
    <row r="137" spans="1:14" ht="18" hidden="1" customHeight="1">
      <c r="A137" s="536"/>
      <c r="B137" s="538"/>
      <c r="C137" s="538"/>
      <c r="D137" s="538" t="s">
        <v>907</v>
      </c>
      <c r="E137" s="538"/>
      <c r="F137" s="597"/>
      <c r="G137" s="584" t="s">
        <v>381</v>
      </c>
      <c r="H137" s="598" t="s">
        <v>691</v>
      </c>
      <c r="I137" s="755"/>
      <c r="J137" s="756">
        <f>'[1]LBP NO. 2'!I43+'[1]LBP NO. 2'!I122+'[1]LBP NO. 2'!I186+'[1]LBP NO. 2'!I257+'[1]LBP NO. 2'!I329+'[1]LBP NO. 2'!I401+'[1]LBP NO. 2'!I475+'[1]LBP NO. 2'!I543+'[1]LBP NO. 2'!I615+'[1]LBP NO. 2'!I687+'[1]LBP NO. 2'!I758+'[1]LBP NO. 2'!I834+'[1]LBP NO. 2'!I899+'[1]LBP NO. 2'!I967</f>
        <v>530462.80000000005</v>
      </c>
      <c r="K137" s="756">
        <f>'[1]LBP NO. 2'!J43+'[1]LBP NO. 2'!J122+'[1]LBP NO. 2'!J186+'[1]LBP NO. 2'!J257+'[1]LBP NO. 2'!J329+'[1]LBP NO. 2'!J401+'[1]LBP NO. 2'!J475+'[1]LBP NO. 2'!J543+'[1]LBP NO. 2'!J615+'[1]LBP NO. 2'!J687+'[1]LBP NO. 2'!J758+'[1]LBP NO. 2'!J834+'[1]LBP NO. 2'!J899+'[1]LBP NO. 2'!J967</f>
        <v>118243</v>
      </c>
      <c r="L137" s="756">
        <f>'[1]LBP NO. 2'!K43+'[1]LBP NO. 2'!K122+'[1]LBP NO. 2'!K186+'[1]LBP NO. 2'!K257+'[1]LBP NO. 2'!K329+'[1]LBP NO. 2'!K401+'[1]LBP NO. 2'!K475+'[1]LBP NO. 2'!K543+'[1]LBP NO. 2'!K615+'[1]LBP NO. 2'!K687+'[1]LBP NO. 2'!K758+'[1]LBP NO. 2'!K834+'[1]LBP NO. 2'!K899+'[1]LBP NO. 2'!K967</f>
        <v>814998</v>
      </c>
      <c r="M137" s="756">
        <f>'[1]LBP NO. 2'!L43+'[1]LBP NO. 2'!L122+'[1]LBP NO. 2'!L186+'[1]LBP NO. 2'!L257+'[1]LBP NO. 2'!L329+'[1]LBP NO. 2'!L401+'[1]LBP NO. 2'!L475+'[1]LBP NO. 2'!L543+'[1]LBP NO. 2'!L615+'[1]LBP NO. 2'!L687+'[1]LBP NO. 2'!L758+'[1]LBP NO. 2'!L834+'[1]LBP NO. 2'!L899+'[1]LBP NO. 2'!L967</f>
        <v>933241</v>
      </c>
      <c r="N137" s="756">
        <f>'[1]LBP NO. 2'!M43+'[1]LBP NO. 2'!M122+'[1]LBP NO. 2'!M186+'[1]LBP NO. 2'!M257+'[1]LBP NO. 2'!M329+'[1]LBP NO. 2'!M401+'[1]LBP NO. 2'!M475+'[1]LBP NO. 2'!M543+'[1]LBP NO. 2'!M615+'[1]LBP NO. 2'!M687+'[1]LBP NO. 2'!M758+'[1]LBP NO. 2'!M834+'[1]LBP NO. 2'!M899+'[1]LBP NO. 2'!M967</f>
        <v>933241</v>
      </c>
    </row>
    <row r="138" spans="1:14" ht="18" hidden="1" customHeight="1">
      <c r="A138" s="536"/>
      <c r="B138" s="538"/>
      <c r="C138" s="538"/>
      <c r="D138" s="538" t="s">
        <v>931</v>
      </c>
      <c r="E138" s="538"/>
      <c r="F138" s="597"/>
      <c r="G138" s="584"/>
      <c r="H138" s="598" t="s">
        <v>929</v>
      </c>
      <c r="I138" s="755"/>
      <c r="J138" s="756">
        <f>'[1]LBP NO. 2'!I123</f>
        <v>149952.87</v>
      </c>
      <c r="K138" s="756">
        <f>'[1]LBP NO. 2'!J123</f>
        <v>0</v>
      </c>
      <c r="L138" s="756">
        <f>'[1]LBP NO. 2'!K123</f>
        <v>300000</v>
      </c>
      <c r="M138" s="756">
        <f>'[1]LBP NO. 2'!L123</f>
        <v>300000</v>
      </c>
      <c r="N138" s="756">
        <f>'[1]LBP NO. 2'!M123</f>
        <v>300000</v>
      </c>
    </row>
    <row r="139" spans="1:14" ht="18" hidden="1" customHeight="1">
      <c r="A139" s="536"/>
      <c r="B139" s="538"/>
      <c r="C139" s="538"/>
      <c r="D139" s="538" t="s">
        <v>549</v>
      </c>
      <c r="E139" s="538"/>
      <c r="F139" s="538"/>
      <c r="G139" s="572" t="s">
        <v>606</v>
      </c>
      <c r="H139" s="540" t="s">
        <v>704</v>
      </c>
      <c r="I139" s="595"/>
      <c r="J139" s="542">
        <f>'[1]LBP NO. 2'!I44</f>
        <v>9975</v>
      </c>
      <c r="K139" s="542">
        <f>'[1]LBP NO. 2'!J44</f>
        <v>22500</v>
      </c>
      <c r="L139" s="542">
        <f>'[1]LBP NO. 2'!K44</f>
        <v>33255</v>
      </c>
      <c r="M139" s="542">
        <f>'[1]LBP NO. 2'!L44</f>
        <v>55755</v>
      </c>
      <c r="N139" s="542">
        <f>'[1]LBP NO. 2'!M44</f>
        <v>82601</v>
      </c>
    </row>
    <row r="140" spans="1:14" ht="18" hidden="1" customHeight="1">
      <c r="A140" s="536"/>
      <c r="B140" s="538"/>
      <c r="C140" s="538"/>
      <c r="D140" s="538" t="s">
        <v>550</v>
      </c>
      <c r="E140" s="538"/>
      <c r="F140" s="538"/>
      <c r="G140" s="572" t="s">
        <v>607</v>
      </c>
      <c r="H140" s="540" t="s">
        <v>704</v>
      </c>
      <c r="I140" s="595"/>
      <c r="J140" s="542">
        <f>'[1]LBP NO. 2'!I688+'[1]LBP NO. 2'!I759</f>
        <v>2705755.1399999997</v>
      </c>
      <c r="K140" s="542">
        <f>'[1]LBP NO. 2'!J688+'[1]LBP NO. 2'!J759</f>
        <v>1045260</v>
      </c>
      <c r="L140" s="542">
        <f>'[1]LBP NO. 2'!K688+'[1]LBP NO. 2'!K759</f>
        <v>1640512.2</v>
      </c>
      <c r="M140" s="542">
        <f>'[1]LBP NO. 2'!L688+'[1]LBP NO. 2'!L759</f>
        <v>2685772.2</v>
      </c>
      <c r="N140" s="542">
        <f>'[1]LBP NO. 2'!M688+'[1]LBP NO. 2'!M759</f>
        <v>2685772.2</v>
      </c>
    </row>
    <row r="141" spans="1:14" ht="18" hidden="1" customHeight="1">
      <c r="A141" s="536"/>
      <c r="B141" s="538"/>
      <c r="C141" s="538"/>
      <c r="D141" s="538" t="s">
        <v>1614</v>
      </c>
      <c r="E141" s="538"/>
      <c r="F141" s="538"/>
      <c r="G141" s="572"/>
      <c r="H141" s="540"/>
      <c r="I141" s="595"/>
      <c r="J141" s="542">
        <f>SUM('[1]LBP NO. 2'!I689+'[1]LBP NO. 2'!I760+'[1]LBP NO. 2'!I832)</f>
        <v>0</v>
      </c>
      <c r="K141" s="542">
        <f>SUM('[1]LBP NO. 2'!J689+'[1]LBP NO. 2'!J760+'[1]LBP NO. 2'!J832)</f>
        <v>1647960</v>
      </c>
      <c r="L141" s="542">
        <f>SUM('[1]LBP NO. 2'!K689+'[1]LBP NO. 2'!K760+'[1]LBP NO. 2'!K832)</f>
        <v>16352040</v>
      </c>
      <c r="M141" s="542">
        <f>SUM('[1]LBP NO. 2'!L689+'[1]LBP NO. 2'!L760+'[1]LBP NO. 2'!L832)</f>
        <v>18000000</v>
      </c>
      <c r="N141" s="542">
        <f>SUM('[1]LBP NO. 2'!M689+'[1]LBP NO. 2'!M760+'[1]LBP NO. 2'!M832)</f>
        <v>9500000</v>
      </c>
    </row>
    <row r="142" spans="1:14" ht="18" hidden="1" customHeight="1">
      <c r="A142" s="536"/>
      <c r="B142" s="538"/>
      <c r="C142" s="538"/>
      <c r="D142" s="538" t="s">
        <v>551</v>
      </c>
      <c r="E142" s="538"/>
      <c r="F142" s="538"/>
      <c r="G142" s="572" t="s">
        <v>608</v>
      </c>
      <c r="H142" s="540" t="s">
        <v>705</v>
      </c>
      <c r="I142" s="595"/>
      <c r="J142" s="542">
        <f>'[1]LBP NO. 2'!I476</f>
        <v>120000</v>
      </c>
      <c r="K142" s="542">
        <f>'[1]LBP NO. 2'!J476</f>
        <v>10125</v>
      </c>
      <c r="L142" s="542">
        <f>'[1]LBP NO. 2'!K476</f>
        <v>289875</v>
      </c>
      <c r="M142" s="542">
        <f>'[1]LBP NO. 2'!L476</f>
        <v>300000</v>
      </c>
      <c r="N142" s="542">
        <f>'[1]LBP NO. 2'!M476</f>
        <v>300000</v>
      </c>
    </row>
    <row r="143" spans="1:14" ht="18" hidden="1" customHeight="1">
      <c r="A143" s="536"/>
      <c r="B143" s="538"/>
      <c r="C143" s="538"/>
      <c r="D143" s="538" t="s">
        <v>552</v>
      </c>
      <c r="E143" s="538"/>
      <c r="F143" s="538"/>
      <c r="G143" s="572" t="s">
        <v>382</v>
      </c>
      <c r="H143" s="540" t="s">
        <v>692</v>
      </c>
      <c r="I143" s="595"/>
      <c r="J143" s="542">
        <f>'[1]LBP NO. 2'!I45+'[1]LBP NO. 2'!I124+'[1]LBP NO. 2'!I187+'[1]LBP NO. 2'!I258+'[1]LBP NO. 2'!I330+'[1]LBP NO. 2'!I402+'[1]LBP NO. 2'!I477+'[1]LBP NO. 2'!I544+'[1]LBP NO. 2'!I616+'[1]LBP NO. 2'!I690+'[1]LBP NO. 2'!I761+'[1]LBP NO. 2'!I835+'[1]LBP NO. 2'!I900+'[1]LBP NO. 2'!I968</f>
        <v>328542</v>
      </c>
      <c r="K143" s="542">
        <f>'[1]LBP NO. 2'!J45+'[1]LBP NO. 2'!J124+'[1]LBP NO. 2'!J187+'[1]LBP NO. 2'!J258+'[1]LBP NO. 2'!J330+'[1]LBP NO. 2'!J402+'[1]LBP NO. 2'!J477+'[1]LBP NO. 2'!J544+'[1]LBP NO. 2'!J616+'[1]LBP NO. 2'!J690+'[1]LBP NO. 2'!J761+'[1]LBP NO. 2'!J835+'[1]LBP NO. 2'!J900+'[1]LBP NO. 2'!J968</f>
        <v>179029</v>
      </c>
      <c r="L143" s="542">
        <f>'[1]LBP NO. 2'!K45+'[1]LBP NO. 2'!K124+'[1]LBP NO. 2'!K187+'[1]LBP NO. 2'!K258+'[1]LBP NO. 2'!K330+'[1]LBP NO. 2'!K402+'[1]LBP NO. 2'!K477+'[1]LBP NO. 2'!K544+'[1]LBP NO. 2'!K616+'[1]LBP NO. 2'!K690+'[1]LBP NO. 2'!K761+'[1]LBP NO. 2'!K835+'[1]LBP NO. 2'!K900+'[1]LBP NO. 2'!K968</f>
        <v>575612</v>
      </c>
      <c r="M143" s="542">
        <f>'[1]LBP NO. 2'!L45+'[1]LBP NO. 2'!L124+'[1]LBP NO. 2'!L187+'[1]LBP NO. 2'!L258+'[1]LBP NO. 2'!L330+'[1]LBP NO. 2'!L402+'[1]LBP NO. 2'!L477+'[1]LBP NO. 2'!L544+'[1]LBP NO. 2'!L616+'[1]LBP NO. 2'!L690+'[1]LBP NO. 2'!L761+'[1]LBP NO. 2'!L835+'[1]LBP NO. 2'!L900+'[1]LBP NO. 2'!L968</f>
        <v>754641</v>
      </c>
      <c r="N143" s="542">
        <f>'[1]LBP NO. 2'!M45+'[1]LBP NO. 2'!M124+'[1]LBP NO. 2'!M187+'[1]LBP NO. 2'!M258+'[1]LBP NO. 2'!M330+'[1]LBP NO. 2'!M402+'[1]LBP NO. 2'!M477+'[1]LBP NO. 2'!M544+'[1]LBP NO. 2'!M616+'[1]LBP NO. 2'!M690+'[1]LBP NO. 2'!M761+'[1]LBP NO. 2'!M835+'[1]LBP NO. 2'!M900+'[1]LBP NO. 2'!M968</f>
        <v>754641</v>
      </c>
    </row>
    <row r="144" spans="1:14" ht="18" hidden="1" customHeight="1">
      <c r="A144" s="536"/>
      <c r="B144" s="538"/>
      <c r="C144" s="538"/>
      <c r="D144" s="1426" t="s">
        <v>1681</v>
      </c>
      <c r="E144" s="1426"/>
      <c r="F144" s="1427"/>
      <c r="G144" s="1428"/>
      <c r="H144" s="1429" t="s">
        <v>692</v>
      </c>
      <c r="I144" s="595"/>
      <c r="J144" s="542">
        <f>SUM('[1]LBP NO. 2'!I46+'[1]LBP NO. 2'!I125+'[1]LBP NO. 2'!I188+'[1]LBP NO. 2'!I259+'[1]LBP NO. 2'!I331+'[1]LBP NO. 2'!I403+'[1]LBP NO. 2'!I478+'[1]LBP NO. 2'!I545+'[1]LBP NO. 2'!I617+'[1]LBP NO. 2'!I691+'[1]LBP NO. 2'!I762+'[1]LBP NO. 2'!I836+'[1]LBP NO. 2'!I901+'[1]LBP NO. 2'!I969)</f>
        <v>2417500</v>
      </c>
      <c r="K144" s="542">
        <f>SUM('[1]LBP NO. 2'!J46+'[1]LBP NO. 2'!J125+'[1]LBP NO. 2'!J188+'[1]LBP NO. 2'!J259+'[1]LBP NO. 2'!J331+'[1]LBP NO. 2'!J403+'[1]LBP NO. 2'!J478+'[1]LBP NO. 2'!J545+'[1]LBP NO. 2'!J617+'[1]LBP NO. 2'!J691+'[1]LBP NO. 2'!J762+'[1]LBP NO. 2'!J836+'[1]LBP NO. 2'!J901+'[1]LBP NO. 2'!J969)</f>
        <v>0</v>
      </c>
      <c r="L144" s="542">
        <f>SUM('[1]LBP NO. 2'!K46+'[1]LBP NO. 2'!K125+'[1]LBP NO. 2'!K188+'[1]LBP NO. 2'!K259+'[1]LBP NO. 2'!K331+'[1]LBP NO. 2'!K403+'[1]LBP NO. 2'!K478+'[1]LBP NO. 2'!K545+'[1]LBP NO. 2'!K617+'[1]LBP NO. 2'!K691+'[1]LBP NO. 2'!K762+'[1]LBP NO. 2'!K836+'[1]LBP NO. 2'!K901+'[1]LBP NO. 2'!K969)</f>
        <v>0</v>
      </c>
      <c r="M144" s="542">
        <f>SUM('[1]LBP NO. 2'!L46+'[1]LBP NO. 2'!L125+'[1]LBP NO. 2'!L188+'[1]LBP NO. 2'!L259+'[1]LBP NO. 2'!L331+'[1]LBP NO. 2'!L403+'[1]LBP NO. 2'!L478+'[1]LBP NO. 2'!L545+'[1]LBP NO. 2'!L617+'[1]LBP NO. 2'!L691+'[1]LBP NO. 2'!L762+'[1]LBP NO. 2'!L836+'[1]LBP NO. 2'!L901+'[1]LBP NO. 2'!L969)</f>
        <v>0</v>
      </c>
      <c r="N144" s="542">
        <f>SUM('[1]LBP NO. 2'!M46+'[1]LBP NO. 2'!M125+'[1]LBP NO. 2'!M188+'[1]LBP NO. 2'!M259+'[1]LBP NO. 2'!M331+'[1]LBP NO. 2'!M403+'[1]LBP NO. 2'!M478+'[1]LBP NO. 2'!M545+'[1]LBP NO. 2'!M617+'[1]LBP NO. 2'!M691+'[1]LBP NO. 2'!M762+'[1]LBP NO. 2'!M836+'[1]LBP NO. 2'!M901+'[1]LBP NO. 2'!M969)</f>
        <v>0</v>
      </c>
    </row>
    <row r="145" spans="1:15" ht="18" hidden="1" customHeight="1">
      <c r="A145" s="536"/>
      <c r="B145" s="538"/>
      <c r="C145" s="538"/>
      <c r="D145" s="1426" t="s">
        <v>1682</v>
      </c>
      <c r="E145" s="1426"/>
      <c r="F145" s="1427"/>
      <c r="G145" s="1428"/>
      <c r="H145" s="1429" t="s">
        <v>692</v>
      </c>
      <c r="I145" s="595"/>
      <c r="J145" s="542">
        <f>'[1]LBP NO. 2'!I47</f>
        <v>325000</v>
      </c>
      <c r="K145" s="542">
        <f>'[1]LBP NO. 2'!J47</f>
        <v>0</v>
      </c>
      <c r="L145" s="542">
        <f>'[1]LBP NO. 2'!K47</f>
        <v>0</v>
      </c>
      <c r="M145" s="542">
        <f>'[1]LBP NO. 2'!L47</f>
        <v>0</v>
      </c>
      <c r="N145" s="542">
        <f>'[1]LBP NO. 2'!M47</f>
        <v>0</v>
      </c>
    </row>
    <row r="146" spans="1:15" ht="18" hidden="1" customHeight="1" thickBot="1">
      <c r="A146" s="892"/>
      <c r="B146" s="509"/>
      <c r="C146" s="509"/>
      <c r="D146" s="509" t="s">
        <v>1581</v>
      </c>
      <c r="E146" s="509"/>
      <c r="F146" s="509"/>
      <c r="G146" s="893"/>
      <c r="H146" s="716" t="s">
        <v>692</v>
      </c>
      <c r="I146" s="649"/>
      <c r="J146" s="549">
        <f>'[1]LBP NO. 2'!I48</f>
        <v>990000</v>
      </c>
      <c r="K146" s="549">
        <f>'[1]LBP NO. 2'!J48</f>
        <v>0</v>
      </c>
      <c r="L146" s="549">
        <f>'[1]LBP NO. 2'!K48</f>
        <v>0</v>
      </c>
      <c r="M146" s="549">
        <f>'[1]LBP NO. 2'!L48</f>
        <v>0</v>
      </c>
      <c r="N146" s="549">
        <f>'[1]LBP NO. 2'!M48</f>
        <v>0</v>
      </c>
    </row>
    <row r="147" spans="1:15" s="7" customFormat="1" ht="18" hidden="1" customHeight="1" thickBot="1">
      <c r="A147" s="553"/>
      <c r="B147" s="554"/>
      <c r="C147" s="554"/>
      <c r="D147" s="554" t="s">
        <v>737</v>
      </c>
      <c r="E147" s="554"/>
      <c r="F147" s="554"/>
      <c r="G147" s="600"/>
      <c r="H147" s="556"/>
      <c r="I147" s="601"/>
      <c r="J147" s="577">
        <f>SUM(J124:J146)</f>
        <v>16808754.629999999</v>
      </c>
      <c r="K147" s="577">
        <f t="shared" ref="K147:L147" si="4">SUM(K124:K146)</f>
        <v>7802008.4000000004</v>
      </c>
      <c r="L147" s="577">
        <f t="shared" si="4"/>
        <v>31591716.799999997</v>
      </c>
      <c r="M147" s="577">
        <f>SUM(M124:M146)</f>
        <v>39393725.200000003</v>
      </c>
      <c r="N147" s="577">
        <f>SUM(N124:N146)</f>
        <v>30956571.199999999</v>
      </c>
    </row>
    <row r="148" spans="1:15" ht="13.5" hidden="1" customHeight="1">
      <c r="A148" s="579"/>
      <c r="B148" s="580"/>
      <c r="C148" s="580"/>
      <c r="D148" s="580"/>
      <c r="E148" s="580"/>
      <c r="F148" s="580"/>
      <c r="G148" s="606"/>
      <c r="H148" s="562"/>
      <c r="I148" s="607"/>
      <c r="J148" s="564"/>
      <c r="K148" s="565"/>
      <c r="L148" s="566"/>
      <c r="M148" s="565"/>
      <c r="N148" s="565"/>
    </row>
    <row r="149" spans="1:15" ht="18" hidden="1" customHeight="1" thickBot="1">
      <c r="A149" s="544"/>
      <c r="B149" s="608" t="s">
        <v>553</v>
      </c>
      <c r="C149" s="608"/>
      <c r="D149" s="608"/>
      <c r="E149" s="608"/>
      <c r="F149" s="608"/>
      <c r="G149" s="573"/>
      <c r="H149" s="547"/>
      <c r="I149" s="599"/>
      <c r="J149" s="549"/>
      <c r="K149" s="550"/>
      <c r="L149" s="609"/>
      <c r="M149" s="550"/>
      <c r="N149" s="550"/>
    </row>
    <row r="150" spans="1:15" ht="18" hidden="1" customHeight="1" thickBot="1">
      <c r="A150" s="585"/>
      <c r="B150" s="610"/>
      <c r="C150" s="610"/>
      <c r="D150" s="554" t="s">
        <v>738</v>
      </c>
      <c r="E150" s="610"/>
      <c r="F150" s="610"/>
      <c r="G150" s="611"/>
      <c r="H150" s="612"/>
      <c r="I150" s="613"/>
      <c r="J150" s="577">
        <f>'[1]LBP NO. 2'!I59+'[1]LBP NO. 2'!I134+'[1]LBP NO. 2'!I194+'[1]LBP NO. 2'!I265+'[1]LBP NO. 2'!I337+'[1]LBP NO. 2'!I410+'[1]LBP NO. 2'!I485+'[1]LBP NO. 2'!I552+'[1]LBP NO. 2'!I624+'[1]LBP NO. 2'!I698+'[1]LBP NO. 2'!I769+'[1]LBP NO. 2'!I842+'[1]LBP NO. 2'!I907+'[1]LBP NO. 2'!I975</f>
        <v>6192309.5499999998</v>
      </c>
      <c r="K150" s="577">
        <f>'[1]LBP NO. 2'!J59+'[1]LBP NO. 2'!J134+'[1]LBP NO. 2'!J194+'[1]LBP NO. 2'!J265+'[1]LBP NO. 2'!J337+'[1]LBP NO. 2'!J410+'[1]LBP NO. 2'!J485+'[1]LBP NO. 2'!J552+'[1]LBP NO. 2'!J624+'[1]LBP NO. 2'!J698+'[1]LBP NO. 2'!J769+'[1]LBP NO. 2'!J842+'[1]LBP NO. 2'!J907+'[1]LBP NO. 2'!J975</f>
        <v>1439530</v>
      </c>
      <c r="L150" s="577">
        <f>'[1]LBP NO. 2'!K59+'[1]LBP NO. 2'!K134+'[1]LBP NO. 2'!K194+'[1]LBP NO. 2'!K265+'[1]LBP NO. 2'!K337+'[1]LBP NO. 2'!K410+'[1]LBP NO. 2'!K485+'[1]LBP NO. 2'!K552+'[1]LBP NO. 2'!K624+'[1]LBP NO. 2'!K698+'[1]LBP NO. 2'!K769+'[1]LBP NO. 2'!K842+'[1]LBP NO. 2'!K907+'[1]LBP NO. 2'!K975</f>
        <v>12665470</v>
      </c>
      <c r="M150" s="577">
        <f>'[1]LBP NO. 2'!L59+'[1]LBP NO. 2'!L134+'[1]LBP NO. 2'!L194+'[1]LBP NO. 2'!L265+'[1]LBP NO. 2'!L337+'[1]LBP NO. 2'!L410+'[1]LBP NO. 2'!L485+'[1]LBP NO. 2'!L552+'[1]LBP NO. 2'!L624+'[1]LBP NO. 2'!L698+'[1]LBP NO. 2'!L769+'[1]LBP NO. 2'!L842+'[1]LBP NO. 2'!L907+'[1]LBP NO. 2'!L975</f>
        <v>14105000</v>
      </c>
      <c r="N150" s="577">
        <f>'[1]LBP NO. 2'!M59+'[1]LBP NO. 2'!M134+'[1]LBP NO. 2'!M194+'[1]LBP NO. 2'!M265+'[1]LBP NO. 2'!M337+'[1]LBP NO. 2'!M410+'[1]LBP NO. 2'!M485+'[1]LBP NO. 2'!M552+'[1]LBP NO. 2'!M624+'[1]LBP NO. 2'!M698+'[1]LBP NO. 2'!M769+'[1]LBP NO. 2'!M842+'[1]LBP NO. 2'!M907+'[1]LBP NO. 2'!M975</f>
        <v>1900000</v>
      </c>
    </row>
    <row r="151" spans="1:15" ht="6" hidden="1" customHeight="1">
      <c r="A151" s="579"/>
      <c r="B151" s="580"/>
      <c r="C151" s="580"/>
      <c r="D151" s="560"/>
      <c r="E151" s="580"/>
      <c r="F151" s="580"/>
      <c r="G151" s="606"/>
      <c r="H151" s="562"/>
      <c r="I151" s="607"/>
      <c r="J151" s="605"/>
      <c r="K151" s="614"/>
      <c r="L151" s="615"/>
      <c r="M151" s="614"/>
      <c r="N151" s="614"/>
    </row>
    <row r="152" spans="1:15" ht="18" hidden="1" customHeight="1">
      <c r="A152" s="536"/>
      <c r="B152" s="568" t="s">
        <v>554</v>
      </c>
      <c r="C152" s="538"/>
      <c r="D152" s="538"/>
      <c r="E152" s="538"/>
      <c r="F152" s="538"/>
      <c r="G152" s="572"/>
      <c r="H152" s="540"/>
      <c r="I152" s="595"/>
      <c r="J152" s="542"/>
      <c r="K152" s="570"/>
      <c r="L152" s="571"/>
      <c r="M152" s="570"/>
      <c r="N152" s="570"/>
    </row>
    <row r="153" spans="1:15" ht="18" hidden="1" customHeight="1">
      <c r="A153" s="536"/>
      <c r="B153" s="538"/>
      <c r="C153" s="538"/>
      <c r="D153" s="538" t="s">
        <v>555</v>
      </c>
      <c r="E153" s="538"/>
      <c r="F153" s="538"/>
      <c r="G153" s="572"/>
      <c r="H153" s="540"/>
      <c r="I153" s="595"/>
      <c r="J153" s="542">
        <f>'[1]LBP NO. 2a'!G111</f>
        <v>30429766.5</v>
      </c>
      <c r="K153" s="542">
        <f>'[1]LBP NO. 2a'!H111</f>
        <v>18187374.459999997</v>
      </c>
      <c r="L153" s="542">
        <f>'[1]LBP NO. 2a'!I111</f>
        <v>25700846.430000003</v>
      </c>
      <c r="M153" s="542">
        <f>'[1]LBP NO. 2a'!J111</f>
        <v>43888220.890000001</v>
      </c>
      <c r="N153" s="542">
        <f>'[1]LBP NO. 2a'!K111</f>
        <v>37503890.200000003</v>
      </c>
    </row>
    <row r="154" spans="1:15" ht="18" hidden="1" customHeight="1">
      <c r="A154" s="536"/>
      <c r="B154" s="538"/>
      <c r="C154" s="538"/>
      <c r="D154" s="538" t="s">
        <v>411</v>
      </c>
      <c r="E154" s="538"/>
      <c r="F154" s="538"/>
      <c r="G154" s="539"/>
      <c r="H154" s="540"/>
      <c r="I154" s="595"/>
      <c r="J154" s="542">
        <f>'[1]LBP NO. 2a'!G112</f>
        <v>7670600.4399999995</v>
      </c>
      <c r="K154" s="542">
        <f>'[1]LBP NO. 2a'!H112</f>
        <v>697777</v>
      </c>
      <c r="L154" s="542">
        <f>'[1]LBP NO. 2a'!I112</f>
        <v>10882913.699999999</v>
      </c>
      <c r="M154" s="542">
        <f>'[1]LBP NO. 2a'!J112</f>
        <v>11580690.699999999</v>
      </c>
      <c r="N154" s="542">
        <f>'[1]LBP NO. 2a'!K112</f>
        <v>10156472.550000001</v>
      </c>
    </row>
    <row r="155" spans="1:15" ht="18" hidden="1" customHeight="1">
      <c r="A155" s="536"/>
      <c r="B155" s="538"/>
      <c r="C155" s="538"/>
      <c r="D155" s="538" t="s">
        <v>556</v>
      </c>
      <c r="E155" s="538"/>
      <c r="F155" s="538"/>
      <c r="G155" s="539"/>
      <c r="H155" s="540"/>
      <c r="I155" s="595"/>
      <c r="J155" s="542">
        <f>'[1]LBP NO. 2a'!G113</f>
        <v>21000</v>
      </c>
      <c r="K155" s="542">
        <f>'[1]LBP NO. 2a'!H113</f>
        <v>21000</v>
      </c>
      <c r="L155" s="542">
        <f>'[1]LBP NO. 2a'!I113</f>
        <v>0</v>
      </c>
      <c r="M155" s="542">
        <f>'[1]LBP NO. 2a'!J113</f>
        <v>21000</v>
      </c>
      <c r="N155" s="542">
        <f>'[1]LBP NO. 2a'!K113</f>
        <v>21000</v>
      </c>
    </row>
    <row r="156" spans="1:15" ht="18" hidden="1" customHeight="1" thickBot="1">
      <c r="A156" s="544"/>
      <c r="B156" s="545"/>
      <c r="C156" s="545"/>
      <c r="D156" s="545" t="s">
        <v>557</v>
      </c>
      <c r="E156" s="545"/>
      <c r="F156" s="545"/>
      <c r="G156" s="546"/>
      <c r="H156" s="547"/>
      <c r="I156" s="599"/>
      <c r="J156" s="549">
        <f>'[1]LBP NO. 2a'!G44+'[1]LBP NO. 2a'!G182-J153-J154-J155</f>
        <v>45115238.679999992</v>
      </c>
      <c r="K156" s="549">
        <f>'[1]LBP NO. 2a'!H44+'[1]LBP NO. 2a'!H182-K153-K154-K155</f>
        <v>22530780.569999997</v>
      </c>
      <c r="L156" s="549">
        <f>'[1]LBP NO. 2a'!I44+'[1]LBP NO. 2a'!I182-L153-L154-L155</f>
        <v>39224638.440000013</v>
      </c>
      <c r="M156" s="549">
        <f>'[1]LBP NO. 2a'!J44+'[1]LBP NO. 2a'!J182-M153-M154-M155</f>
        <v>61755419.010000005</v>
      </c>
      <c r="N156" s="549">
        <f>'[1]LBP NO. 2a'!K44+'[1]LBP NO. 2a'!K182-N153-N154-N155</f>
        <v>45678839.019999996</v>
      </c>
    </row>
    <row r="157" spans="1:15" s="7" customFormat="1" ht="18" hidden="1" customHeight="1" thickBot="1">
      <c r="A157" s="553" t="s">
        <v>19</v>
      </c>
      <c r="B157" s="554"/>
      <c r="C157" s="554"/>
      <c r="D157" s="554"/>
      <c r="E157" s="554"/>
      <c r="F157" s="554"/>
      <c r="G157" s="555"/>
      <c r="H157" s="556"/>
      <c r="I157" s="601"/>
      <c r="J157" s="577">
        <f>SUM(J121+J147+J150+J153+J154+J155+J156)</f>
        <v>172385776.63999999</v>
      </c>
      <c r="K157" s="901">
        <f t="shared" ref="K157:M157" si="5">SUM(K121+K147+K150+K153+K154+K155+K156)</f>
        <v>83135054.419999987</v>
      </c>
      <c r="L157" s="577">
        <f t="shared" si="5"/>
        <v>166459631.18000001</v>
      </c>
      <c r="M157" s="577">
        <f t="shared" si="5"/>
        <v>249594685.59999996</v>
      </c>
      <c r="N157" s="901">
        <f>SUM(N121+N147+N150+N153+N154+N155+N156)</f>
        <v>203126352.76999998</v>
      </c>
    </row>
    <row r="158" spans="1:15" s="7" customFormat="1" ht="18" hidden="1" customHeight="1" thickBot="1">
      <c r="A158" s="947" t="s">
        <v>558</v>
      </c>
      <c r="B158" s="948"/>
      <c r="C158" s="948"/>
      <c r="D158" s="948"/>
      <c r="E158" s="948"/>
      <c r="F158" s="948"/>
      <c r="G158" s="949"/>
      <c r="H158" s="950"/>
      <c r="I158" s="951"/>
      <c r="J158" s="617">
        <f>J75-J157</f>
        <v>3936355.400000006</v>
      </c>
      <c r="K158" s="617">
        <f>K75-K157</f>
        <v>38859147.76000002</v>
      </c>
      <c r="L158" s="617">
        <f>L75-L157</f>
        <v>-53330019.359999999</v>
      </c>
      <c r="M158" s="617">
        <f>M75-M157</f>
        <v>3589478.2200000286</v>
      </c>
      <c r="N158" s="617">
        <f>N75-N157</f>
        <v>3098.2300000190735</v>
      </c>
      <c r="O158" s="591"/>
    </row>
    <row r="159" spans="1:15" ht="18" hidden="1" customHeight="1" thickTop="1">
      <c r="A159" s="508"/>
      <c r="B159" s="19"/>
      <c r="C159" s="508"/>
      <c r="D159" s="508"/>
      <c r="E159" s="508"/>
      <c r="F159" s="508"/>
      <c r="G159" s="1419"/>
      <c r="H159" s="1419"/>
      <c r="I159" s="618"/>
      <c r="J159" s="1419"/>
      <c r="K159" s="619"/>
      <c r="L159" s="620"/>
      <c r="M159" s="620"/>
      <c r="N159" s="619"/>
    </row>
    <row r="160" spans="1:15" ht="18" hidden="1" customHeight="1">
      <c r="A160" s="508"/>
      <c r="B160" s="19"/>
      <c r="C160" s="508"/>
      <c r="D160" s="508"/>
      <c r="E160" s="508"/>
      <c r="F160" s="508"/>
      <c r="G160" s="1419"/>
      <c r="H160" s="1419"/>
      <c r="I160" s="618"/>
      <c r="J160" s="1419"/>
      <c r="K160" s="619"/>
      <c r="L160" s="620"/>
      <c r="M160" s="620"/>
      <c r="N160" s="619"/>
    </row>
    <row r="161" spans="1:14" ht="18" hidden="1" customHeight="1">
      <c r="A161" s="508"/>
      <c r="B161" s="19"/>
      <c r="C161" s="508"/>
      <c r="D161" s="508"/>
      <c r="E161" s="508"/>
      <c r="F161" s="508"/>
      <c r="G161" s="1419"/>
      <c r="H161" s="1419"/>
      <c r="I161" s="618"/>
      <c r="J161" s="1419"/>
      <c r="K161" s="619"/>
      <c r="L161" s="620"/>
      <c r="M161" s="620"/>
      <c r="N161" s="619"/>
    </row>
    <row r="162" spans="1:14" ht="18" hidden="1" customHeight="1">
      <c r="A162" s="508"/>
      <c r="B162" s="19"/>
      <c r="C162" s="508"/>
      <c r="D162" s="508"/>
      <c r="E162" s="508"/>
      <c r="F162" s="508"/>
      <c r="G162" s="1419"/>
      <c r="H162" s="1419"/>
      <c r="I162" s="618"/>
      <c r="J162" s="1419"/>
      <c r="K162" s="619"/>
      <c r="L162" s="620"/>
      <c r="M162" s="620"/>
      <c r="N162" s="619"/>
    </row>
    <row r="163" spans="1:14" ht="18" hidden="1" customHeight="1">
      <c r="A163" s="1460" t="s">
        <v>565</v>
      </c>
      <c r="B163" s="1460"/>
      <c r="C163" s="1460"/>
      <c r="D163" s="1460"/>
      <c r="E163" s="1460"/>
      <c r="F163" s="1460"/>
      <c r="G163" s="1460"/>
      <c r="H163" s="1460"/>
      <c r="I163" s="1460"/>
      <c r="J163" s="1460"/>
      <c r="K163" s="1460"/>
      <c r="L163" s="1460"/>
      <c r="M163" s="1460"/>
      <c r="N163" s="1460"/>
    </row>
    <row r="164" spans="1:14" ht="18" hidden="1" customHeight="1">
      <c r="A164" s="621"/>
      <c r="B164" s="621"/>
      <c r="C164" s="621"/>
      <c r="D164" s="621"/>
      <c r="E164" s="621"/>
      <c r="F164" s="621"/>
      <c r="G164" s="621"/>
      <c r="H164" s="621"/>
      <c r="I164" s="1420"/>
      <c r="J164" s="621"/>
      <c r="K164" s="621"/>
      <c r="L164" s="622"/>
      <c r="M164" s="622"/>
      <c r="N164" s="621"/>
    </row>
    <row r="165" spans="1:14" ht="18" hidden="1" customHeight="1">
      <c r="A165" s="621"/>
      <c r="B165" s="623" t="s">
        <v>11</v>
      </c>
      <c r="C165" s="621"/>
      <c r="D165" s="621"/>
      <c r="E165" s="621"/>
      <c r="F165" s="621"/>
      <c r="G165" s="621"/>
      <c r="H165" s="621"/>
      <c r="I165" s="1420"/>
      <c r="J165" s="621"/>
      <c r="K165" s="621"/>
      <c r="L165" s="622"/>
      <c r="M165" s="622"/>
      <c r="N165" s="621"/>
    </row>
    <row r="166" spans="1:14" ht="18" hidden="1" customHeight="1">
      <c r="A166" s="621"/>
      <c r="B166" s="621"/>
      <c r="C166" s="621"/>
      <c r="D166" s="621"/>
      <c r="E166" s="621"/>
      <c r="F166" s="621"/>
      <c r="G166" s="621"/>
      <c r="H166" s="621"/>
      <c r="I166" s="1420"/>
      <c r="J166" s="621"/>
      <c r="K166" s="621"/>
      <c r="L166" s="622"/>
      <c r="M166" s="622"/>
      <c r="N166" s="621"/>
    </row>
    <row r="167" spans="1:14" ht="18" hidden="1" customHeight="1">
      <c r="A167" s="508"/>
      <c r="B167" s="19"/>
      <c r="C167" s="508"/>
      <c r="D167" s="508"/>
      <c r="E167" s="508"/>
      <c r="F167" s="508"/>
      <c r="G167" s="1419"/>
      <c r="H167" s="1419"/>
      <c r="I167" s="618"/>
      <c r="J167" s="1419"/>
      <c r="K167" s="619"/>
      <c r="L167" s="620"/>
      <c r="M167" s="620"/>
      <c r="N167" s="619"/>
    </row>
    <row r="168" spans="1:14" ht="18" hidden="1" customHeight="1">
      <c r="A168" s="508"/>
      <c r="B168" s="19"/>
      <c r="C168" s="508"/>
      <c r="F168" s="1421" t="s">
        <v>87</v>
      </c>
      <c r="G168" s="1421"/>
      <c r="H168" s="1461" t="s">
        <v>17</v>
      </c>
      <c r="I168" s="1461"/>
      <c r="J168" s="1461"/>
      <c r="K168" s="624" t="s">
        <v>51</v>
      </c>
      <c r="L168" s="620"/>
      <c r="M168" s="1462" t="s">
        <v>783</v>
      </c>
      <c r="N168" s="1462"/>
    </row>
    <row r="169" spans="1:14" ht="18" hidden="1" customHeight="1">
      <c r="A169" s="508"/>
      <c r="B169" s="19"/>
      <c r="C169" s="508"/>
      <c r="F169" s="1419" t="s">
        <v>971</v>
      </c>
      <c r="G169" s="1419"/>
      <c r="H169" s="1463" t="s">
        <v>18</v>
      </c>
      <c r="I169" s="1463"/>
      <c r="J169" s="1463"/>
      <c r="K169" s="625" t="s">
        <v>781</v>
      </c>
      <c r="L169" s="620"/>
      <c r="M169" s="1464" t="s">
        <v>237</v>
      </c>
      <c r="N169" s="1464"/>
    </row>
    <row r="170" spans="1:14" ht="18" hidden="1" customHeight="1">
      <c r="A170" s="508"/>
      <c r="B170" s="19"/>
      <c r="C170" s="508"/>
      <c r="D170" s="508"/>
      <c r="E170" s="508"/>
      <c r="F170" s="508"/>
      <c r="G170" s="1419"/>
      <c r="H170" s="1419"/>
      <c r="I170" s="618"/>
      <c r="J170" s="1419"/>
      <c r="K170" s="619"/>
      <c r="L170" s="620"/>
      <c r="M170" s="620"/>
      <c r="N170" s="619"/>
    </row>
    <row r="171" spans="1:14" ht="18" hidden="1" customHeight="1">
      <c r="A171" s="508"/>
      <c r="B171" s="19"/>
      <c r="C171" s="508"/>
      <c r="D171" s="508"/>
      <c r="E171" s="508"/>
      <c r="F171" s="508"/>
      <c r="G171" s="1419"/>
      <c r="H171" s="1419"/>
      <c r="I171" s="618"/>
      <c r="J171" s="1419"/>
      <c r="K171" s="619"/>
      <c r="L171" s="620"/>
      <c r="M171" s="620"/>
      <c r="N171" s="619"/>
    </row>
    <row r="172" spans="1:14" ht="18" hidden="1" customHeight="1">
      <c r="A172" s="508"/>
      <c r="B172" s="19"/>
      <c r="C172" s="508"/>
      <c r="E172" s="508"/>
      <c r="F172" s="508" t="s">
        <v>253</v>
      </c>
      <c r="G172" s="1419"/>
      <c r="H172" s="1419"/>
      <c r="I172" s="618"/>
      <c r="J172" s="1419"/>
      <c r="K172" s="619"/>
      <c r="L172" s="620"/>
      <c r="M172" s="620"/>
      <c r="N172" s="619"/>
    </row>
    <row r="173" spans="1:14" ht="18" hidden="1" customHeight="1">
      <c r="A173" s="508"/>
      <c r="B173" s="19"/>
      <c r="C173" s="508"/>
      <c r="D173" s="508"/>
      <c r="E173" s="508"/>
      <c r="F173" s="508"/>
      <c r="G173" s="1419"/>
      <c r="H173" s="1419"/>
      <c r="I173" s="618"/>
      <c r="J173" s="1419"/>
      <c r="K173" s="619"/>
      <c r="L173" s="620"/>
      <c r="M173" s="620"/>
      <c r="N173" s="619"/>
    </row>
    <row r="174" spans="1:14" ht="18" hidden="1" customHeight="1">
      <c r="A174" s="508"/>
      <c r="B174" s="19"/>
      <c r="C174" s="508"/>
      <c r="E174" s="508"/>
      <c r="F174" s="1421" t="s">
        <v>1438</v>
      </c>
      <c r="G174" s="1421"/>
      <c r="H174" s="1419"/>
      <c r="I174" s="618"/>
      <c r="J174" s="1419"/>
      <c r="K174" s="619"/>
      <c r="L174" s="620"/>
      <c r="M174" s="620"/>
      <c r="N174" s="619"/>
    </row>
    <row r="175" spans="1:14" ht="18" hidden="1" customHeight="1">
      <c r="A175" s="508"/>
      <c r="B175" s="19"/>
      <c r="C175" s="508"/>
      <c r="E175" s="508"/>
      <c r="F175" s="1419" t="s">
        <v>14</v>
      </c>
      <c r="G175" s="1419"/>
      <c r="H175" s="1419"/>
      <c r="I175" s="618"/>
      <c r="J175" s="1419"/>
      <c r="K175" s="619"/>
      <c r="L175" s="620"/>
      <c r="M175" s="620"/>
      <c r="N175" s="619"/>
    </row>
    <row r="176" spans="1:14" ht="18" hidden="1" customHeight="1">
      <c r="A176" s="508"/>
      <c r="B176" s="19"/>
      <c r="C176" s="508"/>
      <c r="E176" s="508"/>
      <c r="F176" s="19"/>
      <c r="G176" s="1421"/>
      <c r="H176" s="1419"/>
      <c r="I176" s="618"/>
      <c r="J176" s="1419"/>
      <c r="K176" s="619"/>
      <c r="L176" s="620"/>
      <c r="M176" s="620"/>
      <c r="N176" s="619"/>
    </row>
    <row r="177" spans="1:14" ht="18" customHeight="1">
      <c r="A177" s="508"/>
      <c r="B177" s="19"/>
      <c r="C177" s="508"/>
      <c r="E177" s="508"/>
      <c r="F177" s="508"/>
      <c r="G177" s="1419"/>
      <c r="H177" s="1419"/>
      <c r="I177" s="618"/>
      <c r="J177" s="1419"/>
      <c r="K177" s="619"/>
      <c r="L177" s="620"/>
      <c r="M177" s="620"/>
      <c r="N177" s="619"/>
    </row>
    <row r="178" spans="1:14" ht="18" customHeight="1">
      <c r="A178" s="508"/>
      <c r="B178" s="508"/>
      <c r="C178" s="508"/>
      <c r="D178" s="508"/>
      <c r="E178" s="508"/>
      <c r="F178" s="508"/>
      <c r="G178" s="1419"/>
      <c r="H178" s="1419"/>
      <c r="I178" s="618"/>
      <c r="J178" s="1419"/>
      <c r="K178" s="619"/>
      <c r="L178" s="620"/>
      <c r="M178" s="620"/>
      <c r="N178" s="619"/>
    </row>
    <row r="179" spans="1:14" ht="18" customHeight="1"/>
    <row r="180" spans="1:14" ht="18" customHeight="1"/>
    <row r="181" spans="1:14" ht="18" customHeight="1"/>
    <row r="182" spans="1:14" ht="18" customHeight="1"/>
    <row r="183" spans="1:14" ht="18" customHeight="1"/>
    <row r="184" spans="1:14" ht="18" customHeight="1"/>
    <row r="185" spans="1:14" ht="18" customHeight="1"/>
    <row r="186" spans="1:14" ht="18" customHeight="1"/>
    <row r="187" spans="1:14" ht="18" customHeight="1"/>
    <row r="188" spans="1:14" ht="18" customHeight="1"/>
    <row r="189" spans="1:14" ht="18" customHeight="1"/>
    <row r="190" spans="1:14" ht="18" customHeight="1"/>
    <row r="191" spans="1:14" ht="18" customHeight="1"/>
    <row r="192" spans="1:14"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spans="1:14" ht="18" customHeight="1"/>
    <row r="210" spans="1:14" ht="18" customHeight="1"/>
    <row r="211" spans="1:14" ht="18" customHeight="1"/>
    <row r="212" spans="1:14" ht="18" customHeight="1"/>
    <row r="213" spans="1:14" s="261" customFormat="1" ht="20.100000000000001" hidden="1" customHeight="1">
      <c r="A213" s="1456" t="s">
        <v>624</v>
      </c>
      <c r="B213" s="1456"/>
      <c r="C213" s="1456"/>
      <c r="D213" s="1456"/>
      <c r="E213" s="1456"/>
      <c r="F213" s="1456"/>
      <c r="G213" s="1456"/>
      <c r="H213" s="1456"/>
      <c r="I213" s="1456"/>
      <c r="J213" s="1456"/>
      <c r="K213" s="1456"/>
      <c r="L213" s="1456"/>
      <c r="M213" s="1456"/>
      <c r="N213" s="1456"/>
    </row>
    <row r="214" spans="1:14" ht="18" hidden="1" customHeight="1">
      <c r="A214" s="19"/>
      <c r="B214" s="508"/>
      <c r="C214" s="508"/>
      <c r="D214" s="508"/>
      <c r="E214" s="508"/>
      <c r="F214" s="508"/>
      <c r="G214" s="1419"/>
      <c r="H214" s="508"/>
      <c r="I214" s="509"/>
      <c r="J214" s="508"/>
      <c r="K214" s="508"/>
      <c r="L214" s="510"/>
      <c r="M214" s="510"/>
      <c r="N214" s="511"/>
    </row>
    <row r="215" spans="1:14" ht="18" hidden="1" customHeight="1">
      <c r="A215" s="1449" t="s">
        <v>563</v>
      </c>
      <c r="B215" s="1449"/>
      <c r="C215" s="1449"/>
      <c r="D215" s="1449"/>
      <c r="E215" s="1449"/>
      <c r="F215" s="1449"/>
      <c r="G215" s="1449"/>
      <c r="H215" s="1449"/>
      <c r="I215" s="1449"/>
      <c r="J215" s="1449"/>
      <c r="K215" s="1449"/>
      <c r="L215" s="1449"/>
      <c r="M215" s="1449"/>
      <c r="N215" s="1449"/>
    </row>
    <row r="216" spans="1:14" ht="18" hidden="1" customHeight="1">
      <c r="A216" s="1449" t="s">
        <v>351</v>
      </c>
      <c r="B216" s="1449"/>
      <c r="C216" s="1449"/>
      <c r="D216" s="1449"/>
      <c r="E216" s="1449"/>
      <c r="F216" s="1449"/>
      <c r="G216" s="1449"/>
      <c r="H216" s="1449"/>
      <c r="I216" s="1449"/>
      <c r="J216" s="1449"/>
      <c r="K216" s="1449"/>
      <c r="L216" s="1449"/>
      <c r="M216" s="1449"/>
      <c r="N216" s="1449"/>
    </row>
    <row r="217" spans="1:14" ht="18" hidden="1" customHeight="1">
      <c r="A217" s="1417"/>
      <c r="B217" s="1417"/>
      <c r="C217" s="1417"/>
      <c r="D217" s="1417"/>
      <c r="E217" s="1417"/>
      <c r="F217" s="1417"/>
      <c r="G217" s="1417"/>
      <c r="H217" s="1417"/>
      <c r="I217" s="731"/>
      <c r="J217" s="1417"/>
      <c r="K217" s="1417"/>
      <c r="L217" s="512"/>
      <c r="M217" s="512"/>
      <c r="N217" s="1417"/>
    </row>
    <row r="218" spans="1:14" ht="18" hidden="1" customHeight="1" thickBot="1">
      <c r="A218" s="1449" t="s">
        <v>10</v>
      </c>
      <c r="B218" s="1449"/>
      <c r="C218" s="1449"/>
      <c r="D218" s="1449"/>
      <c r="E218" s="1449"/>
      <c r="F218" s="1449"/>
      <c r="G218" s="1449"/>
      <c r="H218" s="1449"/>
      <c r="I218" s="1449"/>
      <c r="J218" s="1449"/>
      <c r="K218" s="1449"/>
      <c r="L218" s="1449"/>
      <c r="M218" s="1449"/>
      <c r="N218" s="1449"/>
    </row>
    <row r="219" spans="1:14" s="1" customFormat="1" ht="18" hidden="1" customHeight="1">
      <c r="A219" s="513"/>
      <c r="B219" s="514"/>
      <c r="C219" s="514"/>
      <c r="D219" s="514"/>
      <c r="E219" s="514"/>
      <c r="F219" s="514"/>
      <c r="G219" s="515"/>
      <c r="H219" s="516"/>
      <c r="I219" s="516"/>
      <c r="J219" s="516"/>
      <c r="K219" s="1445"/>
      <c r="L219" s="1446"/>
      <c r="M219" s="1447"/>
      <c r="N219" s="517"/>
    </row>
    <row r="220" spans="1:14" s="1" customFormat="1" ht="18" hidden="1" customHeight="1">
      <c r="A220" s="1450" t="s">
        <v>3</v>
      </c>
      <c r="B220" s="1451"/>
      <c r="C220" s="1451"/>
      <c r="D220" s="1451"/>
      <c r="E220" s="1451"/>
      <c r="F220" s="1451"/>
      <c r="G220" s="518"/>
      <c r="H220" s="518" t="s">
        <v>1</v>
      </c>
      <c r="I220" s="519" t="s">
        <v>2</v>
      </c>
      <c r="J220" s="518" t="s">
        <v>6</v>
      </c>
      <c r="K220" s="1457" t="s">
        <v>618</v>
      </c>
      <c r="L220" s="1458"/>
      <c r="M220" s="1459"/>
      <c r="N220" s="520" t="s">
        <v>7</v>
      </c>
    </row>
    <row r="221" spans="1:14" s="1" customFormat="1" ht="18" hidden="1" customHeight="1">
      <c r="A221" s="521"/>
      <c r="B221" s="509"/>
      <c r="C221" s="509"/>
      <c r="D221" s="509"/>
      <c r="E221" s="509"/>
      <c r="F221" s="509"/>
      <c r="G221" s="522"/>
      <c r="H221" s="518" t="s">
        <v>4</v>
      </c>
      <c r="I221" s="519" t="s">
        <v>5</v>
      </c>
      <c r="J221" s="523">
        <v>2021</v>
      </c>
      <c r="K221" s="518" t="s">
        <v>559</v>
      </c>
      <c r="L221" s="524" t="s">
        <v>562</v>
      </c>
      <c r="M221" s="518">
        <v>2022</v>
      </c>
      <c r="N221" s="525">
        <v>2023</v>
      </c>
    </row>
    <row r="222" spans="1:14" s="1" customFormat="1" ht="18" hidden="1" customHeight="1">
      <c r="A222" s="521"/>
      <c r="B222" s="509"/>
      <c r="C222" s="509"/>
      <c r="D222" s="509"/>
      <c r="E222" s="509"/>
      <c r="F222" s="509"/>
      <c r="G222" s="522"/>
      <c r="H222" s="518"/>
      <c r="I222" s="518"/>
      <c r="J222" s="518" t="s">
        <v>559</v>
      </c>
      <c r="K222" s="518">
        <v>2022</v>
      </c>
      <c r="L222" s="518">
        <v>2022</v>
      </c>
      <c r="M222" s="524" t="s">
        <v>922</v>
      </c>
      <c r="N222" s="520" t="s">
        <v>564</v>
      </c>
    </row>
    <row r="223" spans="1:14" s="1" customFormat="1" ht="18" hidden="1" customHeight="1" thickBot="1">
      <c r="A223" s="521"/>
      <c r="B223" s="509"/>
      <c r="C223" s="509"/>
      <c r="D223" s="509"/>
      <c r="E223" s="509"/>
      <c r="F223" s="509"/>
      <c r="G223" s="522"/>
      <c r="H223" s="526"/>
      <c r="I223" s="526"/>
      <c r="J223" s="526"/>
      <c r="K223" s="526"/>
      <c r="L223" s="527"/>
      <c r="M223" s="527"/>
      <c r="N223" s="528"/>
    </row>
    <row r="224" spans="1:14" ht="18" hidden="1" customHeight="1">
      <c r="A224" s="529" t="s">
        <v>474</v>
      </c>
      <c r="B224" s="530" t="s">
        <v>475</v>
      </c>
      <c r="C224" s="530"/>
      <c r="D224" s="530"/>
      <c r="E224" s="530"/>
      <c r="F224" s="530"/>
      <c r="G224" s="627"/>
      <c r="H224" s="532"/>
      <c r="I224" s="628"/>
      <c r="J224" s="802">
        <v>0</v>
      </c>
      <c r="K224" s="802">
        <v>0</v>
      </c>
      <c r="L224" s="802">
        <v>0</v>
      </c>
      <c r="M224" s="802">
        <f>SUM(K224:L224)</f>
        <v>0</v>
      </c>
      <c r="N224" s="802">
        <f>SUM(L224:M224)</f>
        <v>0</v>
      </c>
    </row>
    <row r="225" spans="1:14" ht="18" hidden="1" customHeight="1">
      <c r="A225" s="567" t="s">
        <v>476</v>
      </c>
      <c r="B225" s="568" t="s">
        <v>477</v>
      </c>
      <c r="C225" s="568"/>
      <c r="D225" s="568"/>
      <c r="E225" s="568"/>
      <c r="F225" s="568"/>
      <c r="G225" s="539"/>
      <c r="H225" s="540"/>
      <c r="I225" s="595"/>
      <c r="J225" s="629"/>
      <c r="K225" s="630"/>
      <c r="L225" s="631"/>
      <c r="M225" s="630"/>
      <c r="N225" s="630"/>
    </row>
    <row r="226" spans="1:14" ht="18" hidden="1" customHeight="1">
      <c r="A226" s="567"/>
      <c r="B226" s="568" t="s">
        <v>509</v>
      </c>
      <c r="C226" s="568"/>
      <c r="D226" s="568"/>
      <c r="E226" s="568"/>
      <c r="F226" s="568"/>
      <c r="G226" s="539"/>
      <c r="H226" s="540"/>
      <c r="I226" s="595"/>
      <c r="J226" s="629"/>
      <c r="K226" s="630"/>
      <c r="L226" s="631"/>
      <c r="M226" s="630"/>
      <c r="N226" s="630"/>
    </row>
    <row r="227" spans="1:14" ht="18" hidden="1" customHeight="1">
      <c r="A227" s="536"/>
      <c r="B227" s="538"/>
      <c r="C227" s="538" t="s">
        <v>181</v>
      </c>
      <c r="D227" s="538"/>
      <c r="E227" s="538"/>
      <c r="F227" s="538"/>
      <c r="G227" s="539"/>
      <c r="H227" s="540"/>
      <c r="I227" s="595"/>
      <c r="J227" s="629"/>
      <c r="K227" s="630"/>
      <c r="L227" s="631"/>
      <c r="M227" s="630"/>
      <c r="N227" s="630"/>
    </row>
    <row r="228" spans="1:14" ht="18" hidden="1" customHeight="1">
      <c r="A228" s="536"/>
      <c r="B228" s="538"/>
      <c r="C228" s="538"/>
      <c r="D228" s="538" t="s">
        <v>478</v>
      </c>
      <c r="E228" s="538" t="s">
        <v>566</v>
      </c>
      <c r="F228" s="538"/>
      <c r="G228" s="539"/>
      <c r="H228" s="540"/>
      <c r="I228" s="595"/>
      <c r="J228" s="629"/>
      <c r="K228" s="630"/>
      <c r="L228" s="631"/>
      <c r="M228" s="630"/>
      <c r="N228" s="630"/>
    </row>
    <row r="229" spans="1:14" ht="18" hidden="1" customHeight="1">
      <c r="A229" s="536"/>
      <c r="B229" s="538"/>
      <c r="C229" s="538"/>
      <c r="D229" s="538"/>
      <c r="E229" s="538" t="s">
        <v>567</v>
      </c>
      <c r="F229" s="538"/>
      <c r="G229" s="572" t="s">
        <v>739</v>
      </c>
      <c r="H229" s="540" t="s">
        <v>732</v>
      </c>
      <c r="I229" s="595" t="s">
        <v>727</v>
      </c>
      <c r="J229" s="632">
        <v>5008228.38</v>
      </c>
      <c r="K229" s="633"/>
      <c r="L229" s="633">
        <f>0-K229</f>
        <v>0</v>
      </c>
      <c r="M229" s="633">
        <f>L229+K229</f>
        <v>0</v>
      </c>
      <c r="N229" s="633">
        <v>0</v>
      </c>
    </row>
    <row r="230" spans="1:14" ht="18" hidden="1" customHeight="1" thickBot="1">
      <c r="A230" s="544"/>
      <c r="B230" s="545"/>
      <c r="C230" s="545"/>
      <c r="D230" s="545"/>
      <c r="E230" s="545" t="s">
        <v>568</v>
      </c>
      <c r="F230" s="545"/>
      <c r="G230" s="573" t="s">
        <v>740</v>
      </c>
      <c r="H230" s="547" t="s">
        <v>708</v>
      </c>
      <c r="I230" s="599" t="s">
        <v>727</v>
      </c>
      <c r="J230" s="635">
        <v>142622.85</v>
      </c>
      <c r="K230" s="636"/>
      <c r="L230" s="633">
        <f>0-K230</f>
        <v>0</v>
      </c>
      <c r="M230" s="636">
        <f>L230+K230</f>
        <v>0</v>
      </c>
      <c r="N230" s="636">
        <v>0</v>
      </c>
    </row>
    <row r="231" spans="1:14" s="7" customFormat="1" ht="18" hidden="1" customHeight="1" thickBot="1">
      <c r="A231" s="553"/>
      <c r="B231" s="554"/>
      <c r="C231" s="554" t="s">
        <v>479</v>
      </c>
      <c r="D231" s="554"/>
      <c r="E231" s="554"/>
      <c r="F231" s="554"/>
      <c r="G231" s="555"/>
      <c r="H231" s="556"/>
      <c r="I231" s="601"/>
      <c r="J231" s="637">
        <f>SUM(J228:J230)</f>
        <v>5150851.2299999995</v>
      </c>
      <c r="K231" s="637">
        <f>SUM(K228:K230)</f>
        <v>0</v>
      </c>
      <c r="L231" s="637">
        <f>SUM(L228:L230)</f>
        <v>0</v>
      </c>
      <c r="M231" s="637">
        <f>SUM(M228:M230)</f>
        <v>0</v>
      </c>
      <c r="N231" s="637">
        <f>SUM(N228:N230)</f>
        <v>0</v>
      </c>
    </row>
    <row r="232" spans="1:14" ht="18" hidden="1" customHeight="1">
      <c r="A232" s="579"/>
      <c r="B232" s="580"/>
      <c r="C232" s="580" t="s">
        <v>182</v>
      </c>
      <c r="D232" s="580"/>
      <c r="E232" s="580"/>
      <c r="F232" s="580"/>
      <c r="G232" s="581"/>
      <c r="H232" s="562"/>
      <c r="I232" s="607"/>
      <c r="J232" s="639"/>
      <c r="K232" s="640"/>
      <c r="L232" s="641"/>
      <c r="M232" s="640"/>
      <c r="N232" s="640"/>
    </row>
    <row r="233" spans="1:14" ht="18" hidden="1" customHeight="1">
      <c r="A233" s="536"/>
      <c r="B233" s="538"/>
      <c r="C233" s="538"/>
      <c r="D233" s="538" t="s">
        <v>480</v>
      </c>
      <c r="E233" s="538"/>
      <c r="F233" s="538"/>
      <c r="G233" s="539"/>
      <c r="H233" s="540"/>
      <c r="I233" s="595"/>
      <c r="J233" s="632"/>
      <c r="K233" s="633"/>
      <c r="L233" s="634"/>
      <c r="M233" s="633"/>
      <c r="N233" s="633"/>
    </row>
    <row r="234" spans="1:14" ht="18" hidden="1" customHeight="1">
      <c r="A234" s="536"/>
      <c r="B234" s="538"/>
      <c r="C234" s="538"/>
      <c r="D234" s="538"/>
      <c r="E234" s="538" t="s">
        <v>570</v>
      </c>
      <c r="F234" s="538" t="s">
        <v>569</v>
      </c>
      <c r="G234" s="572" t="s">
        <v>741</v>
      </c>
      <c r="H234" s="540" t="s">
        <v>714</v>
      </c>
      <c r="I234" s="595" t="s">
        <v>727</v>
      </c>
      <c r="J234" s="632">
        <v>321109</v>
      </c>
      <c r="K234" s="633">
        <f>301196</f>
        <v>301196</v>
      </c>
      <c r="L234" s="634">
        <f>325000-K234</f>
        <v>23804</v>
      </c>
      <c r="M234" s="633">
        <f t="shared" ref="M234:M249" si="6">L234+K234</f>
        <v>325000</v>
      </c>
      <c r="N234" s="633">
        <v>280000</v>
      </c>
    </row>
    <row r="235" spans="1:14" ht="18" hidden="1" customHeight="1">
      <c r="A235" s="536"/>
      <c r="B235" s="538"/>
      <c r="C235" s="538"/>
      <c r="D235" s="538"/>
      <c r="E235" s="538" t="s">
        <v>571</v>
      </c>
      <c r="F235" s="538"/>
      <c r="G235" s="572" t="s">
        <v>742</v>
      </c>
      <c r="H235" s="540" t="s">
        <v>716</v>
      </c>
      <c r="I235" s="595" t="s">
        <v>727</v>
      </c>
      <c r="J235" s="632">
        <v>967306.11</v>
      </c>
      <c r="K235" s="633">
        <f>895324.88</f>
        <v>895324.88</v>
      </c>
      <c r="L235" s="634">
        <f>950000-K235</f>
        <v>54675.119999999995</v>
      </c>
      <c r="M235" s="633">
        <f t="shared" si="6"/>
        <v>950000</v>
      </c>
      <c r="N235" s="633">
        <v>850000</v>
      </c>
    </row>
    <row r="236" spans="1:14" ht="18" hidden="1" customHeight="1">
      <c r="A236" s="536"/>
      <c r="B236" s="538"/>
      <c r="C236" s="538"/>
      <c r="D236" s="538"/>
      <c r="E236" s="538" t="s">
        <v>1608</v>
      </c>
      <c r="F236" s="538"/>
      <c r="G236" s="572"/>
      <c r="H236" s="540" t="s">
        <v>716</v>
      </c>
      <c r="I236" s="595" t="s">
        <v>727</v>
      </c>
      <c r="J236" s="632">
        <v>0</v>
      </c>
      <c r="K236" s="633">
        <f>35606</f>
        <v>35606</v>
      </c>
      <c r="L236" s="634">
        <f>60000-K236</f>
        <v>24394</v>
      </c>
      <c r="M236" s="633">
        <f t="shared" si="6"/>
        <v>60000</v>
      </c>
      <c r="N236" s="633">
        <v>60000</v>
      </c>
    </row>
    <row r="237" spans="1:14" ht="18" hidden="1" customHeight="1">
      <c r="A237" s="536"/>
      <c r="B237" s="538"/>
      <c r="C237" s="538"/>
      <c r="D237" s="538"/>
      <c r="E237" s="538" t="s">
        <v>1609</v>
      </c>
      <c r="F237" s="538"/>
      <c r="G237" s="572" t="s">
        <v>743</v>
      </c>
      <c r="H237" s="540" t="s">
        <v>733</v>
      </c>
      <c r="I237" s="595" t="s">
        <v>727</v>
      </c>
      <c r="J237" s="632">
        <v>42810</v>
      </c>
      <c r="K237" s="633">
        <f>43072</f>
        <v>43072</v>
      </c>
      <c r="L237" s="634">
        <f>50000-K237</f>
        <v>6928</v>
      </c>
      <c r="M237" s="633">
        <f t="shared" si="6"/>
        <v>50000</v>
      </c>
      <c r="N237" s="633">
        <v>40000</v>
      </c>
    </row>
    <row r="238" spans="1:14" ht="18" hidden="1" customHeight="1">
      <c r="A238" s="536"/>
      <c r="B238" s="538"/>
      <c r="C238" s="538"/>
      <c r="D238" s="538"/>
      <c r="E238" s="538" t="s">
        <v>1610</v>
      </c>
      <c r="F238" s="538"/>
      <c r="G238" s="572"/>
      <c r="H238" s="540" t="s">
        <v>719</v>
      </c>
      <c r="I238" s="595" t="s">
        <v>727</v>
      </c>
      <c r="J238" s="632">
        <v>0</v>
      </c>
      <c r="K238" s="633">
        <f>113900</f>
        <v>113900</v>
      </c>
      <c r="L238" s="634">
        <f>700000-K238</f>
        <v>586100</v>
      </c>
      <c r="M238" s="633">
        <f t="shared" si="6"/>
        <v>700000</v>
      </c>
      <c r="N238" s="633">
        <v>200000</v>
      </c>
    </row>
    <row r="239" spans="1:14" ht="18" hidden="1" customHeight="1">
      <c r="A239" s="536"/>
      <c r="B239" s="538"/>
      <c r="C239" s="538"/>
      <c r="D239" s="538"/>
      <c r="E239" s="538" t="s">
        <v>1611</v>
      </c>
      <c r="F239" s="538"/>
      <c r="G239" s="572"/>
      <c r="H239" s="540" t="s">
        <v>733</v>
      </c>
      <c r="I239" s="595" t="s">
        <v>727</v>
      </c>
      <c r="J239" s="632">
        <v>0</v>
      </c>
      <c r="K239" s="633">
        <f>18818</f>
        <v>18818</v>
      </c>
      <c r="L239" s="634">
        <f>45000-K239</f>
        <v>26182</v>
      </c>
      <c r="M239" s="633">
        <f t="shared" si="6"/>
        <v>45000</v>
      </c>
      <c r="N239" s="633">
        <v>35000</v>
      </c>
    </row>
    <row r="240" spans="1:14" ht="18" hidden="1" customHeight="1">
      <c r="A240" s="536"/>
      <c r="B240" s="538"/>
      <c r="C240" s="538"/>
      <c r="D240" s="538" t="s">
        <v>500</v>
      </c>
      <c r="E240" s="538"/>
      <c r="F240" s="538"/>
      <c r="G240" s="539"/>
      <c r="H240" s="540"/>
      <c r="I240" s="595"/>
      <c r="J240" s="632"/>
      <c r="K240" s="633"/>
      <c r="L240" s="634"/>
      <c r="M240" s="633"/>
      <c r="N240" s="633"/>
    </row>
    <row r="241" spans="1:14" ht="18" hidden="1" customHeight="1">
      <c r="A241" s="536"/>
      <c r="B241" s="538"/>
      <c r="C241" s="538"/>
      <c r="D241" s="538"/>
      <c r="E241" s="538" t="s">
        <v>572</v>
      </c>
      <c r="F241" s="538"/>
      <c r="G241" s="572" t="s">
        <v>744</v>
      </c>
      <c r="H241" s="540" t="s">
        <v>722</v>
      </c>
      <c r="I241" s="595" t="s">
        <v>727</v>
      </c>
      <c r="J241" s="632">
        <v>261880</v>
      </c>
      <c r="K241" s="633">
        <f>260872</f>
        <v>260872</v>
      </c>
      <c r="L241" s="634">
        <f>280000-K241</f>
        <v>19128</v>
      </c>
      <c r="M241" s="633">
        <f t="shared" si="6"/>
        <v>280000</v>
      </c>
      <c r="N241" s="633">
        <v>250000</v>
      </c>
    </row>
    <row r="242" spans="1:14" ht="18" hidden="1" customHeight="1">
      <c r="A242" s="536"/>
      <c r="B242" s="538"/>
      <c r="C242" s="538"/>
      <c r="D242" s="538"/>
      <c r="E242" s="538" t="s">
        <v>573</v>
      </c>
      <c r="F242" s="538"/>
      <c r="G242" s="572" t="s">
        <v>745</v>
      </c>
      <c r="H242" s="540" t="s">
        <v>734</v>
      </c>
      <c r="I242" s="595" t="s">
        <v>727</v>
      </c>
      <c r="J242" s="632">
        <v>482440</v>
      </c>
      <c r="K242" s="633">
        <f>268065</f>
        <v>268065</v>
      </c>
      <c r="L242" s="634">
        <f>300000-K242</f>
        <v>31935</v>
      </c>
      <c r="M242" s="633">
        <f t="shared" si="6"/>
        <v>300000</v>
      </c>
      <c r="N242" s="633">
        <v>320000</v>
      </c>
    </row>
    <row r="243" spans="1:14" ht="18" hidden="1" customHeight="1">
      <c r="A243" s="536"/>
      <c r="B243" s="538"/>
      <c r="C243" s="538"/>
      <c r="D243" s="538"/>
      <c r="E243" s="538" t="s">
        <v>574</v>
      </c>
      <c r="F243" s="538"/>
      <c r="G243" s="572" t="s">
        <v>746</v>
      </c>
      <c r="H243" s="540" t="s">
        <v>734</v>
      </c>
      <c r="I243" s="595" t="s">
        <v>727</v>
      </c>
      <c r="J243" s="632">
        <v>147665</v>
      </c>
      <c r="K243" s="633">
        <f>73575</f>
        <v>73575</v>
      </c>
      <c r="L243" s="634">
        <f>100000-K243</f>
        <v>26425</v>
      </c>
      <c r="M243" s="633">
        <f t="shared" si="6"/>
        <v>100000</v>
      </c>
      <c r="N243" s="633">
        <v>120000</v>
      </c>
    </row>
    <row r="244" spans="1:14" ht="18" hidden="1" customHeight="1">
      <c r="A244" s="536"/>
      <c r="B244" s="538"/>
      <c r="C244" s="538"/>
      <c r="D244" s="538"/>
      <c r="E244" s="538" t="s">
        <v>575</v>
      </c>
      <c r="F244" s="538"/>
      <c r="G244" s="572" t="s">
        <v>747</v>
      </c>
      <c r="H244" s="540" t="s">
        <v>735</v>
      </c>
      <c r="I244" s="595" t="s">
        <v>727</v>
      </c>
      <c r="J244" s="632">
        <v>337151</v>
      </c>
      <c r="K244" s="633">
        <f>333899</f>
        <v>333899</v>
      </c>
      <c r="L244" s="634">
        <f>350000-K244</f>
        <v>16101</v>
      </c>
      <c r="M244" s="633">
        <f t="shared" si="6"/>
        <v>350000</v>
      </c>
      <c r="N244" s="633">
        <v>350000</v>
      </c>
    </row>
    <row r="245" spans="1:14" ht="18" hidden="1" customHeight="1">
      <c r="A245" s="536"/>
      <c r="B245" s="538"/>
      <c r="C245" s="538"/>
      <c r="D245" s="538"/>
      <c r="E245" s="538" t="s">
        <v>576</v>
      </c>
      <c r="F245" s="538"/>
      <c r="G245" s="539"/>
      <c r="H245" s="540"/>
      <c r="I245" s="595"/>
      <c r="J245" s="632"/>
      <c r="K245" s="633"/>
      <c r="L245" s="634"/>
      <c r="M245" s="633"/>
      <c r="N245" s="633"/>
    </row>
    <row r="246" spans="1:14" ht="18" hidden="1" customHeight="1">
      <c r="A246" s="536"/>
      <c r="B246" s="538"/>
      <c r="C246" s="538"/>
      <c r="D246" s="538"/>
      <c r="E246" s="538"/>
      <c r="F246" s="538" t="s">
        <v>577</v>
      </c>
      <c r="G246" s="572" t="s">
        <v>748</v>
      </c>
      <c r="H246" s="540" t="s">
        <v>736</v>
      </c>
      <c r="I246" s="595" t="s">
        <v>727</v>
      </c>
      <c r="J246" s="632">
        <v>3548148.5</v>
      </c>
      <c r="K246" s="633">
        <f>1453881.5</f>
        <v>1453881.5</v>
      </c>
      <c r="L246" s="634">
        <f>2900000-K246</f>
        <v>1446118.5</v>
      </c>
      <c r="M246" s="633">
        <f t="shared" si="6"/>
        <v>2900000</v>
      </c>
      <c r="N246" s="633">
        <v>3100000</v>
      </c>
    </row>
    <row r="247" spans="1:14" ht="18" hidden="1" customHeight="1">
      <c r="A247" s="536"/>
      <c r="B247" s="538"/>
      <c r="C247" s="538"/>
      <c r="D247" s="538"/>
      <c r="E247" s="538"/>
      <c r="F247" s="538" t="s">
        <v>578</v>
      </c>
      <c r="G247" s="572" t="s">
        <v>749</v>
      </c>
      <c r="H247" s="540" t="s">
        <v>736</v>
      </c>
      <c r="I247" s="595" t="s">
        <v>727</v>
      </c>
      <c r="J247" s="632">
        <v>1817860</v>
      </c>
      <c r="K247" s="633">
        <f>1019910</f>
        <v>1019910</v>
      </c>
      <c r="L247" s="634">
        <f>1500000-K247</f>
        <v>480090</v>
      </c>
      <c r="M247" s="633">
        <f t="shared" si="6"/>
        <v>1500000</v>
      </c>
      <c r="N247" s="633">
        <v>1800000</v>
      </c>
    </row>
    <row r="248" spans="1:14" ht="18" hidden="1" customHeight="1">
      <c r="A248" s="536"/>
      <c r="B248" s="538"/>
      <c r="C248" s="538"/>
      <c r="D248" s="538"/>
      <c r="E248" s="538"/>
      <c r="F248" s="538" t="s">
        <v>579</v>
      </c>
      <c r="G248" s="572" t="s">
        <v>750</v>
      </c>
      <c r="H248" s="540" t="s">
        <v>736</v>
      </c>
      <c r="I248" s="595" t="s">
        <v>727</v>
      </c>
      <c r="J248" s="632">
        <v>1629843.85</v>
      </c>
      <c r="K248" s="633">
        <f>1153571</f>
        <v>1153571</v>
      </c>
      <c r="L248" s="634">
        <f>1300000-K248</f>
        <v>146429</v>
      </c>
      <c r="M248" s="633">
        <f t="shared" si="6"/>
        <v>1300000</v>
      </c>
      <c r="N248" s="633">
        <v>1450000</v>
      </c>
    </row>
    <row r="249" spans="1:14" ht="18" hidden="1" customHeight="1" thickBot="1">
      <c r="A249" s="544"/>
      <c r="B249" s="545"/>
      <c r="C249" s="545"/>
      <c r="D249" s="545"/>
      <c r="E249" s="545"/>
      <c r="F249" s="545" t="s">
        <v>580</v>
      </c>
      <c r="G249" s="573" t="s">
        <v>751</v>
      </c>
      <c r="H249" s="547" t="s">
        <v>736</v>
      </c>
      <c r="I249" s="599" t="s">
        <v>727</v>
      </c>
      <c r="J249" s="642">
        <v>11400</v>
      </c>
      <c r="K249" s="643">
        <f>11330</f>
        <v>11330</v>
      </c>
      <c r="L249" s="1308">
        <v>0</v>
      </c>
      <c r="M249" s="633">
        <f t="shared" si="6"/>
        <v>11330</v>
      </c>
      <c r="N249" s="1308">
        <v>0</v>
      </c>
    </row>
    <row r="250" spans="1:14" s="7" customFormat="1" ht="18" hidden="1" customHeight="1" thickBot="1">
      <c r="A250" s="587"/>
      <c r="B250" s="554"/>
      <c r="C250" s="554" t="s">
        <v>8</v>
      </c>
      <c r="D250" s="554"/>
      <c r="E250" s="554"/>
      <c r="F250" s="554"/>
      <c r="G250" s="555"/>
      <c r="H250" s="556"/>
      <c r="I250" s="601"/>
      <c r="J250" s="637">
        <f>SUM(J234:J249)</f>
        <v>9567613.459999999</v>
      </c>
      <c r="K250" s="637">
        <f>SUM(K234:K249)</f>
        <v>5983020.3799999999</v>
      </c>
      <c r="L250" s="638">
        <f>SUM(L234:L249)</f>
        <v>2888309.62</v>
      </c>
      <c r="M250" s="637">
        <f>SUM(M234:M249)</f>
        <v>8871330</v>
      </c>
      <c r="N250" s="644">
        <f>SUM(N234:N249)</f>
        <v>8855000</v>
      </c>
    </row>
    <row r="251" spans="1:14" s="7" customFormat="1" ht="18" hidden="1" customHeight="1" thickBot="1">
      <c r="A251" s="587" t="s">
        <v>9</v>
      </c>
      <c r="B251" s="554"/>
      <c r="C251" s="554"/>
      <c r="D251" s="554"/>
      <c r="E251" s="554"/>
      <c r="F251" s="554"/>
      <c r="G251" s="555"/>
      <c r="H251" s="556"/>
      <c r="I251" s="601"/>
      <c r="J251" s="637">
        <f>SUM(J250+J231+J224)</f>
        <v>14718464.689999998</v>
      </c>
      <c r="K251" s="637">
        <f>SUM(K250+K231+K224)</f>
        <v>5983020.3799999999</v>
      </c>
      <c r="L251" s="638">
        <f>SUM(L250+L231+L224)</f>
        <v>2888309.62</v>
      </c>
      <c r="M251" s="637">
        <f>SUM(M250+M231+M224)</f>
        <v>8871330</v>
      </c>
      <c r="N251" s="644">
        <f>SUM(N250+N231+N224)</f>
        <v>8855000</v>
      </c>
    </row>
    <row r="252" spans="1:14" s="7" customFormat="1" ht="18" hidden="1" customHeight="1">
      <c r="A252" s="589"/>
      <c r="B252" s="589"/>
      <c r="C252" s="589"/>
      <c r="D252" s="589"/>
      <c r="E252" s="589"/>
      <c r="F252" s="589"/>
      <c r="G252" s="1414"/>
      <c r="H252" s="751"/>
      <c r="I252" s="590"/>
      <c r="J252" s="645"/>
      <c r="K252" s="645"/>
      <c r="L252" s="646"/>
      <c r="M252" s="646"/>
      <c r="N252" s="645"/>
    </row>
    <row r="253" spans="1:14" s="7" customFormat="1" ht="18" hidden="1" customHeight="1">
      <c r="A253" s="589"/>
      <c r="B253" s="589"/>
      <c r="C253" s="589"/>
      <c r="D253" s="589"/>
      <c r="E253" s="589"/>
      <c r="F253" s="589"/>
      <c r="G253" s="1414"/>
      <c r="H253" s="751"/>
      <c r="I253" s="590"/>
      <c r="J253" s="645"/>
      <c r="K253" s="645"/>
      <c r="L253" s="646"/>
      <c r="M253" s="646"/>
      <c r="N253" s="645"/>
    </row>
    <row r="254" spans="1:14" s="7" customFormat="1" ht="18" hidden="1" customHeight="1">
      <c r="A254" s="1449" t="s">
        <v>563</v>
      </c>
      <c r="B254" s="1449"/>
      <c r="C254" s="1449"/>
      <c r="D254" s="1449"/>
      <c r="E254" s="1449"/>
      <c r="F254" s="1449"/>
      <c r="G254" s="1449"/>
      <c r="H254" s="1449"/>
      <c r="I254" s="1449"/>
      <c r="J254" s="1449"/>
      <c r="K254" s="1449"/>
      <c r="L254" s="1449"/>
      <c r="M254" s="1449"/>
      <c r="N254" s="1449"/>
    </row>
    <row r="255" spans="1:14" s="7" customFormat="1" ht="18" hidden="1" customHeight="1">
      <c r="A255" s="1449" t="s">
        <v>351</v>
      </c>
      <c r="B255" s="1449"/>
      <c r="C255" s="1449"/>
      <c r="D255" s="1449"/>
      <c r="E255" s="1449"/>
      <c r="F255" s="1449"/>
      <c r="G255" s="1449"/>
      <c r="H255" s="1449"/>
      <c r="I255" s="1449"/>
      <c r="J255" s="1449"/>
      <c r="K255" s="1449"/>
      <c r="L255" s="1449"/>
      <c r="M255" s="1449"/>
      <c r="N255" s="1449"/>
    </row>
    <row r="256" spans="1:14" s="7" customFormat="1" ht="18" hidden="1" customHeight="1">
      <c r="A256" s="1417"/>
      <c r="B256" s="1417"/>
      <c r="C256" s="1417"/>
      <c r="D256" s="1417"/>
      <c r="E256" s="1417"/>
      <c r="F256" s="1417"/>
      <c r="G256" s="1417"/>
      <c r="H256" s="1417"/>
      <c r="I256" s="731"/>
      <c r="J256" s="1417"/>
      <c r="K256" s="1417"/>
      <c r="L256" s="512"/>
      <c r="M256" s="512"/>
      <c r="N256" s="1417"/>
    </row>
    <row r="257" spans="1:14" s="7" customFormat="1" ht="18" hidden="1" customHeight="1" thickBot="1">
      <c r="A257" s="1449" t="s">
        <v>10</v>
      </c>
      <c r="B257" s="1449"/>
      <c r="C257" s="1449"/>
      <c r="D257" s="1449"/>
      <c r="E257" s="1449"/>
      <c r="F257" s="1449"/>
      <c r="G257" s="1449"/>
      <c r="H257" s="1449"/>
      <c r="I257" s="1449"/>
      <c r="J257" s="1449"/>
      <c r="K257" s="1449"/>
      <c r="L257" s="1449"/>
      <c r="M257" s="1449"/>
      <c r="N257" s="1449"/>
    </row>
    <row r="258" spans="1:14" s="7" customFormat="1" ht="18" hidden="1" customHeight="1">
      <c r="A258" s="513"/>
      <c r="B258" s="514"/>
      <c r="C258" s="514"/>
      <c r="D258" s="514"/>
      <c r="E258" s="514"/>
      <c r="F258" s="514"/>
      <c r="G258" s="515"/>
      <c r="H258" s="516"/>
      <c r="I258" s="516"/>
      <c r="J258" s="516"/>
      <c r="K258" s="1445"/>
      <c r="L258" s="1446"/>
      <c r="M258" s="1447"/>
      <c r="N258" s="517"/>
    </row>
    <row r="259" spans="1:14" s="7" customFormat="1" ht="18" hidden="1" customHeight="1">
      <c r="A259" s="1450" t="s">
        <v>3</v>
      </c>
      <c r="B259" s="1451"/>
      <c r="C259" s="1451"/>
      <c r="D259" s="1451"/>
      <c r="E259" s="1451"/>
      <c r="F259" s="1451"/>
      <c r="G259" s="518"/>
      <c r="H259" s="518" t="s">
        <v>1</v>
      </c>
      <c r="I259" s="519" t="s">
        <v>2</v>
      </c>
      <c r="J259" s="518" t="s">
        <v>6</v>
      </c>
      <c r="K259" s="1457" t="s">
        <v>618</v>
      </c>
      <c r="L259" s="1458"/>
      <c r="M259" s="1459"/>
      <c r="N259" s="520" t="s">
        <v>7</v>
      </c>
    </row>
    <row r="260" spans="1:14" s="7" customFormat="1" ht="18" hidden="1" customHeight="1">
      <c r="A260" s="521"/>
      <c r="B260" s="509"/>
      <c r="C260" s="509"/>
      <c r="D260" s="509"/>
      <c r="E260" s="509"/>
      <c r="F260" s="509"/>
      <c r="G260" s="522"/>
      <c r="H260" s="518" t="s">
        <v>4</v>
      </c>
      <c r="I260" s="519" t="s">
        <v>5</v>
      </c>
      <c r="J260" s="523">
        <v>2021</v>
      </c>
      <c r="K260" s="518" t="s">
        <v>559</v>
      </c>
      <c r="L260" s="524" t="s">
        <v>562</v>
      </c>
      <c r="M260" s="594" t="s">
        <v>1612</v>
      </c>
      <c r="N260" s="525" t="s">
        <v>1680</v>
      </c>
    </row>
    <row r="261" spans="1:14" s="7" customFormat="1" ht="18" hidden="1" customHeight="1">
      <c r="A261" s="521"/>
      <c r="B261" s="509"/>
      <c r="C261" s="509"/>
      <c r="D261" s="509"/>
      <c r="E261" s="509"/>
      <c r="F261" s="509"/>
      <c r="G261" s="522"/>
      <c r="H261" s="518"/>
      <c r="I261" s="518"/>
      <c r="J261" s="518" t="s">
        <v>559</v>
      </c>
      <c r="K261" s="518">
        <v>2022</v>
      </c>
      <c r="L261" s="518">
        <v>2022</v>
      </c>
      <c r="M261" s="524" t="s">
        <v>922</v>
      </c>
      <c r="N261" s="520" t="s">
        <v>564</v>
      </c>
    </row>
    <row r="262" spans="1:14" s="7" customFormat="1" ht="18" hidden="1" customHeight="1" thickBot="1">
      <c r="A262" s="647"/>
      <c r="B262" s="648"/>
      <c r="C262" s="648"/>
      <c r="D262" s="648"/>
      <c r="E262" s="648"/>
      <c r="F262" s="648"/>
      <c r="G262" s="526"/>
      <c r="H262" s="526"/>
      <c r="I262" s="526"/>
      <c r="J262" s="526"/>
      <c r="K262" s="526"/>
      <c r="L262" s="527"/>
      <c r="M262" s="527"/>
      <c r="N262" s="528"/>
    </row>
    <row r="263" spans="1:14" ht="18" hidden="1" customHeight="1">
      <c r="A263" s="559" t="s">
        <v>513</v>
      </c>
      <c r="B263" s="560" t="s">
        <v>514</v>
      </c>
      <c r="C263" s="560"/>
      <c r="D263" s="560"/>
      <c r="E263" s="560"/>
      <c r="F263" s="560"/>
      <c r="G263" s="581"/>
      <c r="H263" s="562"/>
      <c r="I263" s="607"/>
      <c r="J263" s="639"/>
      <c r="K263" s="640"/>
      <c r="L263" s="641"/>
      <c r="M263" s="641"/>
      <c r="N263" s="640"/>
    </row>
    <row r="264" spans="1:14" ht="18" hidden="1" customHeight="1">
      <c r="A264" s="567"/>
      <c r="B264" s="568" t="s">
        <v>359</v>
      </c>
      <c r="C264" s="568"/>
      <c r="D264" s="568"/>
      <c r="E264" s="568"/>
      <c r="F264" s="568"/>
      <c r="G264" s="539"/>
      <c r="H264" s="540"/>
      <c r="I264" s="595"/>
      <c r="J264" s="632"/>
      <c r="K264" s="633"/>
      <c r="L264" s="634"/>
      <c r="M264" s="634"/>
      <c r="N264" s="633"/>
    </row>
    <row r="265" spans="1:14" ht="18" hidden="1" customHeight="1">
      <c r="A265" s="536"/>
      <c r="B265" s="538"/>
      <c r="C265" s="538" t="s">
        <v>515</v>
      </c>
      <c r="D265" s="538"/>
      <c r="E265" s="538"/>
      <c r="F265" s="538"/>
      <c r="G265" s="539"/>
      <c r="H265" s="540"/>
      <c r="I265" s="595"/>
      <c r="J265" s="632"/>
      <c r="K265" s="633"/>
      <c r="L265" s="634"/>
      <c r="M265" s="634"/>
      <c r="N265" s="633"/>
    </row>
    <row r="266" spans="1:14" ht="18" hidden="1" customHeight="1">
      <c r="A266" s="536"/>
      <c r="B266" s="538"/>
      <c r="C266" s="538"/>
      <c r="D266" s="538" t="s">
        <v>516</v>
      </c>
      <c r="E266" s="538"/>
      <c r="F266" s="538"/>
      <c r="G266" s="539" t="s">
        <v>582</v>
      </c>
      <c r="H266" s="540" t="s">
        <v>672</v>
      </c>
      <c r="I266" s="595"/>
      <c r="J266" s="632">
        <f>'[1]LBP NO. 2'!I1015</f>
        <v>3638244.91</v>
      </c>
      <c r="K266" s="632">
        <f>'[1]LBP NO. 2'!J1015</f>
        <v>1836455</v>
      </c>
      <c r="L266" s="632">
        <f>'[1]LBP NO. 2'!K1015</f>
        <v>2103716</v>
      </c>
      <c r="M266" s="632">
        <f>'[1]LBP NO. 2'!L1015</f>
        <v>3940171</v>
      </c>
      <c r="N266" s="632">
        <f>'[1]LBP NO. 2'!M1015</f>
        <v>4087998</v>
      </c>
    </row>
    <row r="267" spans="1:14" ht="18" hidden="1" customHeight="1">
      <c r="A267" s="536"/>
      <c r="B267" s="538"/>
      <c r="C267" s="538"/>
      <c r="D267" s="538" t="s">
        <v>420</v>
      </c>
      <c r="E267" s="538"/>
      <c r="F267" s="538"/>
      <c r="G267" s="539" t="s">
        <v>390</v>
      </c>
      <c r="H267" s="540" t="s">
        <v>728</v>
      </c>
      <c r="I267" s="595"/>
      <c r="J267" s="853">
        <f>'[1]LBP NO. 2'!I1016</f>
        <v>1227480</v>
      </c>
      <c r="K267" s="853">
        <f>'[1]LBP NO. 2'!J1016</f>
        <v>0</v>
      </c>
      <c r="L267" s="853">
        <f>'[1]LBP NO. 2'!K1016</f>
        <v>0</v>
      </c>
      <c r="M267" s="853">
        <f>'[1]LBP NO. 2'!L1016</f>
        <v>0</v>
      </c>
      <c r="N267" s="853">
        <f>'[1]LBP NO. 2'!M1016</f>
        <v>0</v>
      </c>
    </row>
    <row r="268" spans="1:14" ht="18" hidden="1" customHeight="1">
      <c r="A268" s="536"/>
      <c r="B268" s="538"/>
      <c r="C268" s="538" t="s">
        <v>517</v>
      </c>
      <c r="D268" s="538"/>
      <c r="E268" s="538"/>
      <c r="F268" s="538"/>
      <c r="G268" s="539"/>
      <c r="H268" s="540"/>
      <c r="I268" s="595"/>
      <c r="J268" s="632"/>
      <c r="K268" s="633"/>
      <c r="L268" s="634"/>
      <c r="M268" s="633"/>
      <c r="N268" s="633"/>
    </row>
    <row r="269" spans="1:14" ht="18" hidden="1" customHeight="1">
      <c r="A269" s="536"/>
      <c r="B269" s="538"/>
      <c r="C269" s="538"/>
      <c r="D269" s="538" t="s">
        <v>518</v>
      </c>
      <c r="E269" s="538"/>
      <c r="F269" s="538"/>
      <c r="G269" s="539" t="s">
        <v>583</v>
      </c>
      <c r="H269" s="540" t="s">
        <v>673</v>
      </c>
      <c r="I269" s="595"/>
      <c r="J269" s="632">
        <f>'[1]LBP NO. 2'!I1018</f>
        <v>800000</v>
      </c>
      <c r="K269" s="632">
        <f>'[1]LBP NO. 2'!J1018</f>
        <v>264000</v>
      </c>
      <c r="L269" s="632">
        <f>'[1]LBP NO. 2'!K1018</f>
        <v>312000</v>
      </c>
      <c r="M269" s="632">
        <f>'[1]LBP NO. 2'!L1018</f>
        <v>576000</v>
      </c>
      <c r="N269" s="632">
        <f>'[1]LBP NO. 2'!M1018</f>
        <v>576000</v>
      </c>
    </row>
    <row r="270" spans="1:14" ht="18" hidden="1" customHeight="1">
      <c r="A270" s="536"/>
      <c r="B270" s="538"/>
      <c r="C270" s="538"/>
      <c r="D270" s="538" t="s">
        <v>529</v>
      </c>
      <c r="E270" s="538"/>
      <c r="F270" s="538"/>
      <c r="G270" s="539" t="s">
        <v>586</v>
      </c>
      <c r="H270" s="540" t="s">
        <v>676</v>
      </c>
      <c r="I270" s="595"/>
      <c r="J270" s="632">
        <f>'[1]LBP NO. 2'!I1019</f>
        <v>198000</v>
      </c>
      <c r="K270" s="632">
        <f>'[1]LBP NO. 2'!J1019</f>
        <v>138000</v>
      </c>
      <c r="L270" s="632">
        <f>'[1]LBP NO. 2'!K1019</f>
        <v>6000</v>
      </c>
      <c r="M270" s="632">
        <f>'[1]LBP NO. 2'!L1019</f>
        <v>144000</v>
      </c>
      <c r="N270" s="632">
        <f>'[1]LBP NO. 2'!M1019</f>
        <v>144000</v>
      </c>
    </row>
    <row r="271" spans="1:14" ht="18" hidden="1" customHeight="1">
      <c r="A271" s="536"/>
      <c r="B271" s="538"/>
      <c r="C271" s="538"/>
      <c r="D271" s="538" t="s">
        <v>530</v>
      </c>
      <c r="E271" s="538"/>
      <c r="F271" s="538"/>
      <c r="G271" s="539" t="s">
        <v>587</v>
      </c>
      <c r="H271" s="540" t="s">
        <v>693</v>
      </c>
      <c r="I271" s="595"/>
      <c r="J271" s="853">
        <f>'[1]LBP NO. 2'!I1020</f>
        <v>18675</v>
      </c>
      <c r="K271" s="853">
        <f>'[1]LBP NO. 2'!J1020</f>
        <v>6000</v>
      </c>
      <c r="L271" s="853">
        <f>'[1]LBP NO. 2'!K1020</f>
        <v>13800</v>
      </c>
      <c r="M271" s="853">
        <f>'[1]LBP NO. 2'!L1020</f>
        <v>19800</v>
      </c>
      <c r="N271" s="853">
        <f>'[1]LBP NO. 2'!M1020</f>
        <v>19800</v>
      </c>
    </row>
    <row r="272" spans="1:14" ht="18" hidden="1" customHeight="1">
      <c r="A272" s="536"/>
      <c r="B272" s="538"/>
      <c r="C272" s="538"/>
      <c r="D272" s="538" t="s">
        <v>780</v>
      </c>
      <c r="E272" s="538"/>
      <c r="F272" s="538"/>
      <c r="G272" s="572" t="s">
        <v>588</v>
      </c>
      <c r="H272" s="540" t="s">
        <v>677</v>
      </c>
      <c r="I272" s="595"/>
      <c r="J272" s="632">
        <f>'[1]LBP NO. 2'!I1021</f>
        <v>170000</v>
      </c>
      <c r="K272" s="632">
        <f>'[1]LBP NO. 2'!J1021</f>
        <v>0</v>
      </c>
      <c r="L272" s="632">
        <f>'[1]LBP NO. 2'!K1021</f>
        <v>120000</v>
      </c>
      <c r="M272" s="632">
        <f>'[1]LBP NO. 2'!L1021</f>
        <v>120000</v>
      </c>
      <c r="N272" s="632">
        <f>'[1]LBP NO. 2'!M1021</f>
        <v>120000</v>
      </c>
    </row>
    <row r="273" spans="1:14" ht="18" hidden="1" customHeight="1">
      <c r="A273" s="536"/>
      <c r="B273" s="538"/>
      <c r="C273" s="538"/>
      <c r="D273" s="538" t="s">
        <v>531</v>
      </c>
      <c r="E273" s="538"/>
      <c r="F273" s="538"/>
      <c r="G273" s="539" t="s">
        <v>425</v>
      </c>
      <c r="H273" s="540" t="s">
        <v>678</v>
      </c>
      <c r="I273" s="595"/>
      <c r="J273" s="632">
        <f>'[1]LBP NO. 2'!I1022</f>
        <v>10000</v>
      </c>
      <c r="K273" s="632">
        <f>'[1]LBP NO. 2'!J1022</f>
        <v>20000</v>
      </c>
      <c r="L273" s="632">
        <f>'[1]LBP NO. 2'!K1022</f>
        <v>0</v>
      </c>
      <c r="M273" s="632">
        <f>'[1]LBP NO. 2'!L1022</f>
        <v>20000</v>
      </c>
      <c r="N273" s="632">
        <f>'[1]LBP NO. 2'!M1022</f>
        <v>5000</v>
      </c>
    </row>
    <row r="274" spans="1:14" ht="18" hidden="1" customHeight="1">
      <c r="A274" s="536"/>
      <c r="B274" s="538"/>
      <c r="C274" s="538"/>
      <c r="D274" s="538" t="s">
        <v>1580</v>
      </c>
      <c r="E274" s="538"/>
      <c r="F274" s="538"/>
      <c r="G274" s="539"/>
      <c r="H274" s="540" t="str">
        <f>'[1]LBP NO. 2'!H1023</f>
        <v>5-01-02-990</v>
      </c>
      <c r="I274" s="595"/>
      <c r="J274" s="632">
        <f>'[1]LBP NO. 2'!I1023</f>
        <v>93000</v>
      </c>
      <c r="K274" s="632">
        <f>'[1]LBP NO. 2'!J1023</f>
        <v>0</v>
      </c>
      <c r="L274" s="632">
        <f>'[1]LBP NO. 2'!K1023</f>
        <v>0</v>
      </c>
      <c r="M274" s="632">
        <f>'[1]LBP NO. 2'!L1023</f>
        <v>0</v>
      </c>
      <c r="N274" s="632">
        <f>'[1]LBP NO. 2'!M1023</f>
        <v>0</v>
      </c>
    </row>
    <row r="275" spans="1:14" ht="18" hidden="1" customHeight="1">
      <c r="A275" s="536"/>
      <c r="B275" s="538"/>
      <c r="C275" s="538"/>
      <c r="D275" s="538" t="s">
        <v>532</v>
      </c>
      <c r="E275" s="538"/>
      <c r="F275" s="538"/>
      <c r="G275" s="539" t="s">
        <v>589</v>
      </c>
      <c r="H275" s="540" t="s">
        <v>694</v>
      </c>
      <c r="I275" s="595"/>
      <c r="J275" s="853">
        <f>'[1]LBP NO. 2'!I1025</f>
        <v>8890</v>
      </c>
      <c r="K275" s="853">
        <f>'[1]LBP NO. 2'!J1025</f>
        <v>3556</v>
      </c>
      <c r="L275" s="853">
        <f>'[1]LBP NO. 2'!K1025</f>
        <v>17780</v>
      </c>
      <c r="M275" s="853">
        <f>'[1]LBP NO. 2'!L1025</f>
        <v>21336</v>
      </c>
      <c r="N275" s="853">
        <f>'[1]LBP NO. 2'!M1025</f>
        <v>21336</v>
      </c>
    </row>
    <row r="276" spans="1:14" ht="18" hidden="1" customHeight="1">
      <c r="A276" s="536"/>
      <c r="B276" s="538"/>
      <c r="C276" s="538"/>
      <c r="D276" s="538" t="s">
        <v>360</v>
      </c>
      <c r="E276" s="538"/>
      <c r="F276" s="538"/>
      <c r="G276" s="539" t="s">
        <v>590</v>
      </c>
      <c r="H276" s="540" t="s">
        <v>695</v>
      </c>
      <c r="I276" s="595"/>
      <c r="J276" s="632">
        <f>'[1]LBP NO. 2'!I1026</f>
        <v>63569.86</v>
      </c>
      <c r="K276" s="632">
        <f>'[1]LBP NO. 2'!J1026</f>
        <v>0</v>
      </c>
      <c r="L276" s="632">
        <f>'[1]LBP NO. 2'!K1026</f>
        <v>100000</v>
      </c>
      <c r="M276" s="632">
        <f>'[1]LBP NO. 2'!L1026</f>
        <v>100000</v>
      </c>
      <c r="N276" s="632">
        <f>'[1]LBP NO. 2'!M1026</f>
        <v>100000</v>
      </c>
    </row>
    <row r="277" spans="1:14" ht="18" hidden="1" customHeight="1">
      <c r="A277" s="536"/>
      <c r="B277" s="538"/>
      <c r="C277" s="538"/>
      <c r="D277" s="538" t="s">
        <v>533</v>
      </c>
      <c r="E277" s="538"/>
      <c r="F277" s="538"/>
      <c r="G277" s="539" t="s">
        <v>591</v>
      </c>
      <c r="H277" s="540" t="s">
        <v>679</v>
      </c>
      <c r="I277" s="595"/>
      <c r="J277" s="632">
        <f>'[1]LBP NO. 2'!I1027</f>
        <v>167500</v>
      </c>
      <c r="K277" s="632">
        <f>'[1]LBP NO. 2'!J1027</f>
        <v>0</v>
      </c>
      <c r="L277" s="632">
        <f>'[1]LBP NO. 2'!K1027</f>
        <v>120000</v>
      </c>
      <c r="M277" s="632">
        <f>'[1]LBP NO. 2'!L1027</f>
        <v>120000</v>
      </c>
      <c r="N277" s="632">
        <f>'[1]LBP NO. 2'!M1027</f>
        <v>120000</v>
      </c>
    </row>
    <row r="278" spans="1:14" ht="18" hidden="1" customHeight="1">
      <c r="A278" s="536"/>
      <c r="B278" s="538"/>
      <c r="C278" s="538"/>
      <c r="D278" s="538" t="s">
        <v>886</v>
      </c>
      <c r="E278" s="538"/>
      <c r="F278" s="538"/>
      <c r="G278" s="539" t="s">
        <v>425</v>
      </c>
      <c r="H278" s="540" t="s">
        <v>678</v>
      </c>
      <c r="I278" s="595"/>
      <c r="J278" s="853">
        <f>'[1]LBP NO. 2'!I1028</f>
        <v>393101</v>
      </c>
      <c r="K278" s="853">
        <f>'[1]LBP NO. 2'!J1028</f>
        <v>295138</v>
      </c>
      <c r="L278" s="853">
        <f>'[1]LBP NO. 2'!K1028</f>
        <v>33163</v>
      </c>
      <c r="M278" s="853">
        <f>'[1]LBP NO. 2'!L1028</f>
        <v>328301</v>
      </c>
      <c r="N278" s="853">
        <f>'[1]LBP NO. 2'!M1028</f>
        <v>340620</v>
      </c>
    </row>
    <row r="279" spans="1:14" ht="18" hidden="1" customHeight="1">
      <c r="A279" s="536"/>
      <c r="B279" s="538"/>
      <c r="C279" s="538"/>
      <c r="D279" s="538" t="s">
        <v>1492</v>
      </c>
      <c r="E279" s="538"/>
      <c r="F279" s="538"/>
      <c r="G279" s="539"/>
      <c r="H279" s="540" t="s">
        <v>678</v>
      </c>
      <c r="I279" s="595"/>
      <c r="J279" s="853">
        <f>'[1]LBP NO. 2'!I1024</f>
        <v>0</v>
      </c>
      <c r="K279" s="853">
        <f>'[1]LBP NO. 2'!J1024</f>
        <v>0</v>
      </c>
      <c r="L279" s="853">
        <f>'[1]LBP NO. 2'!K1024</f>
        <v>0</v>
      </c>
      <c r="M279" s="853">
        <f>'[1]LBP NO. 2'!L1024</f>
        <v>0</v>
      </c>
      <c r="N279" s="853">
        <f>'[1]LBP NO. 2'!M1024</f>
        <v>0</v>
      </c>
    </row>
    <row r="280" spans="1:14" ht="18" hidden="1" customHeight="1">
      <c r="A280" s="536"/>
      <c r="B280" s="538"/>
      <c r="C280" s="538"/>
      <c r="D280" s="538" t="s">
        <v>534</v>
      </c>
      <c r="E280" s="538"/>
      <c r="F280" s="538"/>
      <c r="G280" s="539" t="s">
        <v>592</v>
      </c>
      <c r="H280" s="540" t="s">
        <v>680</v>
      </c>
      <c r="I280" s="595"/>
      <c r="J280" s="632">
        <f>'[1]LBP NO. 2'!I1029</f>
        <v>410840</v>
      </c>
      <c r="K280" s="632">
        <f>'[1]LBP NO. 2'!J1029</f>
        <v>0</v>
      </c>
      <c r="L280" s="632">
        <f>'[1]LBP NO. 2'!K1029</f>
        <v>328392</v>
      </c>
      <c r="M280" s="632">
        <f>'[1]LBP NO. 2'!L1029</f>
        <v>328392</v>
      </c>
      <c r="N280" s="632">
        <f>'[1]LBP NO. 2'!M1029</f>
        <v>340713</v>
      </c>
    </row>
    <row r="281" spans="1:14" ht="18" hidden="1" customHeight="1">
      <c r="A281" s="536"/>
      <c r="B281" s="538"/>
      <c r="C281" s="538"/>
      <c r="D281" s="538" t="s">
        <v>646</v>
      </c>
      <c r="E281" s="538"/>
      <c r="F281" s="538"/>
      <c r="G281" s="539" t="s">
        <v>593</v>
      </c>
      <c r="H281" s="540" t="s">
        <v>681</v>
      </c>
      <c r="I281" s="595"/>
      <c r="J281" s="632">
        <f>'[1]LBP NO. 2'!I1030</f>
        <v>575216.52</v>
      </c>
      <c r="K281" s="632">
        <f>'[1]LBP NO. 2'!J1030</f>
        <v>182219.88</v>
      </c>
      <c r="L281" s="632">
        <f>'[1]LBP NO. 2'!K1030</f>
        <v>291780.12</v>
      </c>
      <c r="M281" s="632">
        <f>'[1]LBP NO. 2'!L1030</f>
        <v>474000</v>
      </c>
      <c r="N281" s="632">
        <f>'[1]LBP NO. 2'!M1030</f>
        <v>491000</v>
      </c>
    </row>
    <row r="282" spans="1:14" ht="18" hidden="1" customHeight="1">
      <c r="A282" s="536"/>
      <c r="B282" s="538"/>
      <c r="C282" s="538"/>
      <c r="D282" s="538" t="s">
        <v>535</v>
      </c>
      <c r="E282" s="538"/>
      <c r="F282" s="538"/>
      <c r="G282" s="539" t="s">
        <v>594</v>
      </c>
      <c r="H282" s="540" t="s">
        <v>682</v>
      </c>
      <c r="I282" s="595"/>
      <c r="J282" s="632">
        <f>'[1]LBP NO. 2'!I1031</f>
        <v>40000</v>
      </c>
      <c r="K282" s="632">
        <f>'[1]LBP NO. 2'!J1031</f>
        <v>11200</v>
      </c>
      <c r="L282" s="632">
        <f>'[1]LBP NO. 2'!K1031</f>
        <v>32000</v>
      </c>
      <c r="M282" s="632">
        <f>'[1]LBP NO. 2'!L1031</f>
        <v>43200</v>
      </c>
      <c r="N282" s="632">
        <f>'[1]LBP NO. 2'!M1031</f>
        <v>43200</v>
      </c>
    </row>
    <row r="283" spans="1:14" ht="18" hidden="1" customHeight="1">
      <c r="A283" s="536"/>
      <c r="B283" s="538"/>
      <c r="C283" s="538"/>
      <c r="D283" s="538" t="s">
        <v>536</v>
      </c>
      <c r="E283" s="538"/>
      <c r="F283" s="538"/>
      <c r="G283" s="539" t="s">
        <v>595</v>
      </c>
      <c r="H283" s="540" t="s">
        <v>683</v>
      </c>
      <c r="I283" s="595"/>
      <c r="J283" s="632">
        <f>'[1]LBP NO. 2'!I1032</f>
        <v>70440</v>
      </c>
      <c r="K283" s="632">
        <f>'[1]LBP NO. 2'!J1032</f>
        <v>21900</v>
      </c>
      <c r="L283" s="632">
        <f>'[1]LBP NO. 2'!K1032</f>
        <v>58100</v>
      </c>
      <c r="M283" s="632">
        <f>'[1]LBP NO. 2'!L1032</f>
        <v>80000</v>
      </c>
      <c r="N283" s="632">
        <f>'[1]LBP NO. 2'!M1032</f>
        <v>92000</v>
      </c>
    </row>
    <row r="284" spans="1:14" ht="18" hidden="1" customHeight="1">
      <c r="A284" s="536"/>
      <c r="B284" s="538"/>
      <c r="C284" s="538"/>
      <c r="D284" s="538" t="s">
        <v>642</v>
      </c>
      <c r="E284" s="538"/>
      <c r="F284" s="538"/>
      <c r="G284" s="539" t="s">
        <v>596</v>
      </c>
      <c r="H284" s="540" t="s">
        <v>684</v>
      </c>
      <c r="I284" s="595"/>
      <c r="J284" s="632">
        <f>'[1]LBP NO. 2'!I1033</f>
        <v>39111.32</v>
      </c>
      <c r="K284" s="632">
        <f>'[1]LBP NO. 2'!J1033</f>
        <v>11600</v>
      </c>
      <c r="L284" s="632">
        <f>'[1]LBP NO. 2'!K1033</f>
        <v>17200</v>
      </c>
      <c r="M284" s="632">
        <f>'[1]LBP NO. 2'!L1033</f>
        <v>28800</v>
      </c>
      <c r="N284" s="632">
        <f>'[1]LBP NO. 2'!M1033</f>
        <v>28800</v>
      </c>
    </row>
    <row r="285" spans="1:14" ht="18" hidden="1" customHeight="1">
      <c r="A285" s="536"/>
      <c r="B285" s="538"/>
      <c r="C285" s="538"/>
      <c r="D285" s="538" t="s">
        <v>365</v>
      </c>
      <c r="E285" s="538"/>
      <c r="F285" s="538"/>
      <c r="G285" s="572"/>
      <c r="H285" s="540" t="s">
        <v>685</v>
      </c>
      <c r="I285" s="595"/>
      <c r="J285" s="632">
        <f>'[1]LBP NO. 2'!I1034</f>
        <v>0</v>
      </c>
      <c r="K285" s="632">
        <f>'[1]LBP NO. 2'!J1034</f>
        <v>0</v>
      </c>
      <c r="L285" s="632">
        <f>'[1]LBP NO. 2'!K1034</f>
        <v>0</v>
      </c>
      <c r="M285" s="632">
        <f>'[1]LBP NO. 2'!L1034</f>
        <v>0</v>
      </c>
      <c r="N285" s="632">
        <f>'[1]LBP NO. 2'!M1034</f>
        <v>77000</v>
      </c>
    </row>
    <row r="286" spans="1:14" ht="18" hidden="1" customHeight="1">
      <c r="A286" s="536"/>
      <c r="B286" s="538"/>
      <c r="C286" s="538"/>
      <c r="D286" s="545" t="s">
        <v>538</v>
      </c>
      <c r="E286" s="545"/>
      <c r="F286" s="545"/>
      <c r="G286" s="573" t="s">
        <v>388</v>
      </c>
      <c r="H286" s="547" t="s">
        <v>696</v>
      </c>
      <c r="I286" s="595"/>
      <c r="J286" s="632">
        <f>'[1]LBP NO. 2'!I1035</f>
        <v>363482.89</v>
      </c>
      <c r="K286" s="632">
        <f>'[1]LBP NO. 2'!J1035</f>
        <v>383522.67</v>
      </c>
      <c r="L286" s="632">
        <f>'[1]LBP NO. 2'!K1035</f>
        <v>21477.330000000016</v>
      </c>
      <c r="M286" s="632">
        <f>'[1]LBP NO. 2'!L1035</f>
        <v>405000</v>
      </c>
      <c r="N286" s="632">
        <f>'[1]LBP NO. 2'!M1035</f>
        <v>400000</v>
      </c>
    </row>
    <row r="287" spans="1:14" ht="18" hidden="1" customHeight="1" thickBot="1">
      <c r="A287" s="536"/>
      <c r="B287" s="545"/>
      <c r="C287" s="545"/>
      <c r="D287" s="545" t="s">
        <v>1714</v>
      </c>
      <c r="E287" s="545"/>
      <c r="F287" s="545"/>
      <c r="G287" s="573" t="s">
        <v>388</v>
      </c>
      <c r="H287" s="547" t="s">
        <v>696</v>
      </c>
      <c r="I287" s="599"/>
      <c r="J287" s="642">
        <f>'[1]LBP NO. 2'!I1036</f>
        <v>0</v>
      </c>
      <c r="K287" s="642">
        <f>'[1]LBP NO. 2'!J1036</f>
        <v>0</v>
      </c>
      <c r="L287" s="642">
        <f>'[1]LBP NO. 2'!K1036</f>
        <v>460000</v>
      </c>
      <c r="M287" s="642">
        <f>'[1]LBP NO. 2'!L1036</f>
        <v>460000</v>
      </c>
      <c r="N287" s="642">
        <f>'[1]LBP NO. 2'!M1036</f>
        <v>600000</v>
      </c>
    </row>
    <row r="288" spans="1:14" ht="18" hidden="1" customHeight="1" thickBot="1">
      <c r="A288" s="989"/>
      <c r="B288" s="545"/>
      <c r="C288" s="545"/>
      <c r="D288" s="545" t="s">
        <v>1715</v>
      </c>
      <c r="E288" s="545"/>
      <c r="F288" s="545"/>
      <c r="G288" s="573"/>
      <c r="H288" s="547" t="s">
        <v>696</v>
      </c>
      <c r="I288" s="599"/>
      <c r="J288" s="642">
        <f>'[1]LBP NO. 2'!I1037</f>
        <v>0</v>
      </c>
      <c r="K288" s="642">
        <f>'[1]LBP NO. 2'!J1037</f>
        <v>0</v>
      </c>
      <c r="L288" s="642">
        <f>'[1]LBP NO. 2'!K1037</f>
        <v>0</v>
      </c>
      <c r="M288" s="642">
        <f>'[1]LBP NO. 2'!L1037</f>
        <v>0</v>
      </c>
      <c r="N288" s="642">
        <f>'[1]LBP NO. 2'!M1037</f>
        <v>0</v>
      </c>
    </row>
    <row r="289" spans="1:14" s="7" customFormat="1" ht="18" hidden="1" customHeight="1" thickBot="1">
      <c r="A289" s="587"/>
      <c r="B289" s="554"/>
      <c r="C289" s="554"/>
      <c r="D289" s="554" t="s">
        <v>364</v>
      </c>
      <c r="E289" s="554"/>
      <c r="F289" s="554"/>
      <c r="G289" s="555"/>
      <c r="H289" s="556"/>
      <c r="I289" s="601"/>
      <c r="J289" s="637">
        <f>SUM(J266:J288)</f>
        <v>8287551.5000000009</v>
      </c>
      <c r="K289" s="637">
        <f t="shared" ref="K289:N289" si="7">SUM(K266:K288)</f>
        <v>3173591.55</v>
      </c>
      <c r="L289" s="637">
        <f t="shared" si="7"/>
        <v>4035408.45</v>
      </c>
      <c r="M289" s="637">
        <f t="shared" si="7"/>
        <v>7209000</v>
      </c>
      <c r="N289" s="637">
        <f t="shared" si="7"/>
        <v>7607467</v>
      </c>
    </row>
    <row r="290" spans="1:14" ht="18" hidden="1" customHeight="1">
      <c r="A290" s="579"/>
      <c r="B290" s="650" t="s">
        <v>539</v>
      </c>
      <c r="C290" s="651"/>
      <c r="D290" s="651"/>
      <c r="E290" s="651"/>
      <c r="F290" s="651"/>
      <c r="G290" s="581"/>
      <c r="H290" s="562"/>
      <c r="I290" s="607"/>
      <c r="J290" s="639"/>
      <c r="K290" s="640"/>
      <c r="L290" s="641"/>
      <c r="M290" s="640"/>
      <c r="N290" s="640"/>
    </row>
    <row r="291" spans="1:14" ht="18" hidden="1" customHeight="1">
      <c r="A291" s="536"/>
      <c r="B291" s="538"/>
      <c r="C291" s="538"/>
      <c r="D291" s="538" t="s">
        <v>540</v>
      </c>
      <c r="E291" s="538"/>
      <c r="F291" s="538"/>
      <c r="G291" s="539" t="s">
        <v>376</v>
      </c>
      <c r="H291" s="540" t="s">
        <v>686</v>
      </c>
      <c r="I291" s="595"/>
      <c r="J291" s="632">
        <f>'[1]LBP NO. 2'!I1040</f>
        <v>0</v>
      </c>
      <c r="K291" s="632">
        <f>'[1]LBP NO. 2'!J1040</f>
        <v>8200</v>
      </c>
      <c r="L291" s="632">
        <f>'[1]LBP NO. 2'!K1040</f>
        <v>35800</v>
      </c>
      <c r="M291" s="632">
        <f>'[1]LBP NO. 2'!L1040</f>
        <v>44000</v>
      </c>
      <c r="N291" s="632">
        <f>'[1]LBP NO. 2'!M1040</f>
        <v>50000</v>
      </c>
    </row>
    <row r="292" spans="1:14" ht="18" hidden="1" customHeight="1">
      <c r="A292" s="536"/>
      <c r="B292" s="538"/>
      <c r="C292" s="538"/>
      <c r="D292" s="538" t="s">
        <v>421</v>
      </c>
      <c r="E292" s="538"/>
      <c r="F292" s="538"/>
      <c r="G292" s="539" t="s">
        <v>377</v>
      </c>
      <c r="H292" s="540" t="s">
        <v>687</v>
      </c>
      <c r="I292" s="595"/>
      <c r="J292" s="853">
        <f>'[1]LBP NO. 2'!I1041</f>
        <v>0</v>
      </c>
      <c r="K292" s="853">
        <f>'[1]LBP NO. 2'!J1041</f>
        <v>0</v>
      </c>
      <c r="L292" s="853">
        <f>'[1]LBP NO. 2'!K1041</f>
        <v>40000</v>
      </c>
      <c r="M292" s="853">
        <f>'[1]LBP NO. 2'!L1041</f>
        <v>40000</v>
      </c>
      <c r="N292" s="853">
        <f>'[1]LBP NO. 2'!M1041</f>
        <v>40000</v>
      </c>
    </row>
    <row r="293" spans="1:14" ht="18" hidden="1" customHeight="1">
      <c r="A293" s="536"/>
      <c r="B293" s="538"/>
      <c r="C293" s="538"/>
      <c r="D293" s="538" t="s">
        <v>371</v>
      </c>
      <c r="E293" s="538"/>
      <c r="F293" s="538"/>
      <c r="G293" s="539" t="s">
        <v>379</v>
      </c>
      <c r="H293" s="540" t="s">
        <v>688</v>
      </c>
      <c r="I293" s="595"/>
      <c r="J293" s="632">
        <f>'[1]LBP NO. 2'!I1042</f>
        <v>304397</v>
      </c>
      <c r="K293" s="632">
        <f>'[1]LBP NO. 2'!J1042</f>
        <v>64140</v>
      </c>
      <c r="L293" s="632">
        <f>'[1]LBP NO. 2'!K1042</f>
        <v>385860</v>
      </c>
      <c r="M293" s="632">
        <f>'[1]LBP NO. 2'!L1042</f>
        <v>450000</v>
      </c>
      <c r="N293" s="632">
        <f>'[1]LBP NO. 2'!M1042</f>
        <v>450000</v>
      </c>
    </row>
    <row r="294" spans="1:14" ht="18" hidden="1" customHeight="1">
      <c r="A294" s="536"/>
      <c r="B294" s="538"/>
      <c r="C294" s="538"/>
      <c r="D294" s="538" t="s">
        <v>370</v>
      </c>
      <c r="E294" s="538"/>
      <c r="F294" s="538"/>
      <c r="G294" s="539" t="s">
        <v>609</v>
      </c>
      <c r="H294" s="540" t="s">
        <v>729</v>
      </c>
      <c r="I294" s="595"/>
      <c r="J294" s="632">
        <f>'[1]LBP NO. 2'!I1043</f>
        <v>1342987.19</v>
      </c>
      <c r="K294" s="632">
        <f>'[1]LBP NO. 2'!J1043</f>
        <v>0</v>
      </c>
      <c r="L294" s="632">
        <f>'[1]LBP NO. 2'!K1043</f>
        <v>0</v>
      </c>
      <c r="M294" s="632">
        <f>'[1]LBP NO. 2'!L1043</f>
        <v>0</v>
      </c>
      <c r="N294" s="632">
        <f>'[1]LBP NO. 2'!M1043</f>
        <v>0</v>
      </c>
    </row>
    <row r="295" spans="1:14" ht="18" hidden="1" customHeight="1">
      <c r="A295" s="536"/>
      <c r="B295" s="538"/>
      <c r="C295" s="538"/>
      <c r="D295" s="538" t="s">
        <v>546</v>
      </c>
      <c r="E295" s="538"/>
      <c r="F295" s="538"/>
      <c r="G295" s="539" t="s">
        <v>380</v>
      </c>
      <c r="H295" s="540" t="s">
        <v>690</v>
      </c>
      <c r="I295" s="595"/>
      <c r="J295" s="632">
        <f>'[1]LBP NO. 2'!I1044</f>
        <v>12000</v>
      </c>
      <c r="K295" s="632">
        <f>'[1]LBP NO. 2'!J1044</f>
        <v>6000</v>
      </c>
      <c r="L295" s="632">
        <f>'[1]LBP NO. 2'!K1044</f>
        <v>30000</v>
      </c>
      <c r="M295" s="632">
        <f>'[1]LBP NO. 2'!L1044</f>
        <v>36000</v>
      </c>
      <c r="N295" s="632">
        <f>'[1]LBP NO. 2'!M1044</f>
        <v>12000</v>
      </c>
    </row>
    <row r="296" spans="1:14" ht="18" hidden="1" customHeight="1">
      <c r="A296" s="536"/>
      <c r="B296" s="538"/>
      <c r="C296" s="538"/>
      <c r="D296" s="538" t="s">
        <v>369</v>
      </c>
      <c r="E296" s="538"/>
      <c r="F296" s="538"/>
      <c r="G296" s="539" t="s">
        <v>610</v>
      </c>
      <c r="H296" s="540" t="s">
        <v>730</v>
      </c>
      <c r="I296" s="595"/>
      <c r="J296" s="632">
        <f>'[1]LBP NO. 2'!I1045</f>
        <v>713825</v>
      </c>
      <c r="K296" s="632">
        <f>'[1]LBP NO. 2'!J1045</f>
        <v>0</v>
      </c>
      <c r="L296" s="632">
        <f>'[1]LBP NO. 2'!K1045</f>
        <v>0</v>
      </c>
      <c r="M296" s="632">
        <f>'[1]LBP NO. 2'!L1045</f>
        <v>0</v>
      </c>
      <c r="N296" s="632">
        <f>'[1]LBP NO. 2'!M1045</f>
        <v>0</v>
      </c>
    </row>
    <row r="297" spans="1:14" ht="18" hidden="1" customHeight="1">
      <c r="A297" s="536"/>
      <c r="B297" s="538"/>
      <c r="C297" s="538"/>
      <c r="D297" s="538" t="s">
        <v>907</v>
      </c>
      <c r="E297" s="538"/>
      <c r="F297" s="538"/>
      <c r="G297" s="539" t="s">
        <v>381</v>
      </c>
      <c r="H297" s="540" t="s">
        <v>691</v>
      </c>
      <c r="I297" s="595"/>
      <c r="J297" s="632">
        <f>'[1]LBP NO. 2'!I1047</f>
        <v>9800</v>
      </c>
      <c r="K297" s="632">
        <f>'[1]LBP NO. 2'!J1047</f>
        <v>0</v>
      </c>
      <c r="L297" s="632">
        <f>'[1]LBP NO. 2'!K1047</f>
        <v>40000</v>
      </c>
      <c r="M297" s="632">
        <f>'[1]LBP NO. 2'!L1047</f>
        <v>40000</v>
      </c>
      <c r="N297" s="632">
        <f>'[1]LBP NO. 2'!M1047</f>
        <v>40000</v>
      </c>
    </row>
    <row r="298" spans="1:14" ht="18" hidden="1" customHeight="1">
      <c r="A298" s="536"/>
      <c r="B298" s="538"/>
      <c r="C298" s="538"/>
      <c r="D298" s="538" t="s">
        <v>928</v>
      </c>
      <c r="E298" s="538"/>
      <c r="F298" s="538"/>
      <c r="G298" s="539"/>
      <c r="H298" s="540" t="s">
        <v>929</v>
      </c>
      <c r="I298" s="595"/>
      <c r="J298" s="632">
        <f>'[1]LBP NO. 2'!I1046</f>
        <v>447472.64000000001</v>
      </c>
      <c r="K298" s="632">
        <f>'[1]LBP NO. 2'!J1046</f>
        <v>0</v>
      </c>
      <c r="L298" s="632">
        <f>'[1]LBP NO. 2'!K1046</f>
        <v>276000</v>
      </c>
      <c r="M298" s="632">
        <f>'[1]LBP NO. 2'!L1046</f>
        <v>276000</v>
      </c>
      <c r="N298" s="632">
        <f>'[1]LBP NO. 2'!M1046</f>
        <v>276000</v>
      </c>
    </row>
    <row r="299" spans="1:14" ht="18" hidden="1" customHeight="1">
      <c r="A299" s="536"/>
      <c r="B299" s="538"/>
      <c r="C299" s="538"/>
      <c r="D299" s="538" t="s">
        <v>368</v>
      </c>
      <c r="E299" s="538"/>
      <c r="F299" s="538"/>
      <c r="G299" s="539" t="s">
        <v>611</v>
      </c>
      <c r="H299" s="540" t="s">
        <v>731</v>
      </c>
      <c r="I299" s="595"/>
      <c r="J299" s="632">
        <f>'[1]LBP NO. 2'!I1048</f>
        <v>270000</v>
      </c>
      <c r="K299" s="632">
        <f>'[1]LBP NO. 2'!J1048</f>
        <v>259235.24</v>
      </c>
      <c r="L299" s="632">
        <f>'[1]LBP NO. 2'!K1048</f>
        <v>10764.760000000009</v>
      </c>
      <c r="M299" s="632">
        <f>'[1]LBP NO. 2'!L1048</f>
        <v>270000</v>
      </c>
      <c r="N299" s="632">
        <f>'[1]LBP NO. 2'!M1048</f>
        <v>270000</v>
      </c>
    </row>
    <row r="300" spans="1:14" ht="18" hidden="1" customHeight="1">
      <c r="A300" s="536"/>
      <c r="B300" s="538"/>
      <c r="C300" s="538"/>
      <c r="D300" s="538" t="s">
        <v>552</v>
      </c>
      <c r="E300" s="538"/>
      <c r="F300" s="538"/>
      <c r="G300" s="539" t="s">
        <v>382</v>
      </c>
      <c r="H300" s="540" t="s">
        <v>692</v>
      </c>
      <c r="I300" s="595"/>
      <c r="J300" s="632">
        <f>'[1]LBP NO. 2'!I1049</f>
        <v>0</v>
      </c>
      <c r="K300" s="632">
        <f>'[1]LBP NO. 2'!J1049</f>
        <v>0</v>
      </c>
      <c r="L300" s="632">
        <f>'[1]LBP NO. 2'!K1049</f>
        <v>0</v>
      </c>
      <c r="M300" s="632">
        <f>'[1]LBP NO. 2'!L1049</f>
        <v>0</v>
      </c>
      <c r="N300" s="632">
        <f>'[1]LBP NO. 2'!M1049</f>
        <v>0</v>
      </c>
    </row>
    <row r="301" spans="1:14" ht="18" hidden="1" customHeight="1" thickBot="1">
      <c r="A301" s="892"/>
      <c r="B301" s="509"/>
      <c r="C301" s="509"/>
      <c r="D301" s="545" t="s">
        <v>1713</v>
      </c>
      <c r="E301" s="545"/>
      <c r="F301" s="545"/>
      <c r="G301" s="573" t="s">
        <v>382</v>
      </c>
      <c r="H301" s="547" t="s">
        <v>692</v>
      </c>
      <c r="I301" s="649"/>
      <c r="J301" s="635">
        <f>'[1]LBP NO. 2'!I1050</f>
        <v>597500</v>
      </c>
      <c r="K301" s="635">
        <f>'[1]LBP NO. 2'!J1050</f>
        <v>0</v>
      </c>
      <c r="L301" s="635">
        <f>'[1]LBP NO. 2'!K1050</f>
        <v>0</v>
      </c>
      <c r="M301" s="635">
        <f>'[1]LBP NO. 2'!L1050</f>
        <v>0</v>
      </c>
      <c r="N301" s="635">
        <f>'[1]LBP NO. 2'!M1050</f>
        <v>0</v>
      </c>
    </row>
    <row r="302" spans="1:14" s="7" customFormat="1" ht="18" hidden="1" customHeight="1" thickBot="1">
      <c r="A302" s="553"/>
      <c r="B302" s="554"/>
      <c r="C302" s="554"/>
      <c r="D302" s="554" t="s">
        <v>737</v>
      </c>
      <c r="E302" s="554"/>
      <c r="F302" s="554"/>
      <c r="G302" s="600"/>
      <c r="H302" s="556"/>
      <c r="I302" s="601"/>
      <c r="J302" s="637">
        <f>SUM(J291:J301)</f>
        <v>3697981.83</v>
      </c>
      <c r="K302" s="637">
        <f>SUM(K291:K301)</f>
        <v>337575.24</v>
      </c>
      <c r="L302" s="638">
        <f>SUM(L291:L301)</f>
        <v>818424.76</v>
      </c>
      <c r="M302" s="637">
        <f>SUM(M291:M301)</f>
        <v>1156000</v>
      </c>
      <c r="N302" s="637">
        <f>SUM(N291:N301)</f>
        <v>1138000</v>
      </c>
    </row>
    <row r="303" spans="1:14" s="7" customFormat="1" ht="18" hidden="1" customHeight="1">
      <c r="A303" s="559"/>
      <c r="B303" s="560"/>
      <c r="C303" s="560"/>
      <c r="D303" s="560"/>
      <c r="E303" s="560"/>
      <c r="F303" s="560"/>
      <c r="G303" s="602"/>
      <c r="H303" s="603"/>
      <c r="I303" s="604"/>
      <c r="J303" s="652"/>
      <c r="K303" s="652"/>
      <c r="L303" s="653"/>
      <c r="M303" s="652"/>
      <c r="N303" s="652"/>
    </row>
    <row r="304" spans="1:14" ht="18" hidden="1" customHeight="1">
      <c r="A304" s="536"/>
      <c r="B304" s="568" t="s">
        <v>553</v>
      </c>
      <c r="C304" s="568"/>
      <c r="D304" s="568"/>
      <c r="E304" s="568"/>
      <c r="F304" s="568"/>
      <c r="G304" s="539"/>
      <c r="H304" s="540"/>
      <c r="I304" s="595"/>
      <c r="J304" s="632"/>
      <c r="K304" s="633"/>
      <c r="L304" s="634"/>
      <c r="M304" s="633"/>
      <c r="N304" s="633"/>
    </row>
    <row r="305" spans="1:14" ht="18" hidden="1" customHeight="1">
      <c r="A305" s="536"/>
      <c r="B305" s="568"/>
      <c r="C305" s="568"/>
      <c r="D305" s="538" t="s">
        <v>671</v>
      </c>
      <c r="E305" s="568"/>
      <c r="F305" s="568"/>
      <c r="G305" s="539"/>
      <c r="H305" s="540" t="s">
        <v>831</v>
      </c>
      <c r="I305" s="595"/>
      <c r="J305" s="632">
        <f>'[1]LBP NO. 2'!I1053</f>
        <v>0</v>
      </c>
      <c r="K305" s="632">
        <f>'[1]LBP NO. 2'!J1053</f>
        <v>0</v>
      </c>
      <c r="L305" s="632">
        <f>'[1]LBP NO. 2'!K1053</f>
        <v>30000</v>
      </c>
      <c r="M305" s="632">
        <f>'[1]LBP NO. 2'!L1053</f>
        <v>30000</v>
      </c>
      <c r="N305" s="632">
        <f>'[1]LBP NO. 2'!M1053</f>
        <v>0</v>
      </c>
    </row>
    <row r="306" spans="1:14" ht="18" hidden="1" customHeight="1">
      <c r="A306" s="536"/>
      <c r="B306" s="568"/>
      <c r="C306" s="568"/>
      <c r="D306" s="538" t="s">
        <v>839</v>
      </c>
      <c r="E306" s="568"/>
      <c r="F306" s="568"/>
      <c r="G306" s="539" t="s">
        <v>890</v>
      </c>
      <c r="H306" s="540" t="s">
        <v>840</v>
      </c>
      <c r="I306" s="595"/>
      <c r="J306" s="632">
        <f>'[1]LBP NO. 2'!I1054</f>
        <v>0</v>
      </c>
      <c r="K306" s="632">
        <f>'[1]LBP NO. 2'!J1054</f>
        <v>0</v>
      </c>
      <c r="L306" s="632">
        <f>'[1]LBP NO. 2'!K1054</f>
        <v>0</v>
      </c>
      <c r="M306" s="632">
        <f>'[1]LBP NO. 2'!L1054</f>
        <v>0</v>
      </c>
      <c r="N306" s="632">
        <f>'[1]LBP NO. 2'!M1054</f>
        <v>100000</v>
      </c>
    </row>
    <row r="307" spans="1:14" ht="18" hidden="1" customHeight="1">
      <c r="A307" s="536"/>
      <c r="B307" s="568"/>
      <c r="C307" s="568"/>
      <c r="D307" s="538" t="s">
        <v>1529</v>
      </c>
      <c r="E307" s="538"/>
      <c r="F307" s="596"/>
      <c r="G307" s="680"/>
      <c r="H307" s="540" t="s">
        <v>934</v>
      </c>
      <c r="I307" s="595"/>
      <c r="J307" s="632">
        <f>'[1]LBP NO. 2'!I1055</f>
        <v>14215</v>
      </c>
      <c r="K307" s="632">
        <f>'[1]LBP NO. 2'!J1055</f>
        <v>0</v>
      </c>
      <c r="L307" s="632">
        <f>'[1]LBP NO. 2'!K1055</f>
        <v>230000</v>
      </c>
      <c r="M307" s="632">
        <f>'[1]LBP NO. 2'!L1055</f>
        <v>230000</v>
      </c>
      <c r="N307" s="632">
        <f>'[1]LBP NO. 2'!M1055</f>
        <v>0</v>
      </c>
    </row>
    <row r="308" spans="1:14" ht="18" hidden="1" customHeight="1" thickBot="1">
      <c r="A308" s="536"/>
      <c r="B308" s="568"/>
      <c r="C308" s="568"/>
      <c r="D308" s="538" t="s">
        <v>1528</v>
      </c>
      <c r="E308" s="538"/>
      <c r="F308" s="596"/>
      <c r="G308" s="680"/>
      <c r="H308" s="540" t="s">
        <v>841</v>
      </c>
      <c r="I308" s="595"/>
      <c r="J308" s="632">
        <f>'[1]LBP NO. 2'!I1056</f>
        <v>86550</v>
      </c>
      <c r="K308" s="632">
        <f>'[1]LBP NO. 2'!J1056</f>
        <v>0</v>
      </c>
      <c r="L308" s="632">
        <f>'[1]LBP NO. 2'!K1056</f>
        <v>0</v>
      </c>
      <c r="M308" s="632">
        <f>'[1]LBP NO. 2'!L1056</f>
        <v>0</v>
      </c>
      <c r="N308" s="632">
        <f>'[1]LBP NO. 2'!M1056</f>
        <v>0</v>
      </c>
    </row>
    <row r="309" spans="1:14" ht="18" hidden="1" customHeight="1" thickBot="1">
      <c r="A309" s="536"/>
      <c r="B309" s="568"/>
      <c r="C309" s="568"/>
      <c r="D309" s="538" t="s">
        <v>1530</v>
      </c>
      <c r="E309" s="538"/>
      <c r="F309" s="596"/>
      <c r="G309" s="680"/>
      <c r="H309" s="540" t="s">
        <v>1531</v>
      </c>
      <c r="I309" s="595"/>
      <c r="J309" s="632">
        <f>'[1]LBP NO. 2'!I1057</f>
        <v>0</v>
      </c>
      <c r="K309" s="632">
        <f>'[1]LBP NO. 2'!J1057</f>
        <v>0</v>
      </c>
      <c r="L309" s="632">
        <f>'[1]LBP NO. 2'!K1057</f>
        <v>0</v>
      </c>
      <c r="M309" s="632">
        <f>'[1]LBP NO. 2'!L1057</f>
        <v>0</v>
      </c>
      <c r="N309" s="632">
        <f>'[1]LBP NO. 2'!M1057</f>
        <v>0</v>
      </c>
    </row>
    <row r="310" spans="1:14" s="7" customFormat="1" ht="18" hidden="1" customHeight="1" thickBot="1">
      <c r="A310" s="553"/>
      <c r="B310" s="554"/>
      <c r="C310" s="554"/>
      <c r="D310" s="554" t="s">
        <v>738</v>
      </c>
      <c r="E310" s="554"/>
      <c r="F310" s="554"/>
      <c r="G310" s="555"/>
      <c r="H310" s="555"/>
      <c r="I310" s="601"/>
      <c r="J310" s="637">
        <f>SUM(J305:J309)</f>
        <v>100765</v>
      </c>
      <c r="K310" s="637">
        <f t="shared" ref="K310:N310" si="8">SUM(K305:K309)</f>
        <v>0</v>
      </c>
      <c r="L310" s="637">
        <f t="shared" si="8"/>
        <v>260000</v>
      </c>
      <c r="M310" s="637">
        <f t="shared" si="8"/>
        <v>260000</v>
      </c>
      <c r="N310" s="637">
        <f t="shared" si="8"/>
        <v>100000</v>
      </c>
    </row>
    <row r="311" spans="1:14" s="7" customFormat="1" ht="18" hidden="1" customHeight="1" thickBot="1">
      <c r="A311" s="559"/>
      <c r="B311" s="560"/>
      <c r="C311" s="560"/>
      <c r="D311" s="560"/>
      <c r="E311" s="560"/>
      <c r="F311" s="560"/>
      <c r="G311" s="561"/>
      <c r="H311" s="561"/>
      <c r="I311" s="604"/>
      <c r="J311" s="652"/>
      <c r="K311" s="652"/>
      <c r="L311" s="653"/>
      <c r="M311" s="652"/>
      <c r="N311" s="652"/>
    </row>
    <row r="312" spans="1:14" ht="18" hidden="1" customHeight="1">
      <c r="A312" s="536"/>
      <c r="B312" s="568" t="s">
        <v>554</v>
      </c>
      <c r="C312" s="538"/>
      <c r="D312" s="538"/>
      <c r="E312" s="538"/>
      <c r="F312" s="538"/>
      <c r="G312" s="539"/>
      <c r="H312" s="539"/>
      <c r="I312" s="595"/>
      <c r="J312" s="632"/>
      <c r="K312" s="633"/>
      <c r="L312" s="634"/>
      <c r="M312" s="633"/>
      <c r="N312" s="633"/>
    </row>
    <row r="313" spans="1:14" ht="18" hidden="1" customHeight="1" thickBot="1">
      <c r="A313" s="544"/>
      <c r="B313" s="545"/>
      <c r="C313" s="545"/>
      <c r="D313" s="545" t="s">
        <v>411</v>
      </c>
      <c r="E313" s="545"/>
      <c r="F313" s="545"/>
      <c r="G313" s="546"/>
      <c r="H313" s="546"/>
      <c r="I313" s="599"/>
      <c r="J313" s="635">
        <v>0</v>
      </c>
      <c r="K313" s="1432">
        <f>0</f>
        <v>0</v>
      </c>
      <c r="L313" s="1432">
        <v>0</v>
      </c>
      <c r="M313" s="636">
        <f>L313+K313</f>
        <v>0</v>
      </c>
      <c r="N313" s="636">
        <v>0</v>
      </c>
    </row>
    <row r="314" spans="1:14" s="7" customFormat="1" ht="18" hidden="1" customHeight="1" thickBot="1">
      <c r="A314" s="553" t="s">
        <v>19</v>
      </c>
      <c r="B314" s="554"/>
      <c r="C314" s="554"/>
      <c r="D314" s="554"/>
      <c r="E314" s="554"/>
      <c r="F314" s="554"/>
      <c r="G314" s="555"/>
      <c r="H314" s="555"/>
      <c r="I314" s="601"/>
      <c r="J314" s="901">
        <f>SUM(J313+J310+J302+J289)</f>
        <v>12086298.330000002</v>
      </c>
      <c r="K314" s="901">
        <f>SUM(K313+K310+K302+K289)</f>
        <v>3511166.79</v>
      </c>
      <c r="L314" s="901">
        <f>SUM(L313+L310+L302+L289)</f>
        <v>5113833.21</v>
      </c>
      <c r="M314" s="901">
        <f>SUM(M313+M310+M302+M289)</f>
        <v>8625000</v>
      </c>
      <c r="N314" s="901">
        <f>SUM(N313+N310+N302+N289)</f>
        <v>8845467</v>
      </c>
    </row>
    <row r="315" spans="1:14" s="7" customFormat="1" ht="18" hidden="1" customHeight="1" thickBot="1">
      <c r="A315" s="587" t="s">
        <v>558</v>
      </c>
      <c r="B315" s="554"/>
      <c r="C315" s="554"/>
      <c r="D315" s="554"/>
      <c r="E315" s="554"/>
      <c r="F315" s="554"/>
      <c r="G315" s="555"/>
      <c r="H315" s="555"/>
      <c r="I315" s="601"/>
      <c r="J315" s="617">
        <f>J251-J314</f>
        <v>2632166.3599999957</v>
      </c>
      <c r="K315" s="617">
        <f>K251-K314</f>
        <v>2471853.59</v>
      </c>
      <c r="L315" s="617">
        <f>L251-L314</f>
        <v>-2225523.59</v>
      </c>
      <c r="M315" s="617">
        <f>M251-M314</f>
        <v>246330</v>
      </c>
      <c r="N315" s="617">
        <f>N251-N314</f>
        <v>9533</v>
      </c>
    </row>
    <row r="316" spans="1:14" s="659" customFormat="1" ht="18" hidden="1" customHeight="1">
      <c r="A316" s="654"/>
      <c r="B316" s="654"/>
      <c r="C316" s="654"/>
      <c r="D316" s="654"/>
      <c r="E316" s="654"/>
      <c r="F316" s="654"/>
      <c r="G316" s="655"/>
      <c r="H316" s="656"/>
      <c r="I316" s="732"/>
      <c r="J316" s="657"/>
      <c r="K316" s="657"/>
      <c r="L316" s="658"/>
      <c r="M316" s="657"/>
      <c r="N316" s="657"/>
    </row>
    <row r="317" spans="1:14" s="659" customFormat="1" ht="18" hidden="1" customHeight="1">
      <c r="A317" s="654"/>
      <c r="B317" s="654"/>
      <c r="C317" s="654"/>
      <c r="D317" s="654"/>
      <c r="E317" s="654"/>
      <c r="F317" s="654"/>
      <c r="G317" s="655"/>
      <c r="H317" s="656"/>
      <c r="I317" s="732"/>
      <c r="J317" s="657"/>
      <c r="K317" s="657"/>
      <c r="L317" s="658"/>
      <c r="M317" s="657"/>
      <c r="N317" s="657"/>
    </row>
    <row r="318" spans="1:14" s="659" customFormat="1" ht="18" hidden="1" customHeight="1">
      <c r="A318" s="654"/>
      <c r="B318" s="654"/>
      <c r="C318" s="654"/>
      <c r="D318" s="654"/>
      <c r="E318" s="654"/>
      <c r="F318" s="654"/>
      <c r="G318" s="655"/>
      <c r="H318" s="656"/>
      <c r="I318" s="732"/>
      <c r="J318" s="657"/>
      <c r="K318" s="657"/>
      <c r="L318" s="658"/>
      <c r="M318" s="657"/>
      <c r="N318" s="657"/>
    </row>
    <row r="319" spans="1:14" ht="18" hidden="1" customHeight="1">
      <c r="A319" s="1471" t="s">
        <v>565</v>
      </c>
      <c r="B319" s="1471"/>
      <c r="C319" s="1471"/>
      <c r="D319" s="1471"/>
      <c r="E319" s="1471"/>
      <c r="F319" s="1471"/>
      <c r="G319" s="1471"/>
      <c r="H319" s="1471"/>
      <c r="I319" s="1471"/>
      <c r="J319" s="1471"/>
      <c r="K319" s="1471"/>
      <c r="L319" s="1471"/>
      <c r="M319" s="1471"/>
      <c r="N319" s="1471"/>
    </row>
    <row r="320" spans="1:14" ht="18" hidden="1" customHeight="1">
      <c r="A320" s="1471"/>
      <c r="B320" s="1471"/>
      <c r="C320" s="1471"/>
      <c r="D320" s="1471"/>
      <c r="E320" s="1471"/>
      <c r="F320" s="1471"/>
      <c r="G320" s="1471"/>
      <c r="H320" s="1471"/>
      <c r="I320" s="1471"/>
      <c r="J320" s="1471"/>
      <c r="K320" s="1471"/>
      <c r="L320" s="1471"/>
      <c r="M320" s="1471"/>
      <c r="N320" s="1471"/>
    </row>
    <row r="321" spans="1:14" ht="18" hidden="1" customHeight="1">
      <c r="A321" s="660"/>
      <c r="B321" s="661" t="s">
        <v>11</v>
      </c>
      <c r="C321" s="660"/>
      <c r="D321" s="660"/>
      <c r="E321" s="660"/>
      <c r="F321" s="660"/>
      <c r="G321" s="660"/>
      <c r="H321" s="660"/>
      <c r="I321" s="662"/>
      <c r="J321" s="660"/>
      <c r="K321" s="660"/>
      <c r="L321" s="663"/>
      <c r="M321" s="663"/>
      <c r="N321" s="660"/>
    </row>
    <row r="322" spans="1:14" ht="18" hidden="1" customHeight="1">
      <c r="A322" s="660"/>
      <c r="B322" s="660"/>
      <c r="C322" s="660"/>
      <c r="D322" s="660"/>
      <c r="E322" s="660"/>
      <c r="F322" s="660"/>
      <c r="G322" s="660"/>
      <c r="H322" s="660"/>
      <c r="I322" s="662"/>
      <c r="J322" s="660"/>
      <c r="K322" s="660"/>
      <c r="L322" s="663"/>
      <c r="M322" s="663"/>
      <c r="N322" s="660"/>
    </row>
    <row r="323" spans="1:14" ht="18" hidden="1" customHeight="1">
      <c r="A323" s="664"/>
      <c r="B323" s="665"/>
      <c r="C323" s="664"/>
      <c r="D323" s="664"/>
      <c r="E323" s="664"/>
      <c r="F323" s="664"/>
      <c r="G323" s="1416"/>
      <c r="H323" s="1416"/>
      <c r="I323" s="971"/>
      <c r="J323" s="1416"/>
      <c r="K323" s="666"/>
      <c r="L323" s="667"/>
      <c r="M323" s="667"/>
      <c r="N323" s="666"/>
    </row>
    <row r="324" spans="1:14" ht="18" hidden="1" customHeight="1">
      <c r="A324" s="664"/>
      <c r="B324" s="665"/>
      <c r="C324" s="664"/>
      <c r="D324" s="668"/>
      <c r="E324" s="668"/>
      <c r="F324" s="1415" t="s">
        <v>87</v>
      </c>
      <c r="G324" s="1415"/>
      <c r="H324" s="1472" t="s">
        <v>17</v>
      </c>
      <c r="I324" s="1472"/>
      <c r="J324" s="1472"/>
      <c r="K324" s="669" t="s">
        <v>51</v>
      </c>
      <c r="L324" s="667"/>
      <c r="M324" s="1473" t="s">
        <v>783</v>
      </c>
      <c r="N324" s="1473"/>
    </row>
    <row r="325" spans="1:14" ht="18" hidden="1" customHeight="1">
      <c r="A325" s="664"/>
      <c r="B325" s="665"/>
      <c r="C325" s="664"/>
      <c r="D325" s="668"/>
      <c r="E325" s="668"/>
      <c r="F325" s="1416" t="s">
        <v>971</v>
      </c>
      <c r="G325" s="1416"/>
      <c r="H325" s="1465" t="s">
        <v>18</v>
      </c>
      <c r="I325" s="1465"/>
      <c r="J325" s="1465"/>
      <c r="K325" s="670" t="s">
        <v>781</v>
      </c>
      <c r="L325" s="667"/>
      <c r="M325" s="1466" t="s">
        <v>237</v>
      </c>
      <c r="N325" s="1466"/>
    </row>
    <row r="326" spans="1:14" ht="18" hidden="1" customHeight="1">
      <c r="A326" s="664"/>
      <c r="B326" s="665"/>
      <c r="C326" s="664"/>
      <c r="D326" s="664"/>
      <c r="E326" s="664"/>
      <c r="F326" s="664"/>
      <c r="G326" s="1416"/>
      <c r="H326" s="1416"/>
      <c r="I326" s="971"/>
      <c r="J326" s="1416"/>
      <c r="K326" s="666"/>
      <c r="L326" s="667"/>
      <c r="M326" s="667"/>
      <c r="N326" s="666"/>
    </row>
    <row r="327" spans="1:14" ht="18" hidden="1" customHeight="1">
      <c r="A327" s="664"/>
      <c r="B327" s="665"/>
      <c r="C327" s="664"/>
      <c r="D327" s="664"/>
      <c r="E327" s="664"/>
      <c r="F327" s="664"/>
      <c r="G327" s="1416"/>
      <c r="H327" s="1416"/>
      <c r="I327" s="971"/>
      <c r="J327" s="1416"/>
      <c r="K327" s="666"/>
      <c r="L327" s="667"/>
      <c r="M327" s="667"/>
      <c r="N327" s="666"/>
    </row>
    <row r="328" spans="1:14" ht="18" hidden="1" customHeight="1">
      <c r="A328" s="664"/>
      <c r="B328" s="665"/>
      <c r="C328" s="664"/>
      <c r="D328" s="668"/>
      <c r="E328" s="664"/>
      <c r="F328" s="664" t="s">
        <v>253</v>
      </c>
      <c r="G328" s="1416"/>
      <c r="H328" s="1416"/>
      <c r="I328" s="971"/>
      <c r="J328" s="1416"/>
      <c r="K328" s="666"/>
      <c r="L328" s="667"/>
      <c r="M328" s="667"/>
      <c r="N328" s="666"/>
    </row>
    <row r="329" spans="1:14" ht="18" hidden="1" customHeight="1">
      <c r="A329" s="664"/>
      <c r="B329" s="665"/>
      <c r="C329" s="664"/>
      <c r="D329" s="664"/>
      <c r="E329" s="664"/>
      <c r="F329" s="664"/>
      <c r="G329" s="1416"/>
      <c r="H329" s="1416"/>
      <c r="I329" s="971"/>
      <c r="J329" s="1416"/>
      <c r="K329" s="666"/>
      <c r="L329" s="667"/>
      <c r="M329" s="667"/>
      <c r="N329" s="666"/>
    </row>
    <row r="330" spans="1:14" ht="18" hidden="1" customHeight="1">
      <c r="A330" s="664"/>
      <c r="B330" s="665"/>
      <c r="C330" s="664"/>
      <c r="D330" s="668"/>
      <c r="E330" s="664"/>
      <c r="F330" s="1415" t="s">
        <v>1438</v>
      </c>
      <c r="G330" s="1415"/>
      <c r="H330" s="1416"/>
      <c r="I330" s="971"/>
      <c r="J330" s="1416"/>
      <c r="K330" s="666"/>
      <c r="L330" s="667"/>
      <c r="M330" s="667"/>
      <c r="N330" s="666"/>
    </row>
    <row r="331" spans="1:14" ht="18" hidden="1" customHeight="1">
      <c r="A331" s="664"/>
      <c r="B331" s="665"/>
      <c r="C331" s="664"/>
      <c r="D331" s="668"/>
      <c r="E331" s="664"/>
      <c r="F331" s="1416" t="s">
        <v>14</v>
      </c>
      <c r="G331" s="1416"/>
      <c r="H331" s="1416"/>
      <c r="I331" s="971"/>
      <c r="J331" s="985"/>
      <c r="K331" s="666"/>
      <c r="L331" s="667"/>
      <c r="M331" s="667"/>
      <c r="N331" s="666"/>
    </row>
    <row r="332" spans="1:14" ht="18" customHeight="1">
      <c r="A332" s="664"/>
      <c r="B332" s="665"/>
      <c r="C332" s="664"/>
      <c r="D332" s="668"/>
      <c r="E332" s="664"/>
      <c r="F332" s="664"/>
      <c r="G332" s="1416"/>
      <c r="H332" s="1416"/>
      <c r="I332" s="971"/>
    </row>
    <row r="333" spans="1:14" ht="18" customHeight="1">
      <c r="A333" s="664"/>
      <c r="B333" s="665"/>
      <c r="C333" s="664"/>
      <c r="D333" s="668"/>
      <c r="E333" s="664"/>
      <c r="F333" s="664"/>
      <c r="G333" s="1416"/>
      <c r="H333" s="1416"/>
      <c r="I333" s="971"/>
    </row>
    <row r="334" spans="1:14" ht="18" customHeight="1">
      <c r="A334" s="664"/>
      <c r="B334" s="665"/>
      <c r="C334" s="664"/>
      <c r="D334" s="668"/>
      <c r="E334" s="664"/>
      <c r="F334" s="664"/>
      <c r="G334" s="1416"/>
      <c r="H334" s="1416"/>
      <c r="I334" s="971"/>
    </row>
    <row r="335" spans="1:14" ht="18" customHeight="1">
      <c r="A335" s="664"/>
      <c r="B335" s="665"/>
      <c r="C335" s="664"/>
      <c r="D335" s="668"/>
      <c r="E335" s="664"/>
      <c r="F335" s="664"/>
      <c r="G335" s="1416"/>
      <c r="H335" s="1416"/>
      <c r="I335" s="971"/>
    </row>
    <row r="336" spans="1:14" ht="18" customHeight="1">
      <c r="A336" s="664"/>
      <c r="B336" s="665"/>
      <c r="C336" s="664"/>
      <c r="D336" s="668"/>
      <c r="E336" s="664"/>
      <c r="F336" s="664"/>
      <c r="G336" s="1416"/>
      <c r="H336" s="1416"/>
      <c r="I336" s="971"/>
    </row>
    <row r="337" spans="1:14" ht="18" customHeight="1">
      <c r="A337" s="664"/>
      <c r="B337" s="665"/>
      <c r="C337" s="664"/>
      <c r="D337" s="668"/>
      <c r="E337" s="664"/>
      <c r="F337" s="664"/>
      <c r="G337" s="1416"/>
      <c r="H337" s="1416"/>
      <c r="I337" s="971"/>
      <c r="J337" s="1416"/>
      <c r="K337" s="666"/>
      <c r="L337" s="985"/>
      <c r="M337" s="658"/>
      <c r="N337" s="666"/>
    </row>
    <row r="338" spans="1:14" s="659" customFormat="1" ht="18" customHeight="1">
      <c r="A338" s="671"/>
      <c r="B338" s="654"/>
      <c r="C338" s="671"/>
      <c r="E338" s="671"/>
      <c r="F338" s="671"/>
      <c r="G338" s="656"/>
      <c r="H338" s="656"/>
      <c r="I338" s="732"/>
      <c r="J338" s="672"/>
      <c r="K338" s="657"/>
      <c r="L338" s="658"/>
      <c r="M338" s="658"/>
      <c r="N338" s="657"/>
    </row>
    <row r="339" spans="1:14" ht="18" customHeight="1">
      <c r="A339" s="664"/>
      <c r="B339" s="665"/>
      <c r="C339" s="664"/>
      <c r="D339" s="668"/>
      <c r="E339" s="664"/>
      <c r="F339" s="664"/>
      <c r="G339" s="1416"/>
      <c r="H339" s="1416"/>
      <c r="I339" s="971"/>
      <c r="J339" s="1416"/>
      <c r="K339" s="657"/>
      <c r="L339" s="658"/>
      <c r="M339" s="667"/>
      <c r="N339" s="666"/>
    </row>
    <row r="340" spans="1:14" ht="18" customHeight="1">
      <c r="A340" s="664"/>
      <c r="B340" s="665"/>
      <c r="C340" s="664"/>
      <c r="D340" s="668"/>
      <c r="E340" s="664"/>
      <c r="F340" s="664"/>
      <c r="G340" s="1416"/>
      <c r="H340" s="1416"/>
      <c r="I340" s="971"/>
      <c r="J340" s="1416"/>
      <c r="K340" s="666"/>
      <c r="L340" s="667"/>
      <c r="M340" s="658"/>
      <c r="N340" s="666"/>
    </row>
    <row r="341" spans="1:14" ht="18" customHeight="1">
      <c r="A341" s="664"/>
      <c r="B341" s="665"/>
      <c r="C341" s="664"/>
      <c r="D341" s="668"/>
      <c r="E341" s="664"/>
      <c r="F341" s="664"/>
      <c r="G341" s="1416"/>
      <c r="H341" s="1416"/>
      <c r="I341" s="971"/>
      <c r="J341" s="1416"/>
      <c r="K341" s="666"/>
      <c r="L341" s="667"/>
      <c r="M341" s="667"/>
      <c r="N341" s="666"/>
    </row>
    <row r="342" spans="1:14" ht="18" customHeight="1">
      <c r="A342" s="664"/>
      <c r="B342" s="665"/>
      <c r="C342" s="664"/>
      <c r="D342" s="668"/>
      <c r="E342" s="664"/>
      <c r="F342" s="664"/>
      <c r="G342" s="1416"/>
      <c r="H342" s="1416"/>
      <c r="I342" s="971"/>
      <c r="J342" s="1416"/>
      <c r="K342" s="666"/>
      <c r="L342" s="667"/>
      <c r="M342" s="667"/>
      <c r="N342" s="666"/>
    </row>
    <row r="343" spans="1:14" ht="18" customHeight="1">
      <c r="A343" s="664"/>
      <c r="B343" s="665"/>
      <c r="C343" s="664"/>
      <c r="D343" s="668"/>
      <c r="E343" s="664"/>
      <c r="F343" s="664"/>
      <c r="G343" s="1416"/>
      <c r="H343" s="1416"/>
      <c r="I343" s="971"/>
      <c r="J343" s="1416"/>
      <c r="K343" s="666"/>
      <c r="L343" s="667"/>
      <c r="M343" s="667"/>
      <c r="N343" s="666"/>
    </row>
    <row r="344" spans="1:14" ht="18" customHeight="1">
      <c r="A344" s="664"/>
      <c r="B344" s="665"/>
      <c r="C344" s="664"/>
      <c r="D344" s="668"/>
      <c r="E344" s="664"/>
      <c r="F344" s="664"/>
      <c r="G344" s="1416"/>
      <c r="H344" s="1416"/>
      <c r="I344" s="971"/>
      <c r="J344" s="1416"/>
      <c r="K344" s="666"/>
      <c r="L344" s="667"/>
      <c r="M344" s="667"/>
      <c r="N344" s="666"/>
    </row>
    <row r="345" spans="1:14" ht="18" customHeight="1">
      <c r="A345" s="664"/>
      <c r="B345" s="665"/>
      <c r="C345" s="664"/>
      <c r="D345" s="668"/>
      <c r="E345" s="664"/>
      <c r="F345" s="664"/>
      <c r="G345" s="1416"/>
      <c r="H345" s="1416"/>
      <c r="I345" s="971"/>
      <c r="J345" s="1416"/>
      <c r="K345" s="666"/>
      <c r="L345" s="667"/>
      <c r="M345" s="667"/>
      <c r="N345" s="666"/>
    </row>
    <row r="346" spans="1:14" ht="18" customHeight="1">
      <c r="A346" s="664"/>
      <c r="B346" s="665"/>
      <c r="C346" s="664"/>
      <c r="D346" s="668"/>
      <c r="E346" s="664"/>
      <c r="F346" s="664"/>
      <c r="G346" s="1416"/>
      <c r="H346" s="1416"/>
      <c r="I346" s="971"/>
      <c r="J346" s="1416"/>
      <c r="K346" s="666"/>
      <c r="L346" s="667"/>
      <c r="M346" s="667"/>
      <c r="N346" s="666"/>
    </row>
    <row r="347" spans="1:14" ht="18" customHeight="1">
      <c r="A347" s="664"/>
      <c r="B347" s="665"/>
      <c r="C347" s="664"/>
      <c r="D347" s="668"/>
      <c r="E347" s="664"/>
      <c r="F347" s="664"/>
      <c r="G347" s="1416"/>
      <c r="H347" s="1416"/>
      <c r="I347" s="971"/>
      <c r="J347" s="1416"/>
      <c r="K347" s="666"/>
      <c r="L347" s="667"/>
      <c r="M347" s="667"/>
      <c r="N347" s="666"/>
    </row>
    <row r="348" spans="1:14" ht="18" customHeight="1">
      <c r="A348" s="664"/>
      <c r="B348" s="665"/>
      <c r="C348" s="664"/>
      <c r="D348" s="668"/>
      <c r="E348" s="664"/>
      <c r="F348" s="664"/>
      <c r="G348" s="1416"/>
      <c r="H348" s="1416"/>
      <c r="I348" s="971"/>
      <c r="J348" s="1416"/>
      <c r="K348" s="666"/>
      <c r="L348" s="667"/>
      <c r="M348" s="667"/>
      <c r="N348" s="666"/>
    </row>
    <row r="349" spans="1:14" ht="18" customHeight="1">
      <c r="A349" s="664"/>
      <c r="B349" s="665"/>
      <c r="C349" s="664"/>
      <c r="D349" s="668"/>
      <c r="E349" s="664"/>
      <c r="F349" s="664"/>
      <c r="G349" s="1416"/>
      <c r="H349" s="1416"/>
      <c r="I349" s="971"/>
      <c r="J349" s="1416"/>
      <c r="K349" s="666"/>
      <c r="L349" s="667"/>
      <c r="M349" s="667"/>
      <c r="N349" s="666"/>
    </row>
    <row r="350" spans="1:14" ht="18" customHeight="1">
      <c r="A350" s="664"/>
      <c r="B350" s="665"/>
      <c r="C350" s="664"/>
      <c r="D350" s="668"/>
      <c r="E350" s="664"/>
      <c r="F350" s="664"/>
      <c r="G350" s="1416"/>
      <c r="H350" s="1416"/>
      <c r="I350" s="971"/>
      <c r="J350" s="1416"/>
      <c r="K350" s="666"/>
      <c r="L350" s="667"/>
      <c r="M350" s="667"/>
      <c r="N350" s="666"/>
    </row>
    <row r="351" spans="1:14" ht="18" customHeight="1">
      <c r="A351" s="664"/>
      <c r="B351" s="665"/>
      <c r="C351" s="664"/>
      <c r="D351" s="668"/>
      <c r="E351" s="664"/>
      <c r="F351" s="664"/>
      <c r="G351" s="1416"/>
      <c r="H351" s="1416"/>
      <c r="I351" s="971"/>
      <c r="J351" s="1416"/>
      <c r="K351" s="666"/>
      <c r="L351" s="667"/>
      <c r="M351" s="667"/>
      <c r="N351" s="666"/>
    </row>
    <row r="352" spans="1:14" ht="18" customHeight="1">
      <c r="A352" s="664"/>
      <c r="B352" s="665"/>
      <c r="C352" s="664"/>
      <c r="D352" s="668"/>
      <c r="E352" s="664"/>
      <c r="F352" s="664"/>
      <c r="G352" s="1416"/>
      <c r="H352" s="1416"/>
      <c r="I352" s="971"/>
      <c r="J352" s="1416"/>
      <c r="K352" s="666"/>
      <c r="L352" s="667"/>
      <c r="M352" s="667"/>
      <c r="N352" s="666"/>
    </row>
    <row r="353" spans="1:14" ht="18" customHeight="1">
      <c r="A353" s="664"/>
      <c r="B353" s="665"/>
      <c r="C353" s="664"/>
      <c r="D353" s="668"/>
      <c r="E353" s="664"/>
      <c r="F353" s="664"/>
      <c r="G353" s="1416"/>
      <c r="H353" s="1416"/>
      <c r="I353" s="971"/>
      <c r="J353" s="1416"/>
      <c r="K353" s="666"/>
      <c r="L353" s="667"/>
      <c r="M353" s="667"/>
      <c r="N353" s="666"/>
    </row>
    <row r="354" spans="1:14" ht="18" customHeight="1">
      <c r="A354" s="664"/>
      <c r="B354" s="665"/>
      <c r="C354" s="664"/>
      <c r="D354" s="668"/>
      <c r="E354" s="664"/>
      <c r="F354" s="664"/>
      <c r="G354" s="1416"/>
      <c r="H354" s="1416"/>
      <c r="I354" s="971"/>
      <c r="J354" s="1416"/>
      <c r="K354" s="666"/>
      <c r="L354" s="667"/>
      <c r="M354" s="667"/>
      <c r="N354" s="666"/>
    </row>
    <row r="355" spans="1:14" ht="18" customHeight="1">
      <c r="A355" s="664"/>
      <c r="B355" s="665"/>
      <c r="C355" s="664"/>
      <c r="D355" s="668"/>
      <c r="E355" s="664"/>
      <c r="F355" s="664"/>
      <c r="G355" s="1416"/>
      <c r="H355" s="1416"/>
      <c r="I355" s="971"/>
      <c r="J355" s="1416"/>
      <c r="K355" s="666"/>
      <c r="L355" s="667"/>
      <c r="M355" s="667"/>
      <c r="N355" s="666"/>
    </row>
    <row r="356" spans="1:14" ht="18" customHeight="1">
      <c r="A356" s="664"/>
      <c r="B356" s="665"/>
      <c r="C356" s="664"/>
      <c r="D356" s="668"/>
      <c r="E356" s="664"/>
      <c r="F356" s="664"/>
      <c r="G356" s="1416"/>
      <c r="H356" s="1416"/>
      <c r="I356" s="971"/>
      <c r="J356" s="1416"/>
      <c r="K356" s="666"/>
      <c r="L356" s="667"/>
      <c r="M356" s="667"/>
      <c r="N356" s="666"/>
    </row>
    <row r="357" spans="1:14" ht="18" customHeight="1">
      <c r="A357" s="664"/>
      <c r="B357" s="665"/>
      <c r="C357" s="664"/>
      <c r="D357" s="668"/>
      <c r="E357" s="664"/>
      <c r="F357" s="664"/>
      <c r="G357" s="1416"/>
      <c r="H357" s="1416"/>
      <c r="I357" s="971"/>
      <c r="J357" s="1416"/>
      <c r="K357" s="666"/>
      <c r="L357" s="667"/>
      <c r="M357" s="667"/>
      <c r="N357" s="666"/>
    </row>
    <row r="358" spans="1:14" ht="18" customHeight="1">
      <c r="A358" s="664"/>
      <c r="B358" s="665"/>
      <c r="C358" s="664"/>
      <c r="D358" s="668"/>
      <c r="E358" s="664"/>
      <c r="F358" s="664"/>
      <c r="G358" s="1416"/>
      <c r="H358" s="1416"/>
      <c r="I358" s="971"/>
      <c r="J358" s="1416"/>
      <c r="K358" s="666"/>
      <c r="L358" s="667"/>
      <c r="M358" s="667"/>
      <c r="N358" s="666"/>
    </row>
    <row r="359" spans="1:14" ht="18" customHeight="1">
      <c r="A359" s="664"/>
      <c r="B359" s="665"/>
      <c r="C359" s="664"/>
      <c r="D359" s="668"/>
      <c r="E359" s="664"/>
      <c r="F359" s="664"/>
      <c r="G359" s="1416"/>
      <c r="H359" s="1416"/>
      <c r="I359" s="971"/>
      <c r="J359" s="1416"/>
      <c r="K359" s="666"/>
      <c r="L359" s="667"/>
      <c r="M359" s="667"/>
      <c r="N359" s="666"/>
    </row>
    <row r="360" spans="1:14" ht="18" customHeight="1">
      <c r="A360" s="664"/>
      <c r="B360" s="665"/>
      <c r="C360" s="664"/>
      <c r="D360" s="668"/>
      <c r="E360" s="664"/>
      <c r="F360" s="664"/>
      <c r="G360" s="1416"/>
      <c r="H360" s="1416"/>
      <c r="I360" s="971"/>
      <c r="J360" s="1416"/>
      <c r="K360" s="666"/>
      <c r="L360" s="667"/>
      <c r="M360" s="667"/>
      <c r="N360" s="666"/>
    </row>
    <row r="361" spans="1:14" ht="18" customHeight="1">
      <c r="A361" s="664"/>
      <c r="B361" s="665"/>
      <c r="C361" s="664"/>
      <c r="D361" s="668"/>
      <c r="E361" s="664"/>
      <c r="F361" s="664"/>
      <c r="G361" s="1416"/>
      <c r="H361" s="1416"/>
      <c r="I361" s="971"/>
      <c r="J361" s="1416"/>
      <c r="K361" s="666"/>
      <c r="L361" s="667"/>
      <c r="M361" s="667"/>
      <c r="N361" s="666"/>
    </row>
    <row r="362" spans="1:14" ht="18" customHeight="1">
      <c r="A362" s="664"/>
      <c r="B362" s="665"/>
      <c r="C362" s="664"/>
      <c r="D362" s="668"/>
      <c r="E362" s="664"/>
      <c r="F362" s="664"/>
      <c r="G362" s="1416"/>
      <c r="H362" s="1416"/>
      <c r="I362" s="971"/>
      <c r="J362" s="1416"/>
      <c r="K362" s="666"/>
      <c r="L362" s="667"/>
      <c r="M362" s="667"/>
      <c r="N362" s="666"/>
    </row>
    <row r="363" spans="1:14" ht="18" customHeight="1">
      <c r="A363" s="664"/>
      <c r="B363" s="665"/>
      <c r="C363" s="664"/>
      <c r="D363" s="668"/>
      <c r="E363" s="664"/>
      <c r="F363" s="664"/>
      <c r="G363" s="1416"/>
      <c r="H363" s="1416"/>
      <c r="I363" s="971"/>
      <c r="J363" s="1416"/>
      <c r="K363" s="666"/>
      <c r="L363" s="667"/>
      <c r="M363" s="667"/>
      <c r="N363" s="666"/>
    </row>
    <row r="364" spans="1:14" ht="18" customHeight="1">
      <c r="A364" s="664"/>
      <c r="B364" s="665"/>
      <c r="C364" s="664"/>
      <c r="D364" s="668"/>
      <c r="E364" s="664"/>
      <c r="F364" s="664"/>
      <c r="G364" s="1416"/>
      <c r="H364" s="1416"/>
      <c r="I364" s="971"/>
      <c r="J364" s="1416"/>
      <c r="K364" s="666"/>
      <c r="L364" s="667"/>
      <c r="M364" s="667"/>
      <c r="N364" s="666"/>
    </row>
    <row r="365" spans="1:14" ht="18" customHeight="1">
      <c r="A365" s="664"/>
      <c r="B365" s="665"/>
      <c r="C365" s="664"/>
      <c r="D365" s="668"/>
      <c r="E365" s="664"/>
      <c r="F365" s="664"/>
      <c r="G365" s="1416"/>
      <c r="H365" s="1416"/>
      <c r="I365" s="971"/>
      <c r="J365" s="1416"/>
      <c r="K365" s="666"/>
      <c r="L365" s="667"/>
      <c r="M365" s="667"/>
      <c r="N365" s="666"/>
    </row>
    <row r="366" spans="1:14" ht="18" customHeight="1">
      <c r="A366" s="664"/>
      <c r="B366" s="665"/>
      <c r="C366" s="664"/>
      <c r="D366" s="668"/>
      <c r="E366" s="664"/>
      <c r="F366" s="664"/>
      <c r="G366" s="1416"/>
      <c r="H366" s="1416"/>
      <c r="I366" s="971"/>
      <c r="J366" s="1416"/>
      <c r="K366" s="666"/>
      <c r="L366" s="667"/>
      <c r="M366" s="667"/>
      <c r="N366" s="666"/>
    </row>
    <row r="367" spans="1:14" ht="18" customHeight="1">
      <c r="A367" s="664"/>
      <c r="B367" s="665"/>
      <c r="C367" s="664"/>
      <c r="D367" s="668"/>
      <c r="E367" s="664"/>
      <c r="F367" s="664"/>
      <c r="G367" s="1416"/>
      <c r="H367" s="1416"/>
      <c r="I367" s="971"/>
      <c r="J367" s="1416"/>
      <c r="K367" s="666"/>
      <c r="L367" s="667"/>
      <c r="M367" s="667"/>
      <c r="N367" s="666"/>
    </row>
    <row r="368" spans="1:14" ht="18" customHeight="1">
      <c r="A368" s="664"/>
      <c r="B368" s="665"/>
      <c r="C368" s="664"/>
      <c r="D368" s="668"/>
      <c r="E368" s="664"/>
      <c r="F368" s="664"/>
      <c r="G368" s="1416"/>
      <c r="H368" s="1416"/>
      <c r="I368" s="971"/>
      <c r="J368" s="1416"/>
      <c r="K368" s="666"/>
      <c r="L368" s="667"/>
      <c r="M368" s="667"/>
      <c r="N368" s="666"/>
    </row>
    <row r="369" spans="1:14" ht="18" customHeight="1">
      <c r="A369" s="664"/>
      <c r="B369" s="665"/>
      <c r="C369" s="664"/>
      <c r="D369" s="668"/>
      <c r="E369" s="664"/>
      <c r="F369" s="664"/>
      <c r="G369" s="1416"/>
      <c r="H369" s="1416"/>
      <c r="I369" s="971"/>
      <c r="J369" s="1416"/>
      <c r="K369" s="666"/>
      <c r="L369" s="667"/>
      <c r="M369" s="667"/>
      <c r="N369" s="666"/>
    </row>
    <row r="370" spans="1:14" ht="18" customHeight="1">
      <c r="A370" s="664"/>
      <c r="B370" s="665"/>
      <c r="C370" s="664"/>
      <c r="D370" s="668"/>
      <c r="E370" s="664"/>
      <c r="F370" s="664"/>
      <c r="G370" s="1416"/>
      <c r="H370" s="1416"/>
      <c r="I370" s="971"/>
      <c r="J370" s="1416"/>
      <c r="K370" s="666"/>
      <c r="L370" s="667"/>
      <c r="M370" s="667"/>
      <c r="N370" s="666"/>
    </row>
    <row r="371" spans="1:14" ht="18" customHeight="1">
      <c r="A371" s="664"/>
      <c r="B371" s="665"/>
      <c r="C371" s="664"/>
      <c r="D371" s="668"/>
      <c r="E371" s="664"/>
      <c r="F371" s="664"/>
      <c r="G371" s="1416"/>
      <c r="H371" s="1416"/>
      <c r="I371" s="971"/>
      <c r="J371" s="1416"/>
      <c r="K371" s="666"/>
      <c r="L371" s="667"/>
      <c r="M371" s="667"/>
      <c r="N371" s="666"/>
    </row>
    <row r="372" spans="1:14" ht="18" customHeight="1">
      <c r="A372" s="664"/>
      <c r="B372" s="665"/>
      <c r="C372" s="664"/>
      <c r="D372" s="668"/>
      <c r="E372" s="664"/>
      <c r="F372" s="664"/>
      <c r="G372" s="1416"/>
      <c r="H372" s="1416"/>
      <c r="I372" s="971"/>
      <c r="J372" s="1416"/>
      <c r="K372" s="666"/>
      <c r="L372" s="667"/>
      <c r="M372" s="667"/>
      <c r="N372" s="666"/>
    </row>
    <row r="373" spans="1:14" ht="18" customHeight="1">
      <c r="A373" s="664"/>
      <c r="B373" s="665"/>
      <c r="C373" s="664"/>
      <c r="D373" s="668"/>
      <c r="E373" s="664"/>
      <c r="F373" s="664"/>
      <c r="G373" s="1416"/>
      <c r="H373" s="1416"/>
      <c r="I373" s="971"/>
      <c r="J373" s="1416"/>
      <c r="K373" s="666"/>
      <c r="L373" s="667"/>
      <c r="M373" s="667"/>
      <c r="N373" s="666"/>
    </row>
    <row r="374" spans="1:14" ht="18" customHeight="1">
      <c r="A374" s="664"/>
      <c r="B374" s="665"/>
      <c r="C374" s="664"/>
      <c r="D374" s="668"/>
      <c r="E374" s="664"/>
      <c r="F374" s="664"/>
      <c r="G374" s="1416"/>
      <c r="H374" s="1416"/>
      <c r="I374" s="971"/>
      <c r="J374" s="1416"/>
      <c r="K374" s="666"/>
      <c r="L374" s="667"/>
      <c r="M374" s="667"/>
      <c r="N374" s="666"/>
    </row>
    <row r="375" spans="1:14" ht="18" customHeight="1">
      <c r="A375" s="664"/>
      <c r="B375" s="665"/>
      <c r="C375" s="664"/>
      <c r="D375" s="668"/>
      <c r="E375" s="664"/>
      <c r="F375" s="664"/>
      <c r="G375" s="1416"/>
      <c r="H375" s="1416"/>
      <c r="I375" s="971"/>
      <c r="J375" s="1416"/>
      <c r="K375" s="666"/>
      <c r="L375" s="667"/>
      <c r="M375" s="667"/>
      <c r="N375" s="666"/>
    </row>
    <row r="376" spans="1:14" ht="18" customHeight="1">
      <c r="A376" s="664"/>
      <c r="B376" s="665"/>
      <c r="C376" s="664"/>
      <c r="D376" s="668"/>
      <c r="E376" s="664"/>
      <c r="F376" s="664"/>
      <c r="G376" s="1416"/>
      <c r="H376" s="1416"/>
      <c r="I376" s="971"/>
      <c r="J376" s="1416"/>
      <c r="K376" s="666"/>
      <c r="L376" s="667"/>
      <c r="M376" s="667"/>
      <c r="N376" s="666"/>
    </row>
    <row r="377" spans="1:14" ht="18" customHeight="1">
      <c r="A377" s="664"/>
      <c r="B377" s="665"/>
      <c r="C377" s="664"/>
      <c r="D377" s="668"/>
      <c r="E377" s="664"/>
      <c r="F377" s="664"/>
      <c r="G377" s="1416"/>
      <c r="H377" s="1416"/>
      <c r="I377" s="971"/>
      <c r="J377" s="1416"/>
      <c r="K377" s="666"/>
      <c r="L377" s="667"/>
      <c r="M377" s="667"/>
      <c r="N377" s="666"/>
    </row>
    <row r="378" spans="1:14" s="261" customFormat="1" ht="20.100000000000001" customHeight="1">
      <c r="A378" s="1456" t="s">
        <v>967</v>
      </c>
      <c r="B378" s="1456"/>
      <c r="C378" s="1456"/>
      <c r="D378" s="1456"/>
      <c r="E378" s="1456"/>
      <c r="F378" s="1456"/>
      <c r="G378" s="1456"/>
      <c r="H378" s="1456"/>
      <c r="I378" s="1456"/>
      <c r="J378" s="1456"/>
      <c r="K378" s="1456"/>
      <c r="L378" s="1456"/>
      <c r="M378" s="1456"/>
      <c r="N378" s="1456"/>
    </row>
    <row r="379" spans="1:14" ht="18" customHeight="1">
      <c r="A379" s="664"/>
      <c r="B379" s="665"/>
      <c r="C379" s="664"/>
      <c r="D379" s="668"/>
      <c r="E379" s="664"/>
      <c r="F379" s="664"/>
      <c r="G379" s="1416"/>
      <c r="H379" s="1416"/>
      <c r="I379" s="971"/>
      <c r="J379" s="1416"/>
      <c r="K379" s="666"/>
      <c r="L379" s="667"/>
      <c r="M379" s="667"/>
      <c r="N379" s="666"/>
    </row>
    <row r="380" spans="1:14" ht="18" customHeight="1">
      <c r="A380" s="664"/>
      <c r="B380" s="665"/>
      <c r="C380" s="664"/>
      <c r="D380" s="668"/>
      <c r="E380" s="664"/>
      <c r="F380" s="664"/>
      <c r="G380" s="1416"/>
      <c r="H380" s="1416"/>
      <c r="I380" s="971"/>
      <c r="J380" s="1416"/>
      <c r="K380" s="666"/>
      <c r="L380" s="667"/>
      <c r="M380" s="667"/>
      <c r="N380" s="666"/>
    </row>
    <row r="381" spans="1:14" ht="18" customHeight="1">
      <c r="A381" s="664"/>
      <c r="B381" s="665"/>
      <c r="C381" s="664"/>
      <c r="D381" s="668"/>
      <c r="E381" s="664"/>
      <c r="F381" s="664"/>
      <c r="G381" s="1416"/>
      <c r="H381" s="1416"/>
      <c r="I381" s="971"/>
      <c r="J381" s="1416"/>
      <c r="K381" s="666"/>
      <c r="L381" s="667"/>
      <c r="M381" s="667"/>
      <c r="N381" s="666"/>
    </row>
    <row r="382" spans="1:14" ht="18" customHeight="1">
      <c r="A382" s="664"/>
      <c r="B382" s="665"/>
      <c r="C382" s="664"/>
      <c r="D382" s="668"/>
      <c r="E382" s="664"/>
      <c r="F382" s="664"/>
      <c r="G382" s="1416"/>
      <c r="H382" s="1416"/>
      <c r="I382" s="971"/>
      <c r="J382" s="1416"/>
      <c r="K382" s="666"/>
      <c r="L382" s="667"/>
      <c r="M382" s="667"/>
      <c r="N382" s="666"/>
    </row>
    <row r="383" spans="1:14" ht="18" customHeight="1">
      <c r="A383" s="664"/>
      <c r="B383" s="665"/>
      <c r="C383" s="664"/>
      <c r="D383" s="668"/>
      <c r="E383" s="664"/>
      <c r="F383" s="664"/>
      <c r="G383" s="1416"/>
      <c r="H383" s="1416"/>
      <c r="I383" s="971"/>
      <c r="J383" s="1416"/>
      <c r="K383" s="666"/>
      <c r="L383" s="667"/>
      <c r="M383" s="667"/>
      <c r="N383" s="666"/>
    </row>
    <row r="384" spans="1:14" ht="18" customHeight="1"/>
    <row r="385" spans="7:16" ht="18" customHeight="1">
      <c r="J385" s="733"/>
      <c r="K385" s="733"/>
      <c r="L385" s="733"/>
      <c r="M385" s="733"/>
      <c r="N385" s="733"/>
    </row>
    <row r="386" spans="7:16" ht="18" customHeight="1">
      <c r="J386" s="672">
        <f>J314+J157</f>
        <v>184472074.97</v>
      </c>
      <c r="K386" s="672">
        <f>K314+K157</f>
        <v>86646221.209999993</v>
      </c>
      <c r="L386" s="672">
        <f>L314+L157</f>
        <v>171573464.39000002</v>
      </c>
      <c r="M386" s="672">
        <f>M314+M157</f>
        <v>258219685.59999996</v>
      </c>
      <c r="N386" s="672">
        <f>N314+N157</f>
        <v>211971819.76999998</v>
      </c>
    </row>
    <row r="387" spans="7:16" s="674" customFormat="1" ht="18" customHeight="1">
      <c r="G387" s="673"/>
      <c r="I387" s="675"/>
      <c r="J387" s="1416"/>
      <c r="K387" s="666"/>
      <c r="L387" s="667"/>
      <c r="M387" s="667"/>
      <c r="N387" s="657"/>
    </row>
    <row r="388" spans="7:16" ht="18" customHeight="1">
      <c r="J388" s="672">
        <f>184472074.97</f>
        <v>184472074.97</v>
      </c>
      <c r="K388" s="672"/>
      <c r="L388" s="672"/>
      <c r="M388" s="672">
        <f>258219685.6</f>
        <v>258219685.59999999</v>
      </c>
      <c r="N388" s="672">
        <f>209960531.77</f>
        <v>209960531.77000001</v>
      </c>
    </row>
    <row r="389" spans="7:16" ht="18" customHeight="1">
      <c r="J389" s="986">
        <v>184472074.96999997</v>
      </c>
      <c r="K389" s="986">
        <v>86646221.209999993</v>
      </c>
      <c r="L389" s="986">
        <v>171573464.39000002</v>
      </c>
      <c r="M389" s="986">
        <v>258219685.60000002</v>
      </c>
      <c r="N389" s="986">
        <v>209987377.77000001</v>
      </c>
      <c r="P389" s="990">
        <f>209960531.77+26846</f>
        <v>209987377.77000001</v>
      </c>
    </row>
    <row r="390" spans="7:16" ht="18" customHeight="1">
      <c r="J390" s="984">
        <f>J389-J386</f>
        <v>0</v>
      </c>
      <c r="K390" s="984">
        <f t="shared" ref="K390:N390" si="9">K389-K386</f>
        <v>0</v>
      </c>
      <c r="L390" s="984">
        <f t="shared" si="9"/>
        <v>0</v>
      </c>
      <c r="M390" s="984">
        <f t="shared" si="9"/>
        <v>0</v>
      </c>
      <c r="N390" s="984">
        <f t="shared" si="9"/>
        <v>-1984441.9999999702</v>
      </c>
    </row>
    <row r="391" spans="7:16">
      <c r="J391" s="1423" t="s">
        <v>891</v>
      </c>
      <c r="K391" s="1423" t="s">
        <v>891</v>
      </c>
      <c r="L391" s="1423" t="s">
        <v>891</v>
      </c>
      <c r="M391" s="1423" t="s">
        <v>891</v>
      </c>
      <c r="N391" s="1423" t="s">
        <v>891</v>
      </c>
    </row>
  </sheetData>
  <sheetProtection algorithmName="SHA-512" hashValue="HBWgZp/PkPcK72GQpusVwdWIjpszB8ToLAvNixcbbYTPLveVyUmQ+nXL4684wegDYTqZTHqmtb7QJYKbm/MnzA==" saltValue="u485Oiwx4DEKhsLPtxlxEw==" spinCount="100000" sheet="1" objects="1" scenarios="1"/>
  <mergeCells count="45">
    <mergeCell ref="H325:J325"/>
    <mergeCell ref="M325:N325"/>
    <mergeCell ref="A378:N378"/>
    <mergeCell ref="A1:N1"/>
    <mergeCell ref="A2:N2"/>
    <mergeCell ref="A3:N3"/>
    <mergeCell ref="A4:N4"/>
    <mergeCell ref="A6:N6"/>
    <mergeCell ref="A7:N7"/>
    <mergeCell ref="A77:N77"/>
    <mergeCell ref="K258:M258"/>
    <mergeCell ref="A259:F259"/>
    <mergeCell ref="K259:M259"/>
    <mergeCell ref="A319:N320"/>
    <mergeCell ref="H324:J324"/>
    <mergeCell ref="M324:N324"/>
    <mergeCell ref="A257:N257"/>
    <mergeCell ref="H169:J169"/>
    <mergeCell ref="M169:N169"/>
    <mergeCell ref="A213:N213"/>
    <mergeCell ref="A215:N215"/>
    <mergeCell ref="A216:N216"/>
    <mergeCell ref="A218:N218"/>
    <mergeCell ref="K219:M219"/>
    <mergeCell ref="A220:F220"/>
    <mergeCell ref="K220:M220"/>
    <mergeCell ref="A254:N254"/>
    <mergeCell ref="A255:N255"/>
    <mergeCell ref="A88:F88"/>
    <mergeCell ref="K88:M88"/>
    <mergeCell ref="A91:F91"/>
    <mergeCell ref="A163:N163"/>
    <mergeCell ref="H168:J168"/>
    <mergeCell ref="M168:N168"/>
    <mergeCell ref="K87:M87"/>
    <mergeCell ref="A79:N79"/>
    <mergeCell ref="A12:N12"/>
    <mergeCell ref="K13:M13"/>
    <mergeCell ref="A14:F14"/>
    <mergeCell ref="K14:M14"/>
    <mergeCell ref="A17:F17"/>
    <mergeCell ref="A81:N81"/>
    <mergeCell ref="A83:N83"/>
    <mergeCell ref="A84:N84"/>
    <mergeCell ref="A86:N86"/>
  </mergeCells>
  <printOptions horizontalCentered="1"/>
  <pageMargins left="0.5" right="0" top="0.25" bottom="0" header="0.5" footer="0"/>
  <pageSetup paperSize="14" scale="63" orientation="portrait" r:id="rId1"/>
  <headerFooter alignWithMargins="0">
    <oddFooter xml:space="preserve">&amp;C&amp;"Times New Roman,Bold"&amp;14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election activeCell="J18" sqref="J18"/>
    </sheetView>
  </sheetViews>
  <sheetFormatPr defaultRowHeight="12.75"/>
  <cols>
    <col min="1" max="1" width="2.7109375" style="1259" customWidth="1"/>
    <col min="2" max="2" width="2.140625" style="1259" customWidth="1"/>
    <col min="3" max="5" width="1.7109375" style="1259" customWidth="1"/>
    <col min="6" max="6" width="33.85546875" style="1259" customWidth="1"/>
    <col min="7" max="7" width="4" style="1317" hidden="1" customWidth="1"/>
    <col min="8" max="8" width="12.28515625" style="1259" customWidth="1"/>
    <col min="9" max="9" width="12" style="1266" customWidth="1"/>
    <col min="10" max="10" width="14.7109375" style="1259" customWidth="1"/>
    <col min="11" max="11" width="14.5703125" style="1259" hidden="1" customWidth="1"/>
    <col min="12" max="12" width="14.7109375" style="1318" hidden="1" customWidth="1"/>
    <col min="13" max="13" width="14.5703125" style="1318" customWidth="1"/>
    <col min="14" max="14" width="15.5703125" style="1259" customWidth="1"/>
    <col min="15" max="15" width="2.7109375" style="1259" customWidth="1"/>
    <col min="16" max="16" width="9.140625" style="1259"/>
    <col min="17" max="17" width="10.28515625" style="1259" customWidth="1"/>
    <col min="18" max="16384" width="9.140625" style="1259"/>
  </cols>
  <sheetData>
    <row r="1" spans="1:14" ht="18" customHeight="1">
      <c r="A1" s="1474" t="s">
        <v>861</v>
      </c>
      <c r="B1" s="1474"/>
      <c r="C1" s="1474"/>
      <c r="D1" s="1474"/>
      <c r="E1" s="1474"/>
      <c r="F1" s="1474"/>
      <c r="G1" s="1474"/>
      <c r="H1" s="1474"/>
      <c r="I1" s="1474"/>
      <c r="J1" s="1474"/>
      <c r="K1" s="1474"/>
      <c r="L1" s="1474"/>
      <c r="M1" s="1474"/>
      <c r="N1" s="1474"/>
    </row>
    <row r="2" spans="1:14" ht="18" customHeight="1">
      <c r="A2" s="1474" t="s">
        <v>174</v>
      </c>
      <c r="B2" s="1474"/>
      <c r="C2" s="1474"/>
      <c r="D2" s="1474"/>
      <c r="E2" s="1474"/>
      <c r="F2" s="1474"/>
      <c r="G2" s="1474"/>
      <c r="H2" s="1474"/>
      <c r="I2" s="1474"/>
      <c r="J2" s="1474"/>
      <c r="K2" s="1474"/>
      <c r="L2" s="1474"/>
      <c r="M2" s="1474"/>
      <c r="N2" s="1474"/>
    </row>
    <row r="3" spans="1:14" ht="18" customHeight="1">
      <c r="A3" s="1474" t="s">
        <v>1780</v>
      </c>
      <c r="B3" s="1474"/>
      <c r="C3" s="1474"/>
      <c r="D3" s="1474"/>
      <c r="E3" s="1474"/>
      <c r="F3" s="1474"/>
      <c r="G3" s="1474"/>
      <c r="H3" s="1474"/>
      <c r="I3" s="1474"/>
      <c r="J3" s="1474"/>
      <c r="K3" s="1474"/>
      <c r="L3" s="1474"/>
      <c r="M3" s="1474"/>
      <c r="N3" s="1474"/>
    </row>
    <row r="4" spans="1:14" ht="18" customHeight="1">
      <c r="A4" s="1474"/>
      <c r="B4" s="1474"/>
      <c r="C4" s="1474"/>
      <c r="D4" s="1474"/>
      <c r="E4" s="1474"/>
      <c r="F4" s="1474"/>
      <c r="G4" s="1474"/>
      <c r="H4" s="1474"/>
      <c r="I4" s="1474"/>
      <c r="J4" s="1474"/>
      <c r="K4" s="1474"/>
      <c r="L4" s="1474"/>
      <c r="M4" s="1474"/>
      <c r="N4" s="1474"/>
    </row>
    <row r="5" spans="1:14" ht="18" customHeight="1">
      <c r="A5" s="146"/>
      <c r="B5" s="146"/>
      <c r="C5" s="146"/>
      <c r="D5" s="146"/>
      <c r="E5" s="146"/>
      <c r="F5" s="146"/>
      <c r="G5" s="1251"/>
      <c r="H5" s="146"/>
      <c r="I5" s="174"/>
      <c r="J5" s="146"/>
      <c r="K5" s="146"/>
      <c r="L5" s="1252"/>
      <c r="M5" s="1252"/>
      <c r="N5" s="146"/>
    </row>
    <row r="6" spans="1:14" ht="18" customHeight="1">
      <c r="A6" s="1437" t="s">
        <v>1781</v>
      </c>
      <c r="B6" s="1437"/>
      <c r="C6" s="1437"/>
      <c r="D6" s="1437"/>
      <c r="E6" s="1437"/>
      <c r="F6" s="1437"/>
      <c r="G6" s="1437"/>
      <c r="H6" s="1437"/>
      <c r="I6" s="1437"/>
      <c r="J6" s="1437"/>
      <c r="K6" s="1437"/>
      <c r="L6" s="1437"/>
      <c r="M6" s="1437"/>
      <c r="N6" s="1437"/>
    </row>
    <row r="7" spans="1:14" ht="18" customHeight="1">
      <c r="A7" s="1444" t="s">
        <v>1782</v>
      </c>
      <c r="B7" s="1444"/>
      <c r="C7" s="1444"/>
      <c r="D7" s="1444"/>
      <c r="E7" s="1444"/>
      <c r="F7" s="1444"/>
      <c r="G7" s="1444"/>
      <c r="H7" s="1444"/>
      <c r="I7" s="1444"/>
      <c r="J7" s="1444"/>
      <c r="K7" s="1444"/>
      <c r="L7" s="1444"/>
      <c r="M7" s="1444"/>
      <c r="N7" s="1444"/>
    </row>
    <row r="8" spans="1:14" s="146" customFormat="1" ht="15.75">
      <c r="A8" s="146" t="s">
        <v>1814</v>
      </c>
      <c r="G8" s="1251"/>
      <c r="I8" s="174"/>
      <c r="L8" s="1252"/>
      <c r="M8" s="1252"/>
    </row>
    <row r="9" spans="1:14" s="146" customFormat="1" ht="15.75">
      <c r="A9" s="146" t="s">
        <v>1811</v>
      </c>
      <c r="G9" s="1251"/>
      <c r="I9" s="174"/>
      <c r="L9" s="1252"/>
      <c r="M9" s="1252"/>
    </row>
    <row r="10" spans="1:14" s="146" customFormat="1" ht="8.1" customHeight="1">
      <c r="A10" s="1260" t="s">
        <v>1812</v>
      </c>
      <c r="G10" s="1251"/>
      <c r="I10" s="174"/>
      <c r="L10" s="1252"/>
      <c r="M10" s="1252"/>
    </row>
    <row r="11" spans="1:14" s="146" customFormat="1" ht="15.75">
      <c r="F11" s="146" t="s">
        <v>1815</v>
      </c>
      <c r="G11" s="1251"/>
      <c r="I11" s="174"/>
      <c r="L11" s="1252"/>
      <c r="M11" s="1252"/>
    </row>
    <row r="12" spans="1:14" s="146" customFormat="1" ht="16.5" thickBot="1">
      <c r="G12" s="1251"/>
      <c r="I12" s="174"/>
      <c r="L12" s="1252"/>
      <c r="M12" s="1252"/>
    </row>
    <row r="13" spans="1:14" s="1266" customFormat="1" ht="18" customHeight="1">
      <c r="A13" s="1261"/>
      <c r="B13" s="1262"/>
      <c r="C13" s="1262"/>
      <c r="D13" s="1262"/>
      <c r="E13" s="1262"/>
      <c r="F13" s="1262"/>
      <c r="G13" s="1263"/>
      <c r="H13" s="1264"/>
      <c r="I13" s="1264"/>
      <c r="J13" s="1264"/>
      <c r="K13" s="1475"/>
      <c r="L13" s="1476"/>
      <c r="M13" s="1477"/>
      <c r="N13" s="1265"/>
    </row>
    <row r="14" spans="1:14" s="1266" customFormat="1" ht="18" customHeight="1">
      <c r="A14" s="1478" t="s">
        <v>3</v>
      </c>
      <c r="B14" s="1479"/>
      <c r="C14" s="1479"/>
      <c r="D14" s="1479"/>
      <c r="E14" s="1479"/>
      <c r="F14" s="1479"/>
      <c r="G14" s="1267"/>
      <c r="H14" s="1267" t="s">
        <v>1</v>
      </c>
      <c r="I14" s="1268" t="s">
        <v>2</v>
      </c>
      <c r="J14" s="1267" t="s">
        <v>6</v>
      </c>
      <c r="K14" s="1480" t="s">
        <v>618</v>
      </c>
      <c r="L14" s="1479"/>
      <c r="M14" s="1481"/>
      <c r="N14" s="1269" t="s">
        <v>7</v>
      </c>
    </row>
    <row r="15" spans="1:14" s="1266" customFormat="1" ht="18" customHeight="1">
      <c r="A15" s="1270"/>
      <c r="B15" s="1271"/>
      <c r="C15" s="1271"/>
      <c r="D15" s="1271"/>
      <c r="E15" s="1271"/>
      <c r="F15" s="1271"/>
      <c r="G15" s="1272"/>
      <c r="H15" s="1267" t="s">
        <v>4</v>
      </c>
      <c r="I15" s="1268" t="s">
        <v>5</v>
      </c>
      <c r="J15" s="1273">
        <v>2021</v>
      </c>
      <c r="K15" s="1267" t="s">
        <v>559</v>
      </c>
      <c r="L15" s="1274" t="s">
        <v>562</v>
      </c>
      <c r="M15" s="1267">
        <v>2022</v>
      </c>
      <c r="N15" s="1275">
        <v>2023</v>
      </c>
    </row>
    <row r="16" spans="1:14" s="1266" customFormat="1" ht="18" customHeight="1">
      <c r="A16" s="1270"/>
      <c r="B16" s="1271"/>
      <c r="C16" s="1271"/>
      <c r="D16" s="1271"/>
      <c r="E16" s="1271"/>
      <c r="F16" s="1271"/>
      <c r="G16" s="1272"/>
      <c r="H16" s="1267"/>
      <c r="I16" s="1267"/>
      <c r="J16" s="1267" t="s">
        <v>559</v>
      </c>
      <c r="K16" s="1267">
        <v>2022</v>
      </c>
      <c r="L16" s="1267">
        <v>2022</v>
      </c>
      <c r="M16" s="1274" t="s">
        <v>562</v>
      </c>
      <c r="N16" s="1269" t="s">
        <v>564</v>
      </c>
    </row>
    <row r="17" spans="1:14" s="1266" customFormat="1" ht="18" customHeight="1" thickBot="1">
      <c r="A17" s="1391"/>
      <c r="B17" s="1392"/>
      <c r="C17" s="1392"/>
      <c r="D17" s="1392"/>
      <c r="E17" s="1392"/>
      <c r="F17" s="1392"/>
      <c r="G17" s="1276"/>
      <c r="H17" s="1276"/>
      <c r="I17" s="1276"/>
      <c r="J17" s="1276"/>
      <c r="K17" s="1276"/>
      <c r="L17" s="1277"/>
      <c r="M17" s="1277"/>
      <c r="N17" s="1278"/>
    </row>
    <row r="18" spans="1:14" ht="18" customHeight="1">
      <c r="A18" s="1279" t="s">
        <v>474</v>
      </c>
      <c r="B18" s="1280" t="s">
        <v>475</v>
      </c>
      <c r="C18" s="1280"/>
      <c r="D18" s="1280"/>
      <c r="E18" s="1280"/>
      <c r="F18" s="1280"/>
      <c r="G18" s="1281"/>
      <c r="H18" s="1282"/>
      <c r="I18" s="1283"/>
      <c r="J18" s="802">
        <v>0</v>
      </c>
      <c r="K18" s="802">
        <v>0</v>
      </c>
      <c r="L18" s="802">
        <v>0</v>
      </c>
      <c r="M18" s="802">
        <f>SUM(K18:L18)</f>
        <v>0</v>
      </c>
      <c r="N18" s="802">
        <f>SUM(L18:M18)</f>
        <v>0</v>
      </c>
    </row>
    <row r="19" spans="1:14" ht="18" customHeight="1">
      <c r="A19" s="1284" t="s">
        <v>476</v>
      </c>
      <c r="B19" s="1285" t="s">
        <v>477</v>
      </c>
      <c r="C19" s="1285"/>
      <c r="D19" s="1285"/>
      <c r="E19" s="1285"/>
      <c r="F19" s="1285"/>
      <c r="G19" s="1286"/>
      <c r="H19" s="1154"/>
      <c r="I19" s="1287"/>
      <c r="J19" s="1288"/>
      <c r="K19" s="630"/>
      <c r="L19" s="631"/>
      <c r="M19" s="630"/>
      <c r="N19" s="630"/>
    </row>
    <row r="20" spans="1:14" ht="18" customHeight="1">
      <c r="A20" s="1284"/>
      <c r="B20" s="1285" t="s">
        <v>509</v>
      </c>
      <c r="C20" s="1285"/>
      <c r="D20" s="1285"/>
      <c r="E20" s="1285"/>
      <c r="F20" s="1285"/>
      <c r="G20" s="1286"/>
      <c r="H20" s="1154"/>
      <c r="I20" s="1287"/>
      <c r="J20" s="1288"/>
      <c r="K20" s="630"/>
      <c r="L20" s="631"/>
      <c r="M20" s="630"/>
      <c r="N20" s="630"/>
    </row>
    <row r="21" spans="1:14" ht="18" customHeight="1">
      <c r="A21" s="1289"/>
      <c r="B21" s="1290"/>
      <c r="C21" s="1290" t="s">
        <v>181</v>
      </c>
      <c r="D21" s="1290"/>
      <c r="E21" s="1290"/>
      <c r="F21" s="1290"/>
      <c r="G21" s="1286"/>
      <c r="H21" s="1154"/>
      <c r="I21" s="1287"/>
      <c r="J21" s="1288"/>
      <c r="K21" s="630"/>
      <c r="L21" s="631"/>
      <c r="M21" s="630"/>
      <c r="N21" s="630"/>
    </row>
    <row r="22" spans="1:14" ht="18" customHeight="1">
      <c r="A22" s="1289"/>
      <c r="B22" s="1290"/>
      <c r="C22" s="1290"/>
      <c r="D22" s="1290" t="s">
        <v>478</v>
      </c>
      <c r="E22" s="1290" t="s">
        <v>566</v>
      </c>
      <c r="F22" s="1290"/>
      <c r="G22" s="1286"/>
      <c r="H22" s="1154"/>
      <c r="I22" s="1287"/>
      <c r="J22" s="1288"/>
      <c r="K22" s="630"/>
      <c r="L22" s="631"/>
      <c r="M22" s="630"/>
      <c r="N22" s="630"/>
    </row>
    <row r="23" spans="1:14" ht="18" customHeight="1">
      <c r="A23" s="1289"/>
      <c r="B23" s="1290"/>
      <c r="C23" s="1290"/>
      <c r="D23" s="1290"/>
      <c r="E23" s="1290" t="s">
        <v>567</v>
      </c>
      <c r="F23" s="1290"/>
      <c r="G23" s="1291" t="s">
        <v>739</v>
      </c>
      <c r="H23" s="1154" t="s">
        <v>732</v>
      </c>
      <c r="I23" s="1287" t="s">
        <v>727</v>
      </c>
      <c r="J23" s="1155">
        <v>5008228.38</v>
      </c>
      <c r="K23" s="633">
        <v>4880328.78</v>
      </c>
      <c r="L23" s="634">
        <v>1600000</v>
      </c>
      <c r="M23" s="633">
        <v>0</v>
      </c>
      <c r="N23" s="633">
        <v>0</v>
      </c>
    </row>
    <row r="24" spans="1:14" ht="18" customHeight="1" thickBot="1">
      <c r="A24" s="1292"/>
      <c r="B24" s="1293"/>
      <c r="C24" s="1293"/>
      <c r="D24" s="1293"/>
      <c r="E24" s="1293" t="s">
        <v>568</v>
      </c>
      <c r="F24" s="1293"/>
      <c r="G24" s="1294" t="s">
        <v>740</v>
      </c>
      <c r="H24" s="1169" t="s">
        <v>708</v>
      </c>
      <c r="I24" s="1295" t="s">
        <v>727</v>
      </c>
      <c r="J24" s="1296">
        <v>142622.85</v>
      </c>
      <c r="K24" s="636">
        <v>107939.05</v>
      </c>
      <c r="L24" s="634">
        <v>60000</v>
      </c>
      <c r="M24" s="636">
        <v>0</v>
      </c>
      <c r="N24" s="636">
        <v>0</v>
      </c>
    </row>
    <row r="25" spans="1:14" s="1303" customFormat="1" ht="18" customHeight="1" thickBot="1">
      <c r="A25" s="1297"/>
      <c r="B25" s="1298"/>
      <c r="C25" s="1298" t="s">
        <v>479</v>
      </c>
      <c r="D25" s="1298"/>
      <c r="E25" s="1298"/>
      <c r="F25" s="1298"/>
      <c r="G25" s="1299"/>
      <c r="H25" s="1172"/>
      <c r="I25" s="1300"/>
      <c r="J25" s="1301">
        <f>SUM(J22:J24)</f>
        <v>5150851.2299999995</v>
      </c>
      <c r="K25" s="1301">
        <f>SUM(K22:K24)</f>
        <v>4988267.83</v>
      </c>
      <c r="L25" s="1302">
        <f>SUM(L22:L24)</f>
        <v>1660000</v>
      </c>
      <c r="M25" s="1301">
        <f>SUM(M22:M24)</f>
        <v>0</v>
      </c>
      <c r="N25" s="1301">
        <f>SUM(N22:N24)</f>
        <v>0</v>
      </c>
    </row>
    <row r="26" spans="1:14" ht="18" customHeight="1">
      <c r="A26" s="1304"/>
      <c r="B26" s="1305"/>
      <c r="C26" s="1305" t="s">
        <v>182</v>
      </c>
      <c r="D26" s="1305"/>
      <c r="E26" s="1305"/>
      <c r="F26" s="1305"/>
      <c r="G26" s="1306"/>
      <c r="H26" s="1147"/>
      <c r="I26" s="1307"/>
      <c r="J26" s="1150"/>
      <c r="K26" s="640"/>
      <c r="L26" s="641"/>
      <c r="M26" s="640"/>
      <c r="N26" s="640"/>
    </row>
    <row r="27" spans="1:14" ht="18" customHeight="1">
      <c r="A27" s="1289"/>
      <c r="B27" s="1290"/>
      <c r="C27" s="1290"/>
      <c r="D27" s="1290" t="s">
        <v>480</v>
      </c>
      <c r="E27" s="1290"/>
      <c r="F27" s="1290"/>
      <c r="G27" s="1286"/>
      <c r="H27" s="1154"/>
      <c r="I27" s="1287"/>
      <c r="J27" s="1155"/>
      <c r="K27" s="633"/>
      <c r="L27" s="634"/>
      <c r="M27" s="633"/>
      <c r="N27" s="633"/>
    </row>
    <row r="28" spans="1:14" ht="18" customHeight="1">
      <c r="A28" s="1289"/>
      <c r="B28" s="1290"/>
      <c r="C28" s="1290"/>
      <c r="D28" s="1290"/>
      <c r="E28" s="1290" t="s">
        <v>570</v>
      </c>
      <c r="F28" s="1290" t="s">
        <v>569</v>
      </c>
      <c r="G28" s="1291" t="s">
        <v>741</v>
      </c>
      <c r="H28" s="1154" t="s">
        <v>714</v>
      </c>
      <c r="I28" s="1287" t="s">
        <v>727</v>
      </c>
      <c r="J28" s="1155">
        <v>321109</v>
      </c>
      <c r="K28" s="633">
        <v>306454</v>
      </c>
      <c r="L28" s="634">
        <v>60000</v>
      </c>
      <c r="M28" s="633">
        <v>325000</v>
      </c>
      <c r="N28" s="633">
        <v>280000</v>
      </c>
    </row>
    <row r="29" spans="1:14" ht="18" customHeight="1">
      <c r="A29" s="1289"/>
      <c r="B29" s="1290"/>
      <c r="C29" s="1290"/>
      <c r="D29" s="1290"/>
      <c r="E29" s="1290" t="s">
        <v>571</v>
      </c>
      <c r="F29" s="1290"/>
      <c r="G29" s="1291" t="s">
        <v>742</v>
      </c>
      <c r="H29" s="1154" t="s">
        <v>716</v>
      </c>
      <c r="I29" s="1287" t="s">
        <v>727</v>
      </c>
      <c r="J29" s="1155">
        <v>967306.11</v>
      </c>
      <c r="K29" s="633">
        <v>906942.97</v>
      </c>
      <c r="L29" s="634">
        <v>110000</v>
      </c>
      <c r="M29" s="633">
        <v>950000</v>
      </c>
      <c r="N29" s="633">
        <v>850000</v>
      </c>
    </row>
    <row r="30" spans="1:14" ht="18" customHeight="1">
      <c r="A30" s="1289"/>
      <c r="B30" s="1290"/>
      <c r="C30" s="1290"/>
      <c r="D30" s="1290"/>
      <c r="E30" s="1290" t="s">
        <v>1608</v>
      </c>
      <c r="F30" s="1290"/>
      <c r="G30" s="1291"/>
      <c r="H30" s="1154" t="s">
        <v>716</v>
      </c>
      <c r="I30" s="1287" t="s">
        <v>727</v>
      </c>
      <c r="J30" s="1155">
        <v>0</v>
      </c>
      <c r="K30" s="633">
        <v>0</v>
      </c>
      <c r="L30" s="634">
        <v>0</v>
      </c>
      <c r="M30" s="633">
        <v>60000</v>
      </c>
      <c r="N30" s="633">
        <v>60000</v>
      </c>
    </row>
    <row r="31" spans="1:14" ht="18" customHeight="1">
      <c r="A31" s="1289"/>
      <c r="B31" s="1290"/>
      <c r="C31" s="1290"/>
      <c r="D31" s="1290"/>
      <c r="E31" s="1290" t="s">
        <v>1609</v>
      </c>
      <c r="F31" s="1290"/>
      <c r="G31" s="1291" t="s">
        <v>743</v>
      </c>
      <c r="H31" s="1154" t="s">
        <v>733</v>
      </c>
      <c r="I31" s="1287" t="s">
        <v>727</v>
      </c>
      <c r="J31" s="1155">
        <v>42810</v>
      </c>
      <c r="K31" s="633">
        <v>40410</v>
      </c>
      <c r="L31" s="634">
        <v>3000</v>
      </c>
      <c r="M31" s="633">
        <v>50000</v>
      </c>
      <c r="N31" s="633">
        <v>40000</v>
      </c>
    </row>
    <row r="32" spans="1:14" ht="18" customHeight="1">
      <c r="A32" s="1289"/>
      <c r="B32" s="1290"/>
      <c r="C32" s="1290"/>
      <c r="D32" s="1290"/>
      <c r="E32" s="1290" t="s">
        <v>1610</v>
      </c>
      <c r="F32" s="1290"/>
      <c r="G32" s="1291"/>
      <c r="H32" s="1154" t="s">
        <v>719</v>
      </c>
      <c r="I32" s="1287" t="s">
        <v>727</v>
      </c>
      <c r="J32" s="1155">
        <v>0</v>
      </c>
      <c r="K32" s="633">
        <v>0</v>
      </c>
      <c r="L32" s="634"/>
      <c r="M32" s="633">
        <v>700000</v>
      </c>
      <c r="N32" s="633">
        <v>200000</v>
      </c>
    </row>
    <row r="33" spans="1:14" ht="18" customHeight="1">
      <c r="A33" s="1289"/>
      <c r="B33" s="1290"/>
      <c r="C33" s="1290"/>
      <c r="D33" s="1290"/>
      <c r="E33" s="1290" t="s">
        <v>1611</v>
      </c>
      <c r="F33" s="1290"/>
      <c r="G33" s="1291"/>
      <c r="H33" s="1154" t="s">
        <v>733</v>
      </c>
      <c r="I33" s="1287" t="s">
        <v>727</v>
      </c>
      <c r="J33" s="1155">
        <v>0</v>
      </c>
      <c r="K33" s="633">
        <v>0</v>
      </c>
      <c r="L33" s="634"/>
      <c r="M33" s="633">
        <v>45000</v>
      </c>
      <c r="N33" s="633">
        <v>35000</v>
      </c>
    </row>
    <row r="34" spans="1:14" ht="18" customHeight="1">
      <c r="A34" s="1289"/>
      <c r="B34" s="1290"/>
      <c r="C34" s="1290"/>
      <c r="D34" s="1290" t="s">
        <v>500</v>
      </c>
      <c r="E34" s="1290"/>
      <c r="F34" s="1290"/>
      <c r="G34" s="1286"/>
      <c r="H34" s="1154"/>
      <c r="I34" s="1287"/>
      <c r="J34" s="1155"/>
      <c r="K34" s="633"/>
      <c r="L34" s="634"/>
      <c r="M34" s="633"/>
      <c r="N34" s="633"/>
    </row>
    <row r="35" spans="1:14" ht="18" customHeight="1">
      <c r="A35" s="1289"/>
      <c r="B35" s="1290"/>
      <c r="C35" s="1290"/>
      <c r="D35" s="1290"/>
      <c r="E35" s="1290" t="s">
        <v>572</v>
      </c>
      <c r="F35" s="1290"/>
      <c r="G35" s="1291" t="s">
        <v>744</v>
      </c>
      <c r="H35" s="1154" t="s">
        <v>722</v>
      </c>
      <c r="I35" s="1287" t="s">
        <v>727</v>
      </c>
      <c r="J35" s="1155">
        <v>261880</v>
      </c>
      <c r="K35" s="633">
        <v>250510</v>
      </c>
      <c r="L35" s="634">
        <v>30000</v>
      </c>
      <c r="M35" s="633">
        <v>280000</v>
      </c>
      <c r="N35" s="633">
        <v>250000</v>
      </c>
    </row>
    <row r="36" spans="1:14" ht="18" customHeight="1">
      <c r="A36" s="1289"/>
      <c r="B36" s="1290"/>
      <c r="C36" s="1290"/>
      <c r="D36" s="1290"/>
      <c r="E36" s="1290" t="s">
        <v>573</v>
      </c>
      <c r="F36" s="1290"/>
      <c r="G36" s="1291" t="s">
        <v>745</v>
      </c>
      <c r="H36" s="1154" t="s">
        <v>734</v>
      </c>
      <c r="I36" s="1287" t="s">
        <v>727</v>
      </c>
      <c r="J36" s="1155">
        <v>482440</v>
      </c>
      <c r="K36" s="633">
        <v>204000</v>
      </c>
      <c r="L36" s="634">
        <v>896000</v>
      </c>
      <c r="M36" s="633">
        <v>300000</v>
      </c>
      <c r="N36" s="633">
        <v>320000</v>
      </c>
    </row>
    <row r="37" spans="1:14" ht="18" customHeight="1">
      <c r="A37" s="1289"/>
      <c r="B37" s="1290"/>
      <c r="C37" s="1290"/>
      <c r="D37" s="1290"/>
      <c r="E37" s="1290" t="s">
        <v>574</v>
      </c>
      <c r="F37" s="1290"/>
      <c r="G37" s="1291" t="s">
        <v>746</v>
      </c>
      <c r="H37" s="1154" t="s">
        <v>734</v>
      </c>
      <c r="I37" s="1287" t="s">
        <v>727</v>
      </c>
      <c r="J37" s="1155">
        <v>147665</v>
      </c>
      <c r="K37" s="633">
        <v>64040</v>
      </c>
      <c r="L37" s="634">
        <v>195960</v>
      </c>
      <c r="M37" s="633">
        <v>100000</v>
      </c>
      <c r="N37" s="633">
        <v>120000</v>
      </c>
    </row>
    <row r="38" spans="1:14" ht="18" customHeight="1">
      <c r="A38" s="1289"/>
      <c r="B38" s="1290"/>
      <c r="C38" s="1290"/>
      <c r="D38" s="1290"/>
      <c r="E38" s="1290" t="s">
        <v>575</v>
      </c>
      <c r="F38" s="1290"/>
      <c r="G38" s="1291" t="s">
        <v>747</v>
      </c>
      <c r="H38" s="1154" t="s">
        <v>735</v>
      </c>
      <c r="I38" s="1287" t="s">
        <v>727</v>
      </c>
      <c r="J38" s="1155">
        <v>337151</v>
      </c>
      <c r="K38" s="633">
        <v>316975</v>
      </c>
      <c r="L38" s="634">
        <v>3025</v>
      </c>
      <c r="M38" s="633">
        <v>350000</v>
      </c>
      <c r="N38" s="633">
        <v>350000</v>
      </c>
    </row>
    <row r="39" spans="1:14" ht="18" customHeight="1">
      <c r="A39" s="1289"/>
      <c r="B39" s="1290"/>
      <c r="C39" s="1290"/>
      <c r="D39" s="1290"/>
      <c r="E39" s="1290" t="s">
        <v>576</v>
      </c>
      <c r="F39" s="1290"/>
      <c r="G39" s="1286"/>
      <c r="H39" s="1154"/>
      <c r="I39" s="1287"/>
      <c r="J39" s="1155"/>
      <c r="K39" s="633"/>
      <c r="L39" s="634"/>
      <c r="M39" s="633"/>
      <c r="N39" s="633"/>
    </row>
    <row r="40" spans="1:14" ht="18" customHeight="1">
      <c r="A40" s="1289"/>
      <c r="B40" s="1290"/>
      <c r="C40" s="1290"/>
      <c r="D40" s="1290"/>
      <c r="E40" s="1290"/>
      <c r="F40" s="1290" t="s">
        <v>577</v>
      </c>
      <c r="G40" s="1291" t="s">
        <v>748</v>
      </c>
      <c r="H40" s="1154" t="s">
        <v>736</v>
      </c>
      <c r="I40" s="1287" t="s">
        <v>727</v>
      </c>
      <c r="J40" s="1155">
        <v>3548148.5</v>
      </c>
      <c r="K40" s="633">
        <v>1883214</v>
      </c>
      <c r="L40" s="634">
        <f>2900000-K40</f>
        <v>1016786</v>
      </c>
      <c r="M40" s="633">
        <f t="shared" ref="M40:M42" si="0">L40+K40</f>
        <v>2900000</v>
      </c>
      <c r="N40" s="633">
        <v>3100000</v>
      </c>
    </row>
    <row r="41" spans="1:14" s="1303" customFormat="1" ht="18" customHeight="1">
      <c r="A41" s="1289"/>
      <c r="B41" s="1290"/>
      <c r="C41" s="1290"/>
      <c r="D41" s="1290"/>
      <c r="E41" s="1290"/>
      <c r="F41" s="1290" t="s">
        <v>578</v>
      </c>
      <c r="G41" s="1291" t="s">
        <v>749</v>
      </c>
      <c r="H41" s="1154" t="s">
        <v>736</v>
      </c>
      <c r="I41" s="1287" t="s">
        <v>727</v>
      </c>
      <c r="J41" s="1155">
        <v>1817860</v>
      </c>
      <c r="K41" s="633">
        <v>908860</v>
      </c>
      <c r="L41" s="634">
        <v>591140</v>
      </c>
      <c r="M41" s="633">
        <f t="shared" si="0"/>
        <v>1500000</v>
      </c>
      <c r="N41" s="633">
        <v>1800000</v>
      </c>
    </row>
    <row r="42" spans="1:14" s="1303" customFormat="1" ht="18" customHeight="1">
      <c r="A42" s="1289"/>
      <c r="B42" s="1290"/>
      <c r="C42" s="1290"/>
      <c r="D42" s="1290"/>
      <c r="E42" s="1290"/>
      <c r="F42" s="1290" t="s">
        <v>579</v>
      </c>
      <c r="G42" s="1291" t="s">
        <v>750</v>
      </c>
      <c r="H42" s="1154" t="s">
        <v>736</v>
      </c>
      <c r="I42" s="1287" t="s">
        <v>727</v>
      </c>
      <c r="J42" s="1155">
        <v>1629843.85</v>
      </c>
      <c r="K42" s="633">
        <v>776080.65</v>
      </c>
      <c r="L42" s="634">
        <v>523919.35</v>
      </c>
      <c r="M42" s="633">
        <f t="shared" si="0"/>
        <v>1300000</v>
      </c>
      <c r="N42" s="633">
        <v>1450000</v>
      </c>
    </row>
    <row r="43" spans="1:14" s="1303" customFormat="1" ht="18" customHeight="1" thickBot="1">
      <c r="A43" s="1292"/>
      <c r="B43" s="1293"/>
      <c r="C43" s="1293"/>
      <c r="D43" s="1293"/>
      <c r="E43" s="1293"/>
      <c r="F43" s="1293" t="s">
        <v>580</v>
      </c>
      <c r="G43" s="1294" t="s">
        <v>751</v>
      </c>
      <c r="H43" s="1169" t="s">
        <v>736</v>
      </c>
      <c r="I43" s="1295" t="s">
        <v>727</v>
      </c>
      <c r="J43" s="1193">
        <v>11400</v>
      </c>
      <c r="K43" s="643">
        <v>11400</v>
      </c>
      <c r="L43" s="634">
        <v>0</v>
      </c>
      <c r="M43" s="643">
        <v>11330</v>
      </c>
      <c r="N43" s="1308">
        <v>0</v>
      </c>
    </row>
    <row r="44" spans="1:14" s="1303" customFormat="1" ht="18" customHeight="1" thickBot="1">
      <c r="A44" s="1297"/>
      <c r="B44" s="1298"/>
      <c r="C44" s="1298" t="s">
        <v>8</v>
      </c>
      <c r="D44" s="1298"/>
      <c r="E44" s="1298"/>
      <c r="F44" s="1298"/>
      <c r="G44" s="1299"/>
      <c r="H44" s="1172"/>
      <c r="I44" s="1300"/>
      <c r="J44" s="1301">
        <f>SUM(J28:J43)</f>
        <v>9567613.459999999</v>
      </c>
      <c r="K44" s="1301">
        <f>SUM(K28:K43)</f>
        <v>5668886.6200000001</v>
      </c>
      <c r="L44" s="1302">
        <f>SUM(L28:L43)</f>
        <v>3429830.35</v>
      </c>
      <c r="M44" s="1301">
        <f>SUM(M28:M43)</f>
        <v>8871330</v>
      </c>
      <c r="N44" s="1301">
        <f>SUM(N28:N43)</f>
        <v>8855000</v>
      </c>
    </row>
    <row r="45" spans="1:14" s="1303" customFormat="1" ht="18" customHeight="1" thickBot="1">
      <c r="A45" s="1309" t="s">
        <v>9</v>
      </c>
      <c r="B45" s="1298"/>
      <c r="C45" s="1298"/>
      <c r="D45" s="1298"/>
      <c r="E45" s="1298"/>
      <c r="F45" s="1298"/>
      <c r="G45" s="1299"/>
      <c r="H45" s="1172"/>
      <c r="I45" s="1300"/>
      <c r="J45" s="1301">
        <f>SUM(J44+J25+J18)</f>
        <v>14718464.689999998</v>
      </c>
      <c r="K45" s="1301">
        <f>SUM(K44+K25+K18)</f>
        <v>10657154.449999999</v>
      </c>
      <c r="L45" s="1302">
        <f>SUM(L44+L25+L18)</f>
        <v>5089830.3499999996</v>
      </c>
      <c r="M45" s="1301">
        <f>SUM(M44+M25+M18)</f>
        <v>8871330</v>
      </c>
      <c r="N45" s="1310">
        <f>SUM(N44+N25+N18)</f>
        <v>8855000</v>
      </c>
    </row>
    <row r="46" spans="1:14" s="1303" customFormat="1" ht="18" customHeight="1">
      <c r="A46" s="1311"/>
      <c r="B46" s="1311"/>
      <c r="C46" s="1311"/>
      <c r="D46" s="1311"/>
      <c r="E46" s="1311"/>
      <c r="F46" s="1311"/>
      <c r="G46" s="1312"/>
      <c r="H46" s="1313"/>
      <c r="I46" s="1314"/>
      <c r="J46" s="1315"/>
      <c r="K46" s="1315"/>
      <c r="L46" s="1316"/>
      <c r="M46" s="1316"/>
      <c r="N46" s="1315"/>
    </row>
    <row r="47" spans="1:14" s="1303" customFormat="1" ht="18" customHeight="1">
      <c r="A47" s="1482" t="s">
        <v>1816</v>
      </c>
      <c r="B47" s="1482"/>
      <c r="C47" s="1482"/>
      <c r="D47" s="1482"/>
      <c r="E47" s="1482"/>
      <c r="F47" s="1482"/>
      <c r="G47" s="1482"/>
      <c r="H47" s="1482"/>
      <c r="I47" s="1482"/>
      <c r="J47" s="1482"/>
      <c r="K47" s="1482"/>
      <c r="L47" s="1482"/>
      <c r="M47" s="1482"/>
      <c r="N47" s="1482"/>
    </row>
    <row r="48" spans="1:14" s="1303" customFormat="1" ht="18" customHeight="1">
      <c r="A48" s="1482"/>
      <c r="B48" s="1482"/>
      <c r="C48" s="1482"/>
      <c r="D48" s="1482"/>
      <c r="E48" s="1482"/>
      <c r="F48" s="1482"/>
      <c r="G48" s="1482"/>
      <c r="H48" s="1482"/>
      <c r="I48" s="1482"/>
      <c r="J48" s="1482"/>
      <c r="K48" s="1482"/>
      <c r="L48" s="1482"/>
      <c r="M48" s="1482"/>
      <c r="N48" s="1482"/>
    </row>
    <row r="49" spans="1:14" s="1303" customFormat="1" ht="18" customHeight="1">
      <c r="A49" s="1482"/>
      <c r="B49" s="1482"/>
      <c r="C49" s="1482"/>
      <c r="D49" s="1482"/>
      <c r="E49" s="1482"/>
      <c r="F49" s="1482"/>
      <c r="G49" s="1482"/>
      <c r="H49" s="1482"/>
      <c r="I49" s="1482"/>
      <c r="J49" s="1482"/>
      <c r="K49" s="1482"/>
      <c r="L49" s="1482"/>
      <c r="M49" s="1482"/>
      <c r="N49" s="1482"/>
    </row>
    <row r="50" spans="1:14" s="1303" customFormat="1" ht="18" customHeight="1">
      <c r="A50" s="146"/>
      <c r="B50" s="146"/>
      <c r="C50" s="146"/>
      <c r="D50" s="146"/>
      <c r="E50" s="146"/>
      <c r="F50" s="146"/>
      <c r="G50" s="1251"/>
      <c r="H50" s="146"/>
      <c r="I50" s="174"/>
      <c r="J50" s="146"/>
      <c r="K50" s="146"/>
      <c r="L50" s="1252"/>
      <c r="M50" s="1252"/>
      <c r="N50" s="146"/>
    </row>
    <row r="51" spans="1:14" s="1303" customFormat="1" ht="18" customHeight="1">
      <c r="A51" s="1470" t="s">
        <v>1796</v>
      </c>
      <c r="B51" s="1470"/>
      <c r="C51" s="1470"/>
      <c r="D51" s="1470"/>
      <c r="E51" s="1470"/>
      <c r="F51" s="1470"/>
      <c r="G51" s="1470"/>
      <c r="H51" s="1470"/>
      <c r="I51" s="1470"/>
      <c r="J51" s="1470"/>
      <c r="K51" s="1470"/>
      <c r="L51" s="1470"/>
      <c r="M51" s="1470"/>
      <c r="N51" s="1470"/>
    </row>
    <row r="52" spans="1:14" s="1303" customFormat="1" ht="18" customHeight="1">
      <c r="A52" s="218"/>
      <c r="B52" s="218"/>
      <c r="C52" s="218"/>
      <c r="D52" s="218"/>
      <c r="E52" s="218"/>
      <c r="F52" s="218"/>
      <c r="G52" s="218"/>
      <c r="H52" s="218"/>
      <c r="I52" s="218"/>
      <c r="J52" s="218"/>
      <c r="K52" s="218"/>
      <c r="L52" s="218"/>
      <c r="M52" s="218"/>
      <c r="N52" s="218"/>
    </row>
    <row r="53" spans="1:14" s="1303" customFormat="1" ht="18" customHeight="1">
      <c r="A53" s="218"/>
      <c r="B53" s="218"/>
      <c r="C53" s="218"/>
      <c r="D53" s="218"/>
      <c r="E53" s="218"/>
      <c r="F53" s="218"/>
      <c r="G53" s="218"/>
      <c r="H53" s="218"/>
      <c r="I53" s="218"/>
      <c r="J53" s="218"/>
      <c r="K53" s="218"/>
      <c r="L53" s="218"/>
      <c r="M53" s="218"/>
      <c r="N53" s="218"/>
    </row>
    <row r="54" spans="1:14" s="1303" customFormat="1" ht="18" customHeight="1">
      <c r="A54" s="218"/>
      <c r="B54" s="218"/>
      <c r="C54" s="218"/>
      <c r="D54" s="218"/>
      <c r="E54" s="218"/>
      <c r="F54" s="218"/>
      <c r="G54" s="218"/>
      <c r="H54" s="218"/>
      <c r="I54" s="218"/>
      <c r="J54" s="218"/>
      <c r="K54" s="218"/>
      <c r="L54" s="218"/>
      <c r="M54" s="218"/>
      <c r="N54" s="218"/>
    </row>
    <row r="55" spans="1:14" s="1303" customFormat="1" ht="18" customHeight="1">
      <c r="A55" s="218"/>
      <c r="B55" s="218"/>
      <c r="C55" s="218"/>
      <c r="D55" s="218"/>
      <c r="E55" s="218"/>
      <c r="F55" s="218"/>
      <c r="G55" s="218"/>
      <c r="H55" s="218"/>
      <c r="I55" s="218"/>
      <c r="J55" s="218"/>
      <c r="K55" s="218"/>
      <c r="L55" s="218"/>
      <c r="M55" s="218"/>
      <c r="N55" s="218"/>
    </row>
    <row r="56" spans="1:14" s="1303" customFormat="1" ht="18" customHeight="1">
      <c r="A56" s="218"/>
      <c r="B56" s="218"/>
      <c r="C56" s="218"/>
      <c r="D56" s="218"/>
      <c r="E56" s="218"/>
      <c r="F56" s="218"/>
      <c r="G56" s="218"/>
      <c r="H56" s="218"/>
      <c r="I56" s="218"/>
      <c r="J56" s="218"/>
      <c r="K56" s="218"/>
      <c r="L56" s="218"/>
      <c r="M56" s="218"/>
      <c r="N56" s="218"/>
    </row>
    <row r="57" spans="1:14" s="1303" customFormat="1" ht="18" customHeight="1">
      <c r="A57" s="218"/>
      <c r="B57" s="218"/>
      <c r="C57" s="218"/>
      <c r="D57" s="218"/>
      <c r="E57" s="218"/>
      <c r="F57" s="218"/>
      <c r="G57" s="218"/>
      <c r="H57" s="218"/>
      <c r="I57" s="218"/>
      <c r="J57" s="218"/>
      <c r="K57" s="218"/>
      <c r="L57" s="218"/>
      <c r="M57" s="218"/>
      <c r="N57" s="218"/>
    </row>
    <row r="58" spans="1:14" s="1303" customFormat="1" ht="18" customHeight="1">
      <c r="A58" s="1448" t="s">
        <v>1568</v>
      </c>
      <c r="B58" s="1448"/>
      <c r="C58" s="1448"/>
      <c r="D58" s="1448"/>
      <c r="E58" s="1448"/>
      <c r="F58" s="1448"/>
      <c r="G58" s="1448"/>
      <c r="H58" s="1448"/>
      <c r="I58" s="1448"/>
      <c r="J58" s="1448"/>
      <c r="K58" s="1448"/>
      <c r="L58" s="1448"/>
      <c r="M58" s="1448"/>
      <c r="N58" s="1448"/>
    </row>
    <row r="59" spans="1:14" s="1303" customFormat="1" ht="18" customHeight="1">
      <c r="A59" s="1311"/>
      <c r="B59" s="1311"/>
      <c r="C59" s="1311"/>
      <c r="D59" s="1311"/>
      <c r="E59" s="1311"/>
      <c r="F59" s="1311"/>
      <c r="G59" s="1312"/>
      <c r="H59" s="1313"/>
      <c r="I59" s="1314"/>
      <c r="J59" s="1315"/>
      <c r="K59" s="1315"/>
      <c r="L59" s="1316"/>
      <c r="M59" s="1316"/>
      <c r="N59" s="1315"/>
    </row>
    <row r="60" spans="1:14" s="1303" customFormat="1" ht="18" customHeight="1">
      <c r="A60" s="1311"/>
      <c r="B60" s="1311"/>
      <c r="C60" s="1311"/>
      <c r="D60" s="1311"/>
      <c r="E60" s="1311"/>
      <c r="F60" s="1311"/>
      <c r="G60" s="1312"/>
      <c r="H60" s="1313"/>
      <c r="I60" s="1314"/>
      <c r="J60" s="1315"/>
      <c r="K60" s="1315"/>
      <c r="L60" s="1316"/>
      <c r="M60" s="1316"/>
      <c r="N60" s="1315"/>
    </row>
    <row r="61" spans="1:14" s="1303" customFormat="1" ht="18" customHeight="1">
      <c r="A61" s="1311"/>
      <c r="B61" s="1311"/>
      <c r="C61" s="1311"/>
      <c r="D61" s="1311"/>
      <c r="E61" s="1311"/>
      <c r="F61" s="1311"/>
      <c r="G61" s="1312"/>
      <c r="H61" s="1313"/>
      <c r="I61" s="1314"/>
      <c r="J61" s="1315"/>
      <c r="K61" s="1315"/>
      <c r="L61" s="1316"/>
      <c r="M61" s="1316"/>
      <c r="N61" s="1315"/>
    </row>
    <row r="62" spans="1:14" s="1303" customFormat="1" ht="18" customHeight="1">
      <c r="A62" s="1311"/>
      <c r="B62" s="1311"/>
      <c r="C62" s="1311"/>
      <c r="D62" s="1311"/>
      <c r="E62" s="1311"/>
      <c r="F62" s="1311"/>
      <c r="G62" s="1312"/>
      <c r="H62" s="1313"/>
      <c r="I62" s="1314"/>
      <c r="J62" s="1315"/>
      <c r="K62" s="1315"/>
      <c r="L62" s="1316"/>
      <c r="M62" s="1316"/>
      <c r="N62" s="1315"/>
    </row>
    <row r="63" spans="1:14" s="1303" customFormat="1" ht="18" customHeight="1">
      <c r="A63" s="1311"/>
      <c r="B63" s="1311"/>
      <c r="C63" s="1311"/>
      <c r="D63" s="1311"/>
      <c r="E63" s="1311"/>
      <c r="F63" s="1311"/>
      <c r="G63" s="1312"/>
      <c r="H63" s="1313"/>
      <c r="I63" s="1314"/>
      <c r="J63" s="1315"/>
      <c r="K63" s="1315"/>
      <c r="L63" s="1316"/>
      <c r="M63" s="1316"/>
      <c r="N63" s="1315"/>
    </row>
    <row r="64" spans="1:14" s="1303" customFormat="1" ht="18" customHeight="1">
      <c r="A64" s="1311"/>
      <c r="B64" s="1311"/>
      <c r="C64" s="1311"/>
      <c r="D64" s="1311"/>
      <c r="E64" s="1311"/>
      <c r="F64" s="1311"/>
      <c r="G64" s="1312"/>
      <c r="H64" s="1313"/>
      <c r="I64" s="1314"/>
      <c r="J64" s="1315"/>
      <c r="K64" s="1315"/>
      <c r="L64" s="1316"/>
      <c r="M64" s="1316"/>
      <c r="N64" s="1315"/>
    </row>
    <row r="65" spans="1:14" s="1303" customFormat="1" ht="18" customHeight="1">
      <c r="A65" s="1311"/>
      <c r="B65" s="1311"/>
      <c r="C65" s="1311"/>
      <c r="D65" s="1311"/>
      <c r="E65" s="1311"/>
      <c r="F65" s="1311"/>
      <c r="G65" s="1312"/>
      <c r="H65" s="1313"/>
      <c r="I65" s="1314"/>
      <c r="J65" s="1315"/>
      <c r="K65" s="1315"/>
      <c r="L65" s="1316"/>
      <c r="M65" s="1316"/>
      <c r="N65" s="1315"/>
    </row>
  </sheetData>
  <sheetProtection algorithmName="SHA-512" hashValue="9eRXnfaVL0zmQ/eY5GE9n/PMKbnYjnHt76oQQd/c4v1MWfvee5TwghFS8/bMEMJVDByHwDZ/1+dU37jTCJK5oA==" saltValue="kwrARaEg598gbcu06gVqIw==" spinCount="100000" sheet="1" objects="1" scenarios="1"/>
  <mergeCells count="12">
    <mergeCell ref="A58:N58"/>
    <mergeCell ref="A1:N1"/>
    <mergeCell ref="A2:N2"/>
    <mergeCell ref="A3:N3"/>
    <mergeCell ref="A4:N4"/>
    <mergeCell ref="A6:N6"/>
    <mergeCell ref="A7:N7"/>
    <mergeCell ref="K13:M13"/>
    <mergeCell ref="A14:F14"/>
    <mergeCell ref="K14:M14"/>
    <mergeCell ref="A47:N49"/>
    <mergeCell ref="A51:N51"/>
  </mergeCells>
  <printOptions horizontalCentered="1"/>
  <pageMargins left="0.5" right="0" top="0.5" bottom="0" header="0.5" footer="0"/>
  <pageSetup paperSize="256" scale="85" orientation="portrait" r:id="rId1"/>
  <headerFooter alignWithMargins="0">
    <oddFooter xml:space="preserve">&amp;C&amp;"Times New Roman,Bold"&amp;14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63"/>
  <sheetViews>
    <sheetView tabSelected="1" workbookViewId="0">
      <selection activeCell="I1041" sqref="I1041"/>
    </sheetView>
  </sheetViews>
  <sheetFormatPr defaultRowHeight="15"/>
  <cols>
    <col min="1" max="1" width="2.7109375" style="779" customWidth="1"/>
    <col min="2" max="2" width="3.140625" style="779" customWidth="1"/>
    <col min="3" max="3" width="1.7109375" style="779" customWidth="1"/>
    <col min="4" max="4" width="1.5703125" style="779" customWidth="1"/>
    <col min="5" max="5" width="1.7109375" style="779" customWidth="1"/>
    <col min="6" max="6" width="33.140625" style="779" customWidth="1"/>
    <col min="7" max="7" width="4.85546875" style="779" hidden="1" customWidth="1"/>
    <col min="8" max="8" width="12" style="778" customWidth="1"/>
    <col min="9" max="9" width="14.85546875" style="778" customWidth="1"/>
    <col min="10" max="10" width="14.140625" style="778" hidden="1" customWidth="1"/>
    <col min="11" max="11" width="14.42578125" style="778" hidden="1" customWidth="1"/>
    <col min="12" max="12" width="21.140625" style="778" customWidth="1"/>
    <col min="13" max="13" width="14.140625" style="778" customWidth="1"/>
    <col min="14" max="14" width="9.140625" style="779"/>
    <col min="15" max="15" width="14" style="779" bestFit="1" customWidth="1"/>
    <col min="16" max="16" width="17.5703125" style="779" bestFit="1" customWidth="1"/>
    <col min="17" max="21" width="14" style="779" bestFit="1" customWidth="1"/>
    <col min="22" max="16384" width="9.140625" style="779"/>
  </cols>
  <sheetData>
    <row r="1" spans="1:14" s="1253" customFormat="1" ht="15" customHeight="1">
      <c r="A1" s="1467" t="s">
        <v>861</v>
      </c>
      <c r="B1" s="1467"/>
      <c r="C1" s="1467"/>
      <c r="D1" s="1467"/>
      <c r="E1" s="1467"/>
      <c r="F1" s="1467"/>
      <c r="G1" s="1467"/>
      <c r="H1" s="1467"/>
      <c r="I1" s="1467"/>
      <c r="J1" s="1467"/>
      <c r="K1" s="1467"/>
      <c r="L1" s="1467"/>
      <c r="M1" s="1467"/>
      <c r="N1" s="1319"/>
    </row>
    <row r="2" spans="1:14" s="1253" customFormat="1" ht="15" customHeight="1">
      <c r="A2" s="1467" t="s">
        <v>174</v>
      </c>
      <c r="B2" s="1467"/>
      <c r="C2" s="1467"/>
      <c r="D2" s="1467"/>
      <c r="E2" s="1467"/>
      <c r="F2" s="1467"/>
      <c r="G2" s="1467"/>
      <c r="H2" s="1467"/>
      <c r="I2" s="1467"/>
      <c r="J2" s="1467"/>
      <c r="K2" s="1467"/>
      <c r="L2" s="1467"/>
      <c r="M2" s="1467"/>
      <c r="N2" s="1319"/>
    </row>
    <row r="3" spans="1:14" s="1253" customFormat="1" ht="15" customHeight="1">
      <c r="A3" s="1467" t="s">
        <v>1780</v>
      </c>
      <c r="B3" s="1467"/>
      <c r="C3" s="1467"/>
      <c r="D3" s="1467"/>
      <c r="E3" s="1467"/>
      <c r="F3" s="1467"/>
      <c r="G3" s="1467"/>
      <c r="H3" s="1467"/>
      <c r="I3" s="1467"/>
      <c r="J3" s="1467"/>
      <c r="K3" s="1467"/>
      <c r="L3" s="1467"/>
      <c r="M3" s="1467"/>
      <c r="N3" s="1319"/>
    </row>
    <row r="4" spans="1:14" s="1253" customFormat="1" ht="15" customHeight="1">
      <c r="A4" s="1467"/>
      <c r="B4" s="1467"/>
      <c r="C4" s="1467"/>
      <c r="D4" s="1467"/>
      <c r="E4" s="1467"/>
      <c r="F4" s="1467"/>
      <c r="G4" s="1467"/>
      <c r="H4" s="1467"/>
      <c r="I4" s="1467"/>
      <c r="J4" s="1467"/>
      <c r="K4" s="1467"/>
      <c r="L4" s="1467"/>
      <c r="M4" s="1467"/>
      <c r="N4" s="1319"/>
    </row>
    <row r="5" spans="1:14" s="1253" customFormat="1" ht="15" customHeight="1">
      <c r="A5" s="1254"/>
      <c r="B5" s="1254"/>
      <c r="C5" s="1254"/>
      <c r="D5" s="1254"/>
      <c r="E5" s="1254"/>
      <c r="F5" s="1254"/>
      <c r="G5" s="1254"/>
      <c r="H5" s="1254"/>
      <c r="I5" s="1254"/>
      <c r="J5" s="1254"/>
      <c r="K5" s="1254"/>
      <c r="L5" s="1254"/>
      <c r="M5" s="1254"/>
      <c r="N5" s="1319"/>
    </row>
    <row r="6" spans="1:14" s="1253" customFormat="1" ht="15" customHeight="1">
      <c r="A6" s="1254"/>
      <c r="B6" s="1254"/>
      <c r="C6" s="1254"/>
      <c r="D6" s="1254"/>
      <c r="E6" s="1254"/>
      <c r="F6" s="1254"/>
      <c r="G6" s="1254"/>
      <c r="H6" s="1254"/>
      <c r="I6" s="1254"/>
      <c r="J6" s="1254"/>
      <c r="K6" s="1254"/>
      <c r="L6" s="1254"/>
      <c r="M6" s="1254"/>
      <c r="N6" s="1319"/>
    </row>
    <row r="7" spans="1:14" s="1253" customFormat="1" ht="15" customHeight="1">
      <c r="A7" s="1254"/>
      <c r="B7" s="1254"/>
      <c r="C7" s="1254"/>
      <c r="D7" s="1254"/>
      <c r="E7" s="1254"/>
      <c r="F7" s="1254"/>
      <c r="G7" s="1254"/>
      <c r="H7" s="1254"/>
      <c r="I7" s="1254"/>
      <c r="J7" s="1254"/>
      <c r="K7" s="1254"/>
      <c r="L7" s="1254"/>
      <c r="M7" s="1254"/>
      <c r="N7" s="1319"/>
    </row>
    <row r="8" spans="1:14" s="1253" customFormat="1" ht="18" customHeight="1">
      <c r="A8" s="1468" t="s">
        <v>1781</v>
      </c>
      <c r="B8" s="1468"/>
      <c r="C8" s="1468"/>
      <c r="D8" s="1468"/>
      <c r="E8" s="1468"/>
      <c r="F8" s="1468"/>
      <c r="G8" s="1468"/>
      <c r="H8" s="1468"/>
      <c r="I8" s="1468"/>
      <c r="J8" s="1468"/>
      <c r="K8" s="1468"/>
      <c r="L8" s="1468"/>
      <c r="M8" s="1468"/>
      <c r="N8" s="1320"/>
    </row>
    <row r="9" spans="1:14" s="1253" customFormat="1">
      <c r="A9" s="1469" t="s">
        <v>1817</v>
      </c>
      <c r="B9" s="1469"/>
      <c r="C9" s="1469"/>
      <c r="D9" s="1469"/>
      <c r="E9" s="1469"/>
      <c r="F9" s="1469"/>
      <c r="G9" s="1469"/>
      <c r="H9" s="1469"/>
      <c r="I9" s="1469"/>
      <c r="J9" s="1469"/>
      <c r="K9" s="1469"/>
      <c r="L9" s="1469"/>
      <c r="M9" s="1469"/>
      <c r="N9" s="1321"/>
    </row>
    <row r="10" spans="1:14" s="1253" customFormat="1" ht="15.75">
      <c r="A10" s="1253" t="s">
        <v>1818</v>
      </c>
      <c r="G10" s="1254"/>
      <c r="I10" s="1255"/>
      <c r="L10" s="1256"/>
      <c r="M10" s="1256"/>
    </row>
    <row r="11" spans="1:14" s="1253" customFormat="1" ht="15.75">
      <c r="A11" s="1253" t="s">
        <v>1811</v>
      </c>
      <c r="G11" s="1254"/>
      <c r="I11" s="1255"/>
      <c r="L11" s="1256"/>
      <c r="M11" s="1256"/>
    </row>
    <row r="12" spans="1:14" s="1253" customFormat="1" ht="8.1" customHeight="1">
      <c r="A12" s="1257" t="s">
        <v>1812</v>
      </c>
      <c r="G12" s="1254"/>
      <c r="I12" s="1255"/>
      <c r="L12" s="1256"/>
      <c r="M12" s="1256"/>
    </row>
    <row r="13" spans="1:14" s="1394" customFormat="1" ht="21.95" customHeight="1">
      <c r="A13" s="1394" t="s">
        <v>280</v>
      </c>
      <c r="C13" s="1483" t="s">
        <v>1819</v>
      </c>
      <c r="D13" s="1483"/>
      <c r="E13" s="1483"/>
      <c r="F13" s="1483"/>
      <c r="G13" s="1483"/>
      <c r="H13" s="1483"/>
      <c r="I13" s="1483"/>
      <c r="J13" s="1483"/>
      <c r="K13" s="1483"/>
      <c r="L13" s="1483"/>
      <c r="M13" s="1483"/>
      <c r="N13" s="1396"/>
    </row>
    <row r="14" spans="1:14" s="1253" customFormat="1" ht="21.95" customHeight="1">
      <c r="C14" s="1483"/>
      <c r="D14" s="1483"/>
      <c r="E14" s="1483"/>
      <c r="F14" s="1483"/>
      <c r="G14" s="1483"/>
      <c r="H14" s="1483"/>
      <c r="I14" s="1483"/>
      <c r="J14" s="1483"/>
      <c r="K14" s="1483"/>
      <c r="L14" s="1483"/>
      <c r="M14" s="1483"/>
      <c r="N14" s="1322"/>
    </row>
    <row r="15" spans="1:14" s="1253" customFormat="1" ht="21.95" customHeight="1">
      <c r="C15" s="1483"/>
      <c r="D15" s="1483"/>
      <c r="E15" s="1483"/>
      <c r="F15" s="1483"/>
      <c r="G15" s="1483"/>
      <c r="H15" s="1483"/>
      <c r="I15" s="1483"/>
      <c r="J15" s="1483"/>
      <c r="K15" s="1483"/>
      <c r="L15" s="1483"/>
      <c r="M15" s="1483"/>
      <c r="N15" s="1322"/>
    </row>
    <row r="16" spans="1:14" ht="18" customHeight="1" thickBot="1">
      <c r="A16" s="1487"/>
      <c r="B16" s="1487"/>
      <c r="C16" s="1487"/>
      <c r="D16" s="1487"/>
      <c r="E16" s="1487"/>
      <c r="F16" s="1487"/>
      <c r="G16" s="1487"/>
      <c r="H16" s="1487"/>
      <c r="I16" s="1487"/>
      <c r="J16" s="1487"/>
      <c r="K16" s="1487"/>
      <c r="L16" s="1487"/>
      <c r="M16" s="1487"/>
    </row>
    <row r="17" spans="1:24" ht="18" customHeight="1">
      <c r="A17" s="780"/>
      <c r="B17" s="781"/>
      <c r="C17" s="781"/>
      <c r="D17" s="781"/>
      <c r="E17" s="781"/>
      <c r="F17" s="782"/>
      <c r="G17" s="783"/>
      <c r="H17" s="784"/>
      <c r="I17" s="784" t="s">
        <v>6</v>
      </c>
      <c r="J17" s="1488" t="s">
        <v>1914</v>
      </c>
      <c r="K17" s="1489"/>
      <c r="L17" s="1490"/>
      <c r="M17" s="785" t="s">
        <v>7</v>
      </c>
    </row>
    <row r="18" spans="1:24" ht="18" customHeight="1">
      <c r="A18" s="1491"/>
      <c r="B18" s="1492"/>
      <c r="C18" s="1492"/>
      <c r="D18" s="1492"/>
      <c r="E18" s="1492"/>
      <c r="F18" s="1493"/>
      <c r="G18" s="1371"/>
      <c r="H18" s="786"/>
      <c r="I18" s="786">
        <v>2021</v>
      </c>
      <c r="J18" s="786" t="s">
        <v>560</v>
      </c>
      <c r="K18" s="786" t="s">
        <v>561</v>
      </c>
      <c r="L18" s="786">
        <v>2022</v>
      </c>
      <c r="M18" s="787">
        <v>2023</v>
      </c>
    </row>
    <row r="19" spans="1:24" ht="18" customHeight="1">
      <c r="A19" s="1491" t="s">
        <v>21</v>
      </c>
      <c r="B19" s="1492"/>
      <c r="C19" s="1492"/>
      <c r="D19" s="1492"/>
      <c r="E19" s="1492"/>
      <c r="F19" s="1493"/>
      <c r="G19" s="788"/>
      <c r="H19" s="789" t="s">
        <v>612</v>
      </c>
      <c r="I19" s="786" t="s">
        <v>909</v>
      </c>
      <c r="J19" s="786" t="s">
        <v>559</v>
      </c>
      <c r="K19" s="786" t="s">
        <v>562</v>
      </c>
      <c r="L19" s="786" t="s">
        <v>909</v>
      </c>
      <c r="M19" s="787" t="s">
        <v>909</v>
      </c>
    </row>
    <row r="20" spans="1:24" ht="18" customHeight="1">
      <c r="A20" s="790"/>
      <c r="B20" s="791"/>
      <c r="C20" s="791"/>
      <c r="D20" s="791"/>
      <c r="E20" s="791"/>
      <c r="F20" s="792"/>
      <c r="G20" s="788"/>
      <c r="H20" s="786"/>
      <c r="I20" s="786" t="s">
        <v>559</v>
      </c>
      <c r="J20" s="786">
        <v>2022</v>
      </c>
      <c r="K20" s="786">
        <v>2022</v>
      </c>
      <c r="L20" s="786" t="s">
        <v>910</v>
      </c>
      <c r="M20" s="787" t="s">
        <v>564</v>
      </c>
    </row>
    <row r="21" spans="1:24" ht="18" customHeight="1" thickBot="1">
      <c r="A21" s="1497"/>
      <c r="B21" s="1498"/>
      <c r="C21" s="1498"/>
      <c r="D21" s="1498"/>
      <c r="E21" s="1498"/>
      <c r="F21" s="1499"/>
      <c r="G21" s="1372"/>
      <c r="H21" s="793"/>
      <c r="I21" s="1393"/>
      <c r="J21" s="793"/>
      <c r="K21" s="793"/>
      <c r="L21" s="793"/>
      <c r="M21" s="794"/>
    </row>
    <row r="22" spans="1:24" ht="18" customHeight="1">
      <c r="A22" s="795"/>
      <c r="B22" s="796" t="s">
        <v>359</v>
      </c>
      <c r="C22" s="797"/>
      <c r="D22" s="796"/>
      <c r="E22" s="796"/>
      <c r="F22" s="798"/>
      <c r="G22" s="799"/>
      <c r="H22" s="800"/>
      <c r="I22" s="801"/>
      <c r="J22" s="802"/>
      <c r="K22" s="802"/>
      <c r="L22" s="802"/>
      <c r="M22" s="802"/>
    </row>
    <row r="23" spans="1:24" ht="18" customHeight="1">
      <c r="A23" s="803"/>
      <c r="B23" s="804"/>
      <c r="C23" s="804" t="s">
        <v>515</v>
      </c>
      <c r="D23" s="804"/>
      <c r="E23" s="804"/>
      <c r="F23" s="805"/>
      <c r="G23" s="806"/>
      <c r="H23" s="807"/>
      <c r="I23" s="808"/>
      <c r="J23" s="809"/>
      <c r="K23" s="809"/>
      <c r="L23" s="809"/>
      <c r="M23" s="809"/>
    </row>
    <row r="24" spans="1:24" ht="18" customHeight="1">
      <c r="A24" s="803"/>
      <c r="B24" s="804"/>
      <c r="C24" s="804"/>
      <c r="D24" s="804" t="s">
        <v>516</v>
      </c>
      <c r="E24" s="804"/>
      <c r="F24" s="805"/>
      <c r="G24" s="806" t="s">
        <v>582</v>
      </c>
      <c r="H24" s="810" t="s">
        <v>672</v>
      </c>
      <c r="I24" s="811">
        <f>3319412</f>
        <v>3319412</v>
      </c>
      <c r="J24" s="812">
        <v>2030600.64</v>
      </c>
      <c r="K24" s="812">
        <f>5520273-J24</f>
        <v>3489672.3600000003</v>
      </c>
      <c r="L24" s="812">
        <f>SUM(K24+J24)</f>
        <v>5520273</v>
      </c>
      <c r="M24" s="812">
        <v>5722908</v>
      </c>
      <c r="O24" s="855"/>
      <c r="P24" s="855"/>
      <c r="Q24" s="855"/>
      <c r="R24" s="855"/>
      <c r="S24" s="855"/>
      <c r="T24" s="855"/>
    </row>
    <row r="25" spans="1:24" ht="18" customHeight="1">
      <c r="A25" s="803"/>
      <c r="B25" s="804"/>
      <c r="C25" s="804"/>
      <c r="D25" s="804" t="s">
        <v>420</v>
      </c>
      <c r="E25" s="804"/>
      <c r="F25" s="805"/>
      <c r="G25" s="806"/>
      <c r="H25" s="810" t="s">
        <v>674</v>
      </c>
      <c r="I25" s="811">
        <f>317523.32</f>
        <v>317523.32</v>
      </c>
      <c r="J25" s="812">
        <v>802760.91</v>
      </c>
      <c r="K25" s="812">
        <f>1659684-J25</f>
        <v>856923.09</v>
      </c>
      <c r="L25" s="812">
        <f>SUM(K25+J25)</f>
        <v>1659684</v>
      </c>
      <c r="M25" s="812">
        <v>1723800</v>
      </c>
      <c r="O25" s="855"/>
      <c r="P25" s="855"/>
      <c r="Q25" s="855"/>
      <c r="R25" s="855"/>
      <c r="S25" s="855"/>
    </row>
    <row r="26" spans="1:24" ht="18" customHeight="1">
      <c r="A26" s="803"/>
      <c r="B26" s="804"/>
      <c r="C26" s="804" t="s">
        <v>517</v>
      </c>
      <c r="D26" s="804"/>
      <c r="E26" s="804"/>
      <c r="F26" s="805"/>
      <c r="G26" s="806"/>
      <c r="H26" s="813"/>
      <c r="I26" s="811"/>
      <c r="J26" s="812"/>
      <c r="K26" s="812"/>
      <c r="L26" s="812"/>
      <c r="M26" s="812"/>
    </row>
    <row r="27" spans="1:24" ht="18" customHeight="1">
      <c r="A27" s="803"/>
      <c r="B27" s="804"/>
      <c r="C27" s="804"/>
      <c r="D27" s="804" t="s">
        <v>518</v>
      </c>
      <c r="E27" s="804"/>
      <c r="F27" s="805"/>
      <c r="G27" s="806" t="s">
        <v>583</v>
      </c>
      <c r="H27" s="810" t="s">
        <v>673</v>
      </c>
      <c r="I27" s="811">
        <f>312000</f>
        <v>312000</v>
      </c>
      <c r="J27" s="812">
        <v>301000</v>
      </c>
      <c r="K27" s="812">
        <f>744000-J27</f>
        <v>443000</v>
      </c>
      <c r="L27" s="812">
        <f t="shared" ref="L27:L45" si="0">SUM(K27+J27)</f>
        <v>744000</v>
      </c>
      <c r="M27" s="812">
        <v>744000</v>
      </c>
      <c r="O27" s="855"/>
      <c r="P27" s="855"/>
      <c r="Q27" s="855"/>
      <c r="R27" s="855"/>
      <c r="S27" s="855"/>
    </row>
    <row r="28" spans="1:24" ht="18" customHeight="1">
      <c r="A28" s="803"/>
      <c r="B28" s="804"/>
      <c r="C28" s="804"/>
      <c r="D28" s="804" t="s">
        <v>528</v>
      </c>
      <c r="E28" s="804"/>
      <c r="F28" s="805"/>
      <c r="G28" s="806" t="s">
        <v>584</v>
      </c>
      <c r="H28" s="810" t="s">
        <v>674</v>
      </c>
      <c r="I28" s="811">
        <f>91800</f>
        <v>91800</v>
      </c>
      <c r="J28" s="812">
        <v>45900</v>
      </c>
      <c r="K28" s="812">
        <f>91800-J28</f>
        <v>45900</v>
      </c>
      <c r="L28" s="812">
        <f t="shared" si="0"/>
        <v>91800</v>
      </c>
      <c r="M28" s="812">
        <v>91800</v>
      </c>
      <c r="O28" s="855"/>
      <c r="P28" s="855"/>
      <c r="Q28" s="855"/>
      <c r="R28" s="855"/>
      <c r="S28" s="855"/>
      <c r="T28" s="855"/>
      <c r="U28" s="855"/>
      <c r="V28" s="855"/>
      <c r="W28" s="855"/>
      <c r="X28" s="855"/>
    </row>
    <row r="29" spans="1:24" ht="18" customHeight="1">
      <c r="A29" s="803"/>
      <c r="B29" s="804"/>
      <c r="C29" s="804"/>
      <c r="D29" s="804" t="s">
        <v>527</v>
      </c>
      <c r="E29" s="804"/>
      <c r="F29" s="805"/>
      <c r="G29" s="806" t="s">
        <v>585</v>
      </c>
      <c r="H29" s="810" t="s">
        <v>675</v>
      </c>
      <c r="I29" s="811">
        <v>0</v>
      </c>
      <c r="J29" s="812">
        <v>0</v>
      </c>
      <c r="K29" s="812">
        <f>91800-J29</f>
        <v>91800</v>
      </c>
      <c r="L29" s="812">
        <f t="shared" si="0"/>
        <v>91800</v>
      </c>
      <c r="M29" s="812">
        <v>91800</v>
      </c>
      <c r="O29" s="855"/>
      <c r="P29" s="855"/>
      <c r="Q29" s="855"/>
      <c r="R29" s="855"/>
      <c r="S29" s="855"/>
    </row>
    <row r="30" spans="1:24" ht="18" customHeight="1">
      <c r="A30" s="803"/>
      <c r="B30" s="804"/>
      <c r="C30" s="804"/>
      <c r="D30" s="804" t="s">
        <v>529</v>
      </c>
      <c r="E30" s="804"/>
      <c r="F30" s="805"/>
      <c r="G30" s="806" t="s">
        <v>586</v>
      </c>
      <c r="H30" s="810" t="s">
        <v>676</v>
      </c>
      <c r="I30" s="811">
        <f>84000</f>
        <v>84000</v>
      </c>
      <c r="J30" s="812">
        <v>144000</v>
      </c>
      <c r="K30" s="812">
        <f>186000-J30</f>
        <v>42000</v>
      </c>
      <c r="L30" s="812">
        <f t="shared" si="0"/>
        <v>186000</v>
      </c>
      <c r="M30" s="812">
        <v>186000</v>
      </c>
      <c r="O30" s="855"/>
      <c r="P30" s="855"/>
      <c r="Q30" s="855"/>
      <c r="R30" s="855"/>
      <c r="S30" s="855"/>
    </row>
    <row r="31" spans="1:24" ht="18" customHeight="1">
      <c r="A31" s="803"/>
      <c r="B31" s="804"/>
      <c r="C31" s="804"/>
      <c r="D31" s="804" t="s">
        <v>670</v>
      </c>
      <c r="E31" s="804"/>
      <c r="F31" s="805"/>
      <c r="G31" s="806" t="s">
        <v>588</v>
      </c>
      <c r="H31" s="810" t="s">
        <v>677</v>
      </c>
      <c r="I31" s="811">
        <f>70000</f>
        <v>70000</v>
      </c>
      <c r="J31" s="812">
        <v>0</v>
      </c>
      <c r="K31" s="812">
        <f>155000-J31</f>
        <v>155000</v>
      </c>
      <c r="L31" s="812">
        <f t="shared" si="0"/>
        <v>155000</v>
      </c>
      <c r="M31" s="812">
        <v>155000</v>
      </c>
      <c r="O31" s="855"/>
      <c r="P31" s="855"/>
      <c r="Q31" s="855"/>
      <c r="R31" s="855"/>
      <c r="S31" s="855"/>
    </row>
    <row r="32" spans="1:24" ht="18" customHeight="1">
      <c r="A32" s="803"/>
      <c r="B32" s="804"/>
      <c r="C32" s="804"/>
      <c r="D32" s="804" t="s">
        <v>531</v>
      </c>
      <c r="E32" s="804"/>
      <c r="F32" s="805"/>
      <c r="G32" s="806" t="s">
        <v>425</v>
      </c>
      <c r="H32" s="810" t="s">
        <v>678</v>
      </c>
      <c r="I32" s="811">
        <v>0</v>
      </c>
      <c r="J32" s="812">
        <v>0</v>
      </c>
      <c r="K32" s="812">
        <f>0-J32</f>
        <v>0</v>
      </c>
      <c r="L32" s="812">
        <f t="shared" si="0"/>
        <v>0</v>
      </c>
      <c r="M32" s="812">
        <v>10000</v>
      </c>
      <c r="O32" s="855"/>
      <c r="P32" s="855"/>
      <c r="Q32" s="855"/>
      <c r="R32" s="855"/>
      <c r="S32" s="855"/>
    </row>
    <row r="33" spans="1:19" ht="18" customHeight="1">
      <c r="A33" s="803"/>
      <c r="B33" s="804"/>
      <c r="C33" s="804"/>
      <c r="D33" s="804" t="s">
        <v>1492</v>
      </c>
      <c r="E33" s="804"/>
      <c r="F33" s="805"/>
      <c r="G33" s="806"/>
      <c r="H33" s="810" t="s">
        <v>678</v>
      </c>
      <c r="I33" s="811">
        <f>2000000</f>
        <v>2000000</v>
      </c>
      <c r="J33" s="812">
        <v>0</v>
      </c>
      <c r="K33" s="812">
        <f>0-J33</f>
        <v>0</v>
      </c>
      <c r="L33" s="812">
        <f t="shared" si="0"/>
        <v>0</v>
      </c>
      <c r="M33" s="812">
        <v>0</v>
      </c>
      <c r="O33" s="855"/>
      <c r="P33" s="855"/>
      <c r="Q33" s="855"/>
      <c r="R33" s="855"/>
      <c r="S33" s="855"/>
    </row>
    <row r="34" spans="1:19" ht="18" customHeight="1">
      <c r="A34" s="803"/>
      <c r="B34" s="804"/>
      <c r="C34" s="804"/>
      <c r="D34" s="804" t="s">
        <v>533</v>
      </c>
      <c r="E34" s="804"/>
      <c r="F34" s="805"/>
      <c r="G34" s="806" t="s">
        <v>591</v>
      </c>
      <c r="H34" s="810" t="s">
        <v>679</v>
      </c>
      <c r="I34" s="811">
        <f>67500</f>
        <v>67500</v>
      </c>
      <c r="J34" s="812">
        <v>0</v>
      </c>
      <c r="K34" s="812">
        <f>155000-J34</f>
        <v>155000</v>
      </c>
      <c r="L34" s="812">
        <f t="shared" si="0"/>
        <v>155000</v>
      </c>
      <c r="M34" s="812">
        <v>155000</v>
      </c>
      <c r="O34" s="855"/>
      <c r="P34" s="855"/>
      <c r="Q34" s="855"/>
      <c r="R34" s="855"/>
      <c r="S34" s="855"/>
    </row>
    <row r="35" spans="1:19" ht="18" customHeight="1">
      <c r="A35" s="803"/>
      <c r="B35" s="804"/>
      <c r="C35" s="804"/>
      <c r="D35" s="804" t="s">
        <v>790</v>
      </c>
      <c r="E35" s="804"/>
      <c r="F35" s="804"/>
      <c r="G35" s="814" t="s">
        <v>425</v>
      </c>
      <c r="H35" s="810" t="s">
        <v>678</v>
      </c>
      <c r="I35" s="811">
        <f>264168</f>
        <v>264168</v>
      </c>
      <c r="J35" s="812">
        <v>447391</v>
      </c>
      <c r="K35" s="812">
        <f>597177-J35</f>
        <v>149786</v>
      </c>
      <c r="L35" s="812">
        <f t="shared" si="0"/>
        <v>597177</v>
      </c>
      <c r="M35" s="812">
        <v>620587</v>
      </c>
      <c r="O35" s="855"/>
      <c r="P35" s="855"/>
      <c r="Q35" s="855"/>
      <c r="R35" s="855"/>
      <c r="S35" s="855"/>
    </row>
    <row r="36" spans="1:19" ht="18" customHeight="1">
      <c r="A36" s="803"/>
      <c r="B36" s="804"/>
      <c r="C36" s="804"/>
      <c r="D36" s="804" t="s">
        <v>1580</v>
      </c>
      <c r="E36" s="804"/>
      <c r="F36" s="804"/>
      <c r="G36" s="814"/>
      <c r="H36" s="810" t="s">
        <v>678</v>
      </c>
      <c r="I36" s="811">
        <f>33000</f>
        <v>33000</v>
      </c>
      <c r="J36" s="812">
        <v>0</v>
      </c>
      <c r="K36" s="812">
        <f>0-J36</f>
        <v>0</v>
      </c>
      <c r="L36" s="812">
        <f t="shared" si="0"/>
        <v>0</v>
      </c>
      <c r="M36" s="812">
        <v>0</v>
      </c>
      <c r="O36" s="855"/>
      <c r="P36" s="855"/>
      <c r="Q36" s="855"/>
      <c r="R36" s="855"/>
      <c r="S36" s="855"/>
    </row>
    <row r="37" spans="1:19" ht="18" customHeight="1">
      <c r="A37" s="803"/>
      <c r="B37" s="804"/>
      <c r="C37" s="804"/>
      <c r="D37" s="804" t="s">
        <v>360</v>
      </c>
      <c r="E37" s="804"/>
      <c r="F37" s="805"/>
      <c r="G37" s="814" t="s">
        <v>589</v>
      </c>
      <c r="H37" s="810" t="s">
        <v>695</v>
      </c>
      <c r="I37" s="811">
        <v>0</v>
      </c>
      <c r="J37" s="812">
        <f>12704.93</f>
        <v>12704.93</v>
      </c>
      <c r="K37" s="812">
        <f>15000-J37</f>
        <v>2295.0699999999997</v>
      </c>
      <c r="L37" s="812">
        <f t="shared" si="0"/>
        <v>15000</v>
      </c>
      <c r="M37" s="812">
        <v>50000</v>
      </c>
      <c r="O37" s="855"/>
      <c r="P37" s="855"/>
      <c r="Q37" s="855"/>
      <c r="R37" s="855"/>
      <c r="S37" s="855"/>
    </row>
    <row r="38" spans="1:19" ht="18" customHeight="1">
      <c r="A38" s="803"/>
      <c r="B38" s="804"/>
      <c r="C38" s="804"/>
      <c r="D38" s="804" t="s">
        <v>534</v>
      </c>
      <c r="E38" s="804"/>
      <c r="F38" s="805"/>
      <c r="G38" s="806" t="s">
        <v>592</v>
      </c>
      <c r="H38" s="810" t="s">
        <v>680</v>
      </c>
      <c r="I38" s="811">
        <f>306149</f>
        <v>306149</v>
      </c>
      <c r="J38" s="812">
        <v>0</v>
      </c>
      <c r="K38" s="812">
        <f>599807-J38</f>
        <v>599807</v>
      </c>
      <c r="L38" s="812">
        <f t="shared" si="0"/>
        <v>599807</v>
      </c>
      <c r="M38" s="812">
        <v>620587</v>
      </c>
      <c r="O38" s="855"/>
      <c r="P38" s="855"/>
      <c r="Q38" s="855"/>
      <c r="R38" s="855"/>
      <c r="S38" s="855"/>
    </row>
    <row r="39" spans="1:19" ht="18" customHeight="1">
      <c r="A39" s="803"/>
      <c r="B39" s="804"/>
      <c r="C39" s="804"/>
      <c r="D39" s="804" t="s">
        <v>646</v>
      </c>
      <c r="E39" s="804"/>
      <c r="F39" s="805"/>
      <c r="G39" s="806" t="s">
        <v>593</v>
      </c>
      <c r="H39" s="810" t="s">
        <v>681</v>
      </c>
      <c r="I39" s="811">
        <f>401987.76</f>
        <v>401987.76</v>
      </c>
      <c r="J39" s="812">
        <v>232747.08</v>
      </c>
      <c r="K39" s="812">
        <f>866500-J39</f>
        <v>633752.92000000004</v>
      </c>
      <c r="L39" s="812">
        <f t="shared" si="0"/>
        <v>866500</v>
      </c>
      <c r="M39" s="812">
        <v>894000</v>
      </c>
      <c r="O39" s="855"/>
      <c r="P39" s="855"/>
      <c r="Q39" s="855"/>
      <c r="R39" s="855"/>
      <c r="S39" s="855"/>
    </row>
    <row r="40" spans="1:19" ht="18" customHeight="1">
      <c r="A40" s="803"/>
      <c r="B40" s="804"/>
      <c r="C40" s="804"/>
      <c r="D40" s="804" t="s">
        <v>535</v>
      </c>
      <c r="E40" s="804"/>
      <c r="F40" s="805"/>
      <c r="G40" s="806" t="s">
        <v>594</v>
      </c>
      <c r="H40" s="810" t="s">
        <v>682</v>
      </c>
      <c r="I40" s="811">
        <f>15500</f>
        <v>15500</v>
      </c>
      <c r="J40" s="812">
        <v>12200</v>
      </c>
      <c r="K40" s="812">
        <f>55800-J40</f>
        <v>43600</v>
      </c>
      <c r="L40" s="812">
        <f t="shared" si="0"/>
        <v>55800</v>
      </c>
      <c r="M40" s="812">
        <v>55800</v>
      </c>
      <c r="O40" s="855"/>
      <c r="P40" s="855"/>
      <c r="Q40" s="855"/>
      <c r="R40" s="855"/>
      <c r="S40" s="855"/>
    </row>
    <row r="41" spans="1:19" ht="18" customHeight="1">
      <c r="A41" s="803"/>
      <c r="B41" s="804"/>
      <c r="C41" s="804"/>
      <c r="D41" s="804" t="s">
        <v>536</v>
      </c>
      <c r="E41" s="804"/>
      <c r="F41" s="805"/>
      <c r="G41" s="806" t="s">
        <v>595</v>
      </c>
      <c r="H41" s="810" t="s">
        <v>683</v>
      </c>
      <c r="I41" s="811">
        <f>44340</f>
        <v>44340</v>
      </c>
      <c r="J41" s="812">
        <v>29550</v>
      </c>
      <c r="K41" s="812">
        <f>146900-J41</f>
        <v>117350</v>
      </c>
      <c r="L41" s="812">
        <f t="shared" si="0"/>
        <v>146900</v>
      </c>
      <c r="M41" s="812">
        <v>168000</v>
      </c>
      <c r="O41" s="855"/>
      <c r="P41" s="855"/>
      <c r="Q41" s="855"/>
      <c r="R41" s="855"/>
      <c r="S41" s="855"/>
    </row>
    <row r="42" spans="1:19" ht="18" customHeight="1">
      <c r="A42" s="803"/>
      <c r="B42" s="804"/>
      <c r="C42" s="804"/>
      <c r="D42" s="804" t="s">
        <v>642</v>
      </c>
      <c r="E42" s="804"/>
      <c r="F42" s="805"/>
      <c r="G42" s="806" t="s">
        <v>596</v>
      </c>
      <c r="H42" s="810" t="s">
        <v>684</v>
      </c>
      <c r="I42" s="811">
        <f>13900+2494.54</f>
        <v>16394.54</v>
      </c>
      <c r="J42" s="812">
        <v>11000</v>
      </c>
      <c r="K42" s="812">
        <f>37200-J42</f>
        <v>26200</v>
      </c>
      <c r="L42" s="812">
        <f t="shared" si="0"/>
        <v>37200</v>
      </c>
      <c r="M42" s="812">
        <v>37200</v>
      </c>
      <c r="O42" s="855"/>
      <c r="P42" s="855"/>
      <c r="Q42" s="855"/>
      <c r="R42" s="855"/>
      <c r="S42" s="855"/>
    </row>
    <row r="43" spans="1:19" ht="18" customHeight="1">
      <c r="A43" s="803"/>
      <c r="B43" s="804"/>
      <c r="C43" s="804"/>
      <c r="D43" s="804" t="s">
        <v>365</v>
      </c>
      <c r="E43" s="804"/>
      <c r="F43" s="805"/>
      <c r="G43" s="806" t="s">
        <v>597</v>
      </c>
      <c r="H43" s="810" t="s">
        <v>685</v>
      </c>
      <c r="I43" s="811">
        <f>195993.71</f>
        <v>195993.71</v>
      </c>
      <c r="J43" s="812">
        <v>59163.3</v>
      </c>
      <c r="K43" s="812">
        <f>1300000-J43</f>
        <v>1240836.7</v>
      </c>
      <c r="L43" s="812">
        <f t="shared" si="0"/>
        <v>1300000</v>
      </c>
      <c r="M43" s="812">
        <v>0</v>
      </c>
      <c r="O43" s="855"/>
      <c r="P43" s="855"/>
      <c r="Q43" s="855"/>
      <c r="R43" s="855"/>
      <c r="S43" s="855"/>
    </row>
    <row r="44" spans="1:19" ht="18" customHeight="1">
      <c r="A44" s="803"/>
      <c r="B44" s="804"/>
      <c r="C44" s="804"/>
      <c r="D44" s="804" t="s">
        <v>538</v>
      </c>
      <c r="E44" s="804"/>
      <c r="F44" s="805"/>
      <c r="G44" s="806" t="s">
        <v>388</v>
      </c>
      <c r="H44" s="810" t="s">
        <v>696</v>
      </c>
      <c r="I44" s="811">
        <f>159055.29</f>
        <v>159055.29</v>
      </c>
      <c r="J44" s="812">
        <v>0</v>
      </c>
      <c r="K44" s="812">
        <f>0-J44</f>
        <v>0</v>
      </c>
      <c r="L44" s="812">
        <f t="shared" si="0"/>
        <v>0</v>
      </c>
      <c r="M44" s="812">
        <v>0</v>
      </c>
      <c r="O44" s="855"/>
      <c r="P44" s="855"/>
      <c r="Q44" s="855"/>
      <c r="R44" s="855"/>
      <c r="S44" s="855"/>
    </row>
    <row r="45" spans="1:19" ht="18" customHeight="1">
      <c r="A45" s="803"/>
      <c r="B45" s="804"/>
      <c r="C45" s="804"/>
      <c r="D45" s="804" t="s">
        <v>1493</v>
      </c>
      <c r="E45" s="804"/>
      <c r="F45" s="805"/>
      <c r="G45" s="806"/>
      <c r="H45" s="810" t="s">
        <v>696</v>
      </c>
      <c r="I45" s="811">
        <f>480000</f>
        <v>480000</v>
      </c>
      <c r="J45" s="812">
        <v>0</v>
      </c>
      <c r="K45" s="812">
        <f>0-J45</f>
        <v>0</v>
      </c>
      <c r="L45" s="812">
        <f t="shared" si="0"/>
        <v>0</v>
      </c>
      <c r="M45" s="812">
        <v>0</v>
      </c>
      <c r="O45" s="855"/>
      <c r="P45" s="855"/>
      <c r="Q45" s="855"/>
      <c r="R45" s="855"/>
      <c r="S45" s="855"/>
    </row>
    <row r="46" spans="1:19" s="820" customFormat="1" ht="18" customHeight="1">
      <c r="A46" s="815"/>
      <c r="B46" s="816"/>
      <c r="C46" s="816"/>
      <c r="D46" s="816" t="s">
        <v>364</v>
      </c>
      <c r="E46" s="816"/>
      <c r="F46" s="817"/>
      <c r="G46" s="818"/>
      <c r="H46" s="807"/>
      <c r="I46" s="819">
        <f>SUM(I24:I45)</f>
        <v>8178823.6200000001</v>
      </c>
      <c r="J46" s="819">
        <f>SUM(J24:J45)</f>
        <v>4129017.86</v>
      </c>
      <c r="K46" s="819">
        <f>SUM(K24:K45)</f>
        <v>8092923.1400000006</v>
      </c>
      <c r="L46" s="819">
        <f>SUM(L24:L45)</f>
        <v>12221941</v>
      </c>
      <c r="M46" s="819">
        <f>SUM(M24:M45)</f>
        <v>11326482</v>
      </c>
    </row>
    <row r="47" spans="1:19" ht="18" customHeight="1">
      <c r="A47" s="803"/>
      <c r="B47" s="804" t="s">
        <v>539</v>
      </c>
      <c r="C47" s="804"/>
      <c r="D47" s="804"/>
      <c r="E47" s="804"/>
      <c r="F47" s="805"/>
      <c r="G47" s="806"/>
      <c r="H47" s="813"/>
      <c r="I47" s="811"/>
      <c r="J47" s="812"/>
      <c r="K47" s="812"/>
      <c r="L47" s="812"/>
      <c r="M47" s="812"/>
    </row>
    <row r="48" spans="1:19" ht="18" customHeight="1">
      <c r="A48" s="803"/>
      <c r="B48" s="804"/>
      <c r="C48" s="804"/>
      <c r="D48" s="804" t="s">
        <v>540</v>
      </c>
      <c r="E48" s="804"/>
      <c r="F48" s="805"/>
      <c r="G48" s="806" t="s">
        <v>376</v>
      </c>
      <c r="H48" s="810" t="s">
        <v>686</v>
      </c>
      <c r="I48" s="811">
        <f>490969.36</f>
        <v>490969.36</v>
      </c>
      <c r="J48" s="812">
        <v>464419</v>
      </c>
      <c r="K48" s="812">
        <f>650000-J48</f>
        <v>185581</v>
      </c>
      <c r="L48" s="812">
        <f t="shared" ref="L48:L58" si="1">SUM(K48+J48)</f>
        <v>650000</v>
      </c>
      <c r="M48" s="812">
        <v>650000</v>
      </c>
    </row>
    <row r="49" spans="1:19" ht="18" customHeight="1">
      <c r="A49" s="803"/>
      <c r="B49" s="804"/>
      <c r="C49" s="804"/>
      <c r="D49" s="804" t="s">
        <v>421</v>
      </c>
      <c r="E49" s="804"/>
      <c r="F49" s="805"/>
      <c r="G49" s="806" t="s">
        <v>377</v>
      </c>
      <c r="H49" s="810" t="s">
        <v>687</v>
      </c>
      <c r="I49" s="811">
        <f>135741+25650</f>
        <v>161391</v>
      </c>
      <c r="J49" s="812">
        <v>30700</v>
      </c>
      <c r="K49" s="812">
        <f>450000-J49</f>
        <v>419300</v>
      </c>
      <c r="L49" s="812">
        <f t="shared" si="1"/>
        <v>450000</v>
      </c>
      <c r="M49" s="812">
        <v>450000</v>
      </c>
    </row>
    <row r="50" spans="1:19" ht="18" customHeight="1">
      <c r="A50" s="803"/>
      <c r="B50" s="804"/>
      <c r="C50" s="804"/>
      <c r="D50" s="804" t="s">
        <v>371</v>
      </c>
      <c r="E50" s="804"/>
      <c r="F50" s="805"/>
      <c r="G50" s="806" t="s">
        <v>379</v>
      </c>
      <c r="H50" s="810" t="s">
        <v>688</v>
      </c>
      <c r="I50" s="811">
        <f>1197205.49</f>
        <v>1197205.49</v>
      </c>
      <c r="J50" s="812">
        <v>626877.52</v>
      </c>
      <c r="K50" s="812">
        <f>1300000-J50</f>
        <v>673122.48</v>
      </c>
      <c r="L50" s="812">
        <f t="shared" si="1"/>
        <v>1300000</v>
      </c>
      <c r="M50" s="812">
        <v>1300000</v>
      </c>
      <c r="N50" s="821"/>
    </row>
    <row r="51" spans="1:19" ht="18" customHeight="1">
      <c r="A51" s="803"/>
      <c r="B51" s="804"/>
      <c r="C51" s="804"/>
      <c r="D51" s="804" t="s">
        <v>544</v>
      </c>
      <c r="E51" s="804"/>
      <c r="F51" s="805"/>
      <c r="G51" s="806" t="s">
        <v>601</v>
      </c>
      <c r="H51" s="810" t="s">
        <v>689</v>
      </c>
      <c r="I51" s="811">
        <v>0</v>
      </c>
      <c r="J51" s="812">
        <v>0</v>
      </c>
      <c r="K51" s="812">
        <f>10000-J51</f>
        <v>10000</v>
      </c>
      <c r="L51" s="812">
        <f t="shared" si="1"/>
        <v>10000</v>
      </c>
      <c r="M51" s="812">
        <v>10000</v>
      </c>
    </row>
    <row r="52" spans="1:19" ht="18" customHeight="1">
      <c r="A52" s="803"/>
      <c r="B52" s="804"/>
      <c r="C52" s="804"/>
      <c r="D52" s="804" t="s">
        <v>546</v>
      </c>
      <c r="E52" s="804"/>
      <c r="F52" s="805"/>
      <c r="G52" s="806" t="s">
        <v>380</v>
      </c>
      <c r="H52" s="810" t="s">
        <v>690</v>
      </c>
      <c r="I52" s="811">
        <f>72000</f>
        <v>72000</v>
      </c>
      <c r="J52" s="812">
        <v>36000</v>
      </c>
      <c r="K52" s="812">
        <f>72000-J52</f>
        <v>36000</v>
      </c>
      <c r="L52" s="812">
        <f t="shared" si="1"/>
        <v>72000</v>
      </c>
      <c r="M52" s="812">
        <v>108000</v>
      </c>
    </row>
    <row r="53" spans="1:19" ht="18" customHeight="1">
      <c r="A53" s="803"/>
      <c r="B53" s="804"/>
      <c r="C53" s="804"/>
      <c r="D53" s="804" t="s">
        <v>902</v>
      </c>
      <c r="E53" s="804"/>
      <c r="F53" s="805"/>
      <c r="G53" s="806" t="s">
        <v>381</v>
      </c>
      <c r="H53" s="810" t="s">
        <v>691</v>
      </c>
      <c r="I53" s="811">
        <f>275818.61</f>
        <v>275818.61</v>
      </c>
      <c r="J53" s="812">
        <v>64768</v>
      </c>
      <c r="K53" s="812">
        <f>300000-J53</f>
        <v>235232</v>
      </c>
      <c r="L53" s="812">
        <f t="shared" si="1"/>
        <v>300000</v>
      </c>
      <c r="M53" s="812">
        <v>300000</v>
      </c>
      <c r="O53" s="855"/>
      <c r="P53" s="855"/>
      <c r="Q53" s="855"/>
      <c r="R53" s="855"/>
      <c r="S53" s="855"/>
    </row>
    <row r="54" spans="1:19" ht="18" customHeight="1">
      <c r="A54" s="803"/>
      <c r="B54" s="804"/>
      <c r="C54" s="804"/>
      <c r="D54" s="804" t="s">
        <v>549</v>
      </c>
      <c r="E54" s="804"/>
      <c r="F54" s="805"/>
      <c r="G54" s="806" t="s">
        <v>606</v>
      </c>
      <c r="H54" s="810" t="s">
        <v>704</v>
      </c>
      <c r="I54" s="811">
        <f>9975</f>
        <v>9975</v>
      </c>
      <c r="J54" s="812">
        <v>22500</v>
      </c>
      <c r="K54" s="812">
        <f>55755-J54</f>
        <v>33255</v>
      </c>
      <c r="L54" s="812">
        <f t="shared" si="1"/>
        <v>55755</v>
      </c>
      <c r="M54" s="812">
        <v>82601</v>
      </c>
    </row>
    <row r="55" spans="1:19" ht="18" customHeight="1">
      <c r="A55" s="803"/>
      <c r="B55" s="804"/>
      <c r="C55" s="804"/>
      <c r="D55" s="804" t="s">
        <v>552</v>
      </c>
      <c r="E55" s="804"/>
      <c r="F55" s="805"/>
      <c r="G55" s="806" t="s">
        <v>382</v>
      </c>
      <c r="H55" s="810" t="s">
        <v>692</v>
      </c>
      <c r="I55" s="811">
        <f>249972</f>
        <v>249972</v>
      </c>
      <c r="J55" s="812">
        <v>166479</v>
      </c>
      <c r="K55" s="812">
        <f>300000-J55</f>
        <v>133521</v>
      </c>
      <c r="L55" s="812">
        <f t="shared" si="1"/>
        <v>300000</v>
      </c>
      <c r="M55" s="812">
        <v>300000</v>
      </c>
    </row>
    <row r="56" spans="1:19" ht="18" customHeight="1">
      <c r="A56" s="803"/>
      <c r="B56" s="804"/>
      <c r="C56" s="804"/>
      <c r="D56" s="804" t="s">
        <v>1681</v>
      </c>
      <c r="E56" s="804"/>
      <c r="F56" s="805"/>
      <c r="G56" s="806"/>
      <c r="H56" s="810" t="s">
        <v>692</v>
      </c>
      <c r="I56" s="811">
        <f>272500</f>
        <v>272500</v>
      </c>
      <c r="J56" s="812">
        <v>0</v>
      </c>
      <c r="K56" s="812">
        <f>0-J56</f>
        <v>0</v>
      </c>
      <c r="L56" s="812">
        <f t="shared" si="1"/>
        <v>0</v>
      </c>
      <c r="M56" s="812">
        <v>0</v>
      </c>
    </row>
    <row r="57" spans="1:19" ht="18" customHeight="1">
      <c r="A57" s="803"/>
      <c r="B57" s="804"/>
      <c r="C57" s="804"/>
      <c r="D57" s="804" t="s">
        <v>1682</v>
      </c>
      <c r="E57" s="804"/>
      <c r="F57" s="805"/>
      <c r="G57" s="806"/>
      <c r="H57" s="810" t="s">
        <v>692</v>
      </c>
      <c r="I57" s="811">
        <f>325000</f>
        <v>325000</v>
      </c>
      <c r="J57" s="812">
        <v>0</v>
      </c>
      <c r="K57" s="812">
        <f>0-J57</f>
        <v>0</v>
      </c>
      <c r="L57" s="812">
        <f t="shared" si="1"/>
        <v>0</v>
      </c>
      <c r="M57" s="812">
        <v>0</v>
      </c>
    </row>
    <row r="58" spans="1:19" ht="18" customHeight="1">
      <c r="A58" s="803"/>
      <c r="B58" s="804"/>
      <c r="C58" s="804"/>
      <c r="D58" s="804" t="s">
        <v>1581</v>
      </c>
      <c r="E58" s="804"/>
      <c r="F58" s="805"/>
      <c r="G58" s="806"/>
      <c r="H58" s="810" t="s">
        <v>692</v>
      </c>
      <c r="I58" s="811">
        <f>990000</f>
        <v>990000</v>
      </c>
      <c r="J58" s="812">
        <v>0</v>
      </c>
      <c r="K58" s="812">
        <f>0-J58</f>
        <v>0</v>
      </c>
      <c r="L58" s="812">
        <f t="shared" si="1"/>
        <v>0</v>
      </c>
      <c r="M58" s="812">
        <v>0</v>
      </c>
    </row>
    <row r="59" spans="1:19" s="820" customFormat="1" ht="18" customHeight="1">
      <c r="A59" s="815"/>
      <c r="B59" s="816"/>
      <c r="C59" s="816"/>
      <c r="D59" s="816" t="s">
        <v>737</v>
      </c>
      <c r="E59" s="816"/>
      <c r="F59" s="817"/>
      <c r="G59" s="818"/>
      <c r="H59" s="807"/>
      <c r="I59" s="819">
        <f>SUM(I48:I58)</f>
        <v>4044831.46</v>
      </c>
      <c r="J59" s="819">
        <f>SUM(J48:J58)</f>
        <v>1411743.52</v>
      </c>
      <c r="K59" s="819">
        <f>SUM(K48:K58)</f>
        <v>1726011.48</v>
      </c>
      <c r="L59" s="819">
        <f>SUM(L48:L58)</f>
        <v>3137755</v>
      </c>
      <c r="M59" s="819">
        <f>SUM(M48:M58)</f>
        <v>3200601</v>
      </c>
      <c r="O59" s="894"/>
      <c r="P59" s="894"/>
      <c r="Q59" s="894"/>
      <c r="R59" s="894"/>
      <c r="S59" s="894"/>
    </row>
    <row r="60" spans="1:19" ht="18" customHeight="1">
      <c r="A60" s="803"/>
      <c r="B60" s="804" t="s">
        <v>553</v>
      </c>
      <c r="C60" s="804"/>
      <c r="D60" s="804"/>
      <c r="E60" s="804"/>
      <c r="F60" s="805"/>
      <c r="G60" s="806"/>
      <c r="H60" s="813"/>
      <c r="I60" s="811"/>
      <c r="J60" s="812"/>
      <c r="K60" s="812"/>
      <c r="L60" s="812"/>
      <c r="M60" s="812"/>
    </row>
    <row r="61" spans="1:19" ht="18" customHeight="1">
      <c r="A61" s="803"/>
      <c r="B61" s="804"/>
      <c r="C61" s="804"/>
      <c r="D61" s="804" t="s">
        <v>671</v>
      </c>
      <c r="E61" s="804"/>
      <c r="F61" s="805"/>
      <c r="G61" s="806" t="s">
        <v>830</v>
      </c>
      <c r="H61" s="810" t="s">
        <v>831</v>
      </c>
      <c r="I61" s="811">
        <f>46408</f>
        <v>46408</v>
      </c>
      <c r="J61" s="811">
        <v>315884</v>
      </c>
      <c r="K61" s="811">
        <f>400000+400000-J61</f>
        <v>484116</v>
      </c>
      <c r="L61" s="812">
        <f t="shared" ref="L61:L68" si="2">SUM(K61+J61)</f>
        <v>800000</v>
      </c>
      <c r="M61" s="812">
        <v>0</v>
      </c>
    </row>
    <row r="62" spans="1:19" ht="18" hidden="1" customHeight="1">
      <c r="A62" s="803"/>
      <c r="B62" s="804"/>
      <c r="C62" s="804"/>
      <c r="D62" s="804" t="s">
        <v>836</v>
      </c>
      <c r="E62" s="804"/>
      <c r="F62" s="805"/>
      <c r="G62" s="806" t="s">
        <v>914</v>
      </c>
      <c r="H62" s="810" t="s">
        <v>837</v>
      </c>
      <c r="I62" s="811">
        <v>0</v>
      </c>
      <c r="J62" s="812">
        <v>0</v>
      </c>
      <c r="K62" s="811">
        <f>0-J62</f>
        <v>0</v>
      </c>
      <c r="L62" s="812">
        <f t="shared" si="2"/>
        <v>0</v>
      </c>
      <c r="M62" s="812">
        <v>0</v>
      </c>
    </row>
    <row r="63" spans="1:19" ht="18" hidden="1" customHeight="1">
      <c r="A63" s="803"/>
      <c r="B63" s="804"/>
      <c r="C63" s="804"/>
      <c r="D63" s="804" t="s">
        <v>1467</v>
      </c>
      <c r="E63" s="804"/>
      <c r="F63" s="805"/>
      <c r="G63" s="806"/>
      <c r="H63" s="810" t="s">
        <v>1466</v>
      </c>
      <c r="I63" s="811">
        <v>0</v>
      </c>
      <c r="J63" s="812">
        <v>0</v>
      </c>
      <c r="K63" s="811">
        <f>0-J63</f>
        <v>0</v>
      </c>
      <c r="L63" s="812">
        <f t="shared" si="2"/>
        <v>0</v>
      </c>
      <c r="M63" s="812">
        <v>0</v>
      </c>
    </row>
    <row r="64" spans="1:19" ht="18" customHeight="1">
      <c r="A64" s="803"/>
      <c r="B64" s="804"/>
      <c r="C64" s="804"/>
      <c r="D64" s="804" t="s">
        <v>838</v>
      </c>
      <c r="E64" s="804"/>
      <c r="F64" s="805"/>
      <c r="G64" s="806" t="s">
        <v>915</v>
      </c>
      <c r="H64" s="810" t="s">
        <v>841</v>
      </c>
      <c r="I64" s="811">
        <f>600000</f>
        <v>600000</v>
      </c>
      <c r="J64" s="812">
        <v>0</v>
      </c>
      <c r="K64" s="811">
        <f>8800000+200000-J64</f>
        <v>9000000</v>
      </c>
      <c r="L64" s="812">
        <f t="shared" si="2"/>
        <v>9000000</v>
      </c>
      <c r="M64" s="812">
        <v>1000000</v>
      </c>
    </row>
    <row r="65" spans="1:19" ht="18" customHeight="1">
      <c r="A65" s="803"/>
      <c r="B65" s="804"/>
      <c r="C65" s="804"/>
      <c r="D65" s="804" t="s">
        <v>1463</v>
      </c>
      <c r="E65" s="804"/>
      <c r="F65" s="805"/>
      <c r="G65" s="806"/>
      <c r="H65" s="810" t="s">
        <v>923</v>
      </c>
      <c r="I65" s="811">
        <f>2198847.61+499728.33</f>
        <v>2698575.94</v>
      </c>
      <c r="J65" s="812">
        <v>0</v>
      </c>
      <c r="K65" s="811">
        <f>0-J65</f>
        <v>0</v>
      </c>
      <c r="L65" s="812">
        <f t="shared" si="2"/>
        <v>0</v>
      </c>
      <c r="M65" s="812">
        <v>0</v>
      </c>
    </row>
    <row r="66" spans="1:19" ht="18" customHeight="1">
      <c r="A66" s="803"/>
      <c r="B66" s="804"/>
      <c r="C66" s="804"/>
      <c r="D66" s="804" t="s">
        <v>1523</v>
      </c>
      <c r="E66" s="804"/>
      <c r="F66" s="805"/>
      <c r="G66" s="806"/>
      <c r="H66" s="810" t="s">
        <v>1522</v>
      </c>
      <c r="I66" s="811">
        <f>499846.56</f>
        <v>499846.56</v>
      </c>
      <c r="J66" s="812">
        <v>0</v>
      </c>
      <c r="K66" s="811">
        <f>0-J66</f>
        <v>0</v>
      </c>
      <c r="L66" s="812">
        <f t="shared" si="2"/>
        <v>0</v>
      </c>
      <c r="M66" s="812">
        <v>0</v>
      </c>
    </row>
    <row r="67" spans="1:19" ht="18" hidden="1" customHeight="1">
      <c r="A67" s="803"/>
      <c r="B67" s="804"/>
      <c r="C67" s="804"/>
      <c r="D67" s="804" t="s">
        <v>1638</v>
      </c>
      <c r="E67" s="804"/>
      <c r="F67" s="805"/>
      <c r="G67" s="806"/>
      <c r="H67" s="810" t="s">
        <v>1639</v>
      </c>
      <c r="I67" s="811">
        <v>0</v>
      </c>
      <c r="J67" s="812">
        <v>0</v>
      </c>
      <c r="K67" s="811">
        <v>0</v>
      </c>
      <c r="L67" s="812">
        <v>0</v>
      </c>
      <c r="M67" s="812">
        <v>0</v>
      </c>
    </row>
    <row r="68" spans="1:19" ht="18" customHeight="1">
      <c r="A68" s="803"/>
      <c r="B68" s="804"/>
      <c r="C68" s="804"/>
      <c r="D68" s="804" t="s">
        <v>903</v>
      </c>
      <c r="E68" s="804"/>
      <c r="F68" s="805"/>
      <c r="G68" s="806" t="s">
        <v>924</v>
      </c>
      <c r="H68" s="810" t="s">
        <v>904</v>
      </c>
      <c r="I68" s="811">
        <f>799663.05+99948</f>
        <v>899611.05</v>
      </c>
      <c r="J68" s="812">
        <v>0</v>
      </c>
      <c r="K68" s="811">
        <f>300000-J68</f>
        <v>300000</v>
      </c>
      <c r="L68" s="812">
        <f t="shared" si="2"/>
        <v>300000</v>
      </c>
      <c r="M68" s="812">
        <v>900000</v>
      </c>
    </row>
    <row r="69" spans="1:19" s="820" customFormat="1" ht="18" customHeight="1">
      <c r="A69" s="815"/>
      <c r="B69" s="816"/>
      <c r="C69" s="816"/>
      <c r="D69" s="816" t="s">
        <v>782</v>
      </c>
      <c r="E69" s="816"/>
      <c r="F69" s="817"/>
      <c r="G69" s="818"/>
      <c r="H69" s="807"/>
      <c r="I69" s="819">
        <f>SUM(I61:I68)</f>
        <v>4744441.55</v>
      </c>
      <c r="J69" s="819">
        <f>SUM(J61:J68)</f>
        <v>315884</v>
      </c>
      <c r="K69" s="819">
        <f>SUM(K61:K68)</f>
        <v>9784116</v>
      </c>
      <c r="L69" s="819">
        <f>SUM(L61:L68)</f>
        <v>10100000</v>
      </c>
      <c r="M69" s="819">
        <f>SUM(M61:M68)</f>
        <v>1900000</v>
      </c>
      <c r="N69" s="959"/>
      <c r="O69" s="894"/>
      <c r="P69" s="894"/>
      <c r="Q69" s="894"/>
      <c r="R69" s="894"/>
      <c r="S69" s="894"/>
    </row>
    <row r="70" spans="1:19" s="820" customFormat="1" ht="18" customHeight="1">
      <c r="A70" s="815"/>
      <c r="B70" s="816"/>
      <c r="C70" s="816"/>
      <c r="D70" s="816"/>
      <c r="E70" s="816"/>
      <c r="F70" s="817"/>
      <c r="G70" s="818"/>
      <c r="H70" s="807"/>
      <c r="I70" s="819"/>
      <c r="J70" s="822"/>
      <c r="K70" s="822"/>
      <c r="L70" s="822"/>
      <c r="M70" s="822"/>
    </row>
    <row r="71" spans="1:19" s="820" customFormat="1" ht="18" customHeight="1">
      <c r="A71" s="823" t="s">
        <v>613</v>
      </c>
      <c r="B71" s="824"/>
      <c r="C71" s="824"/>
      <c r="D71" s="824"/>
      <c r="E71" s="824"/>
      <c r="F71" s="825"/>
      <c r="G71" s="826"/>
      <c r="H71" s="827"/>
      <c r="I71" s="828">
        <f>SUM(I69+I59+I46)</f>
        <v>16968096.629999999</v>
      </c>
      <c r="J71" s="828">
        <f>SUM(J69+J59+J46)</f>
        <v>5856645.3799999999</v>
      </c>
      <c r="K71" s="828">
        <f>SUM(K69+K59+K46)</f>
        <v>19603050.620000001</v>
      </c>
      <c r="L71" s="828">
        <f>SUM(L69+L59+L46)</f>
        <v>25459696</v>
      </c>
      <c r="M71" s="828">
        <f>SUM(M69+M59+M46)</f>
        <v>16427083</v>
      </c>
    </row>
    <row r="72" spans="1:19" ht="18" customHeight="1">
      <c r="A72" s="791"/>
      <c r="B72" s="829"/>
      <c r="C72" s="791"/>
      <c r="D72" s="791"/>
      <c r="E72" s="791"/>
      <c r="F72" s="791"/>
      <c r="G72" s="791"/>
      <c r="H72" s="830"/>
      <c r="I72" s="967"/>
      <c r="J72" s="831"/>
      <c r="K72" s="831"/>
      <c r="L72" s="831"/>
      <c r="M72" s="831"/>
    </row>
    <row r="73" spans="1:19" s="1323" customFormat="1" ht="18" customHeight="1">
      <c r="A73" s="1484" t="s">
        <v>1796</v>
      </c>
      <c r="B73" s="1484"/>
      <c r="C73" s="1484"/>
      <c r="D73" s="1484"/>
      <c r="E73" s="1484"/>
      <c r="F73" s="1484"/>
      <c r="G73" s="1484"/>
      <c r="H73" s="1484"/>
      <c r="I73" s="1484"/>
      <c r="J73" s="1484"/>
      <c r="K73" s="1484"/>
      <c r="L73" s="1484"/>
      <c r="M73" s="1484"/>
    </row>
    <row r="74" spans="1:19" s="1323" customFormat="1" ht="18" customHeight="1">
      <c r="A74" s="1324"/>
      <c r="B74" s="1325"/>
      <c r="C74" s="1324"/>
      <c r="D74" s="1324"/>
      <c r="E74" s="1324"/>
      <c r="F74" s="1326"/>
      <c r="G74" s="1327"/>
      <c r="H74" s="1328"/>
      <c r="I74" s="1328"/>
      <c r="K74" s="1044"/>
      <c r="L74" s="1044"/>
      <c r="M74" s="831"/>
    </row>
    <row r="75" spans="1:19" s="1323" customFormat="1" ht="20.100000000000001" customHeight="1">
      <c r="A75" s="1485" t="s">
        <v>1569</v>
      </c>
      <c r="B75" s="1485"/>
      <c r="C75" s="1485"/>
      <c r="D75" s="1485"/>
      <c r="E75" s="1485"/>
      <c r="F75" s="1485"/>
      <c r="G75" s="1485"/>
      <c r="H75" s="1485"/>
      <c r="I75" s="1485"/>
      <c r="J75" s="1485"/>
      <c r="K75" s="1485"/>
      <c r="L75" s="1485"/>
      <c r="M75" s="1485"/>
    </row>
    <row r="76" spans="1:19" s="778" customFormat="1" ht="15" customHeight="1">
      <c r="A76" s="777"/>
      <c r="B76" s="776"/>
      <c r="C76" s="777"/>
      <c r="D76" s="777"/>
      <c r="E76" s="777"/>
      <c r="F76" s="837"/>
      <c r="G76" s="838"/>
      <c r="I76" s="1494"/>
      <c r="J76" s="1494"/>
      <c r="K76" s="839"/>
      <c r="L76" s="1495"/>
      <c r="M76" s="1495"/>
    </row>
    <row r="77" spans="1:19" s="1253" customFormat="1" ht="15" customHeight="1">
      <c r="A77" s="1467" t="s">
        <v>861</v>
      </c>
      <c r="B77" s="1467"/>
      <c r="C77" s="1467"/>
      <c r="D77" s="1467"/>
      <c r="E77" s="1467"/>
      <c r="F77" s="1467"/>
      <c r="G77" s="1467"/>
      <c r="H77" s="1467"/>
      <c r="I77" s="1467"/>
      <c r="J77" s="1467"/>
      <c r="K77" s="1467"/>
      <c r="L77" s="1467"/>
      <c r="M77" s="1467"/>
      <c r="N77" s="1319"/>
    </row>
    <row r="78" spans="1:19" s="1253" customFormat="1" ht="15" customHeight="1">
      <c r="A78" s="1467" t="s">
        <v>174</v>
      </c>
      <c r="B78" s="1467"/>
      <c r="C78" s="1467"/>
      <c r="D78" s="1467"/>
      <c r="E78" s="1467"/>
      <c r="F78" s="1467"/>
      <c r="G78" s="1467"/>
      <c r="H78" s="1467"/>
      <c r="I78" s="1467"/>
      <c r="J78" s="1467"/>
      <c r="K78" s="1467"/>
      <c r="L78" s="1467"/>
      <c r="M78" s="1467"/>
      <c r="N78" s="1319"/>
    </row>
    <row r="79" spans="1:19" s="1253" customFormat="1" ht="15" customHeight="1">
      <c r="A79" s="1467" t="s">
        <v>1780</v>
      </c>
      <c r="B79" s="1467"/>
      <c r="C79" s="1467"/>
      <c r="D79" s="1467"/>
      <c r="E79" s="1467"/>
      <c r="F79" s="1467"/>
      <c r="G79" s="1467"/>
      <c r="H79" s="1467"/>
      <c r="I79" s="1467"/>
      <c r="J79" s="1467"/>
      <c r="K79" s="1467"/>
      <c r="L79" s="1467"/>
      <c r="M79" s="1467"/>
      <c r="N79" s="1319"/>
    </row>
    <row r="80" spans="1:19" s="1253" customFormat="1" ht="15" customHeight="1">
      <c r="A80" s="1467"/>
      <c r="B80" s="1467"/>
      <c r="C80" s="1467"/>
      <c r="D80" s="1467"/>
      <c r="E80" s="1467"/>
      <c r="F80" s="1467"/>
      <c r="G80" s="1467"/>
      <c r="H80" s="1467"/>
      <c r="I80" s="1467"/>
      <c r="J80" s="1467"/>
      <c r="K80" s="1467"/>
      <c r="L80" s="1467"/>
      <c r="M80" s="1467"/>
      <c r="N80" s="1319"/>
    </row>
    <row r="81" spans="1:14" s="1253" customFormat="1" ht="15" customHeight="1">
      <c r="A81" s="1254"/>
      <c r="B81" s="1254"/>
      <c r="C81" s="1254"/>
      <c r="D81" s="1254"/>
      <c r="E81" s="1254"/>
      <c r="F81" s="1254"/>
      <c r="G81" s="1254"/>
      <c r="H81" s="1254"/>
      <c r="I81" s="1254"/>
      <c r="J81" s="1254"/>
      <c r="K81" s="1254"/>
      <c r="L81" s="1254"/>
      <c r="M81" s="1254"/>
      <c r="N81" s="1319"/>
    </row>
    <row r="82" spans="1:14" s="1253" customFormat="1" ht="15" customHeight="1">
      <c r="A82" s="1254"/>
      <c r="B82" s="1254"/>
      <c r="C82" s="1254"/>
      <c r="D82" s="1254"/>
      <c r="E82" s="1254"/>
      <c r="F82" s="1254"/>
      <c r="G82" s="1254"/>
      <c r="H82" s="1254"/>
      <c r="I82" s="1254"/>
      <c r="J82" s="1254"/>
      <c r="K82" s="1254"/>
      <c r="L82" s="1254"/>
      <c r="M82" s="1254"/>
      <c r="N82" s="1319"/>
    </row>
    <row r="83" spans="1:14" s="1253" customFormat="1" ht="15" customHeight="1">
      <c r="A83" s="1254"/>
      <c r="B83" s="1254"/>
      <c r="C83" s="1254"/>
      <c r="D83" s="1254"/>
      <c r="E83" s="1254"/>
      <c r="F83" s="1254"/>
      <c r="G83" s="1254"/>
      <c r="H83" s="1254"/>
      <c r="I83" s="1254"/>
      <c r="J83" s="1254"/>
      <c r="K83" s="1254"/>
      <c r="L83" s="1254"/>
      <c r="M83" s="1254"/>
      <c r="N83" s="1319"/>
    </row>
    <row r="84" spans="1:14" s="1253" customFormat="1" ht="18" customHeight="1">
      <c r="A84" s="1468" t="s">
        <v>1781</v>
      </c>
      <c r="B84" s="1468"/>
      <c r="C84" s="1468"/>
      <c r="D84" s="1468"/>
      <c r="E84" s="1468"/>
      <c r="F84" s="1468"/>
      <c r="G84" s="1468"/>
      <c r="H84" s="1468"/>
      <c r="I84" s="1468"/>
      <c r="J84" s="1468"/>
      <c r="K84" s="1468"/>
      <c r="L84" s="1468"/>
      <c r="M84" s="1468"/>
      <c r="N84" s="1320"/>
    </row>
    <row r="85" spans="1:14" s="1253" customFormat="1">
      <c r="A85" s="1469" t="s">
        <v>1817</v>
      </c>
      <c r="B85" s="1469"/>
      <c r="C85" s="1469"/>
      <c r="D85" s="1469"/>
      <c r="E85" s="1469"/>
      <c r="F85" s="1469"/>
      <c r="G85" s="1469"/>
      <c r="H85" s="1469"/>
      <c r="I85" s="1469"/>
      <c r="J85" s="1469"/>
      <c r="K85" s="1469"/>
      <c r="L85" s="1469"/>
      <c r="M85" s="1469"/>
      <c r="N85" s="1321"/>
    </row>
    <row r="86" spans="1:14" s="668" customFormat="1" ht="18" customHeight="1">
      <c r="A86" s="1253" t="s">
        <v>1820</v>
      </c>
      <c r="B86" s="1253"/>
      <c r="C86" s="1253"/>
      <c r="D86" s="1253"/>
      <c r="E86" s="1253"/>
      <c r="F86" s="1253"/>
      <c r="G86" s="1254"/>
      <c r="H86" s="1253"/>
      <c r="I86" s="1255"/>
      <c r="J86" s="1253"/>
      <c r="K86" s="1253"/>
      <c r="L86" s="1256"/>
      <c r="M86" s="1256"/>
    </row>
    <row r="87" spans="1:14" s="668" customFormat="1" ht="18" customHeight="1">
      <c r="A87" s="1253" t="s">
        <v>1811</v>
      </c>
      <c r="B87" s="1253"/>
      <c r="C87" s="1253"/>
      <c r="D87" s="1253"/>
      <c r="E87" s="1253"/>
      <c r="F87" s="1253"/>
      <c r="G87" s="1254"/>
      <c r="H87" s="1253"/>
      <c r="I87" s="1255"/>
      <c r="J87" s="1253"/>
      <c r="K87" s="1253"/>
      <c r="L87" s="1256"/>
      <c r="M87" s="1256"/>
    </row>
    <row r="88" spans="1:14" s="668" customFormat="1" ht="8.1" customHeight="1">
      <c r="A88" s="1257" t="s">
        <v>1812</v>
      </c>
      <c r="B88" s="1253"/>
      <c r="C88" s="1253"/>
      <c r="D88" s="1253"/>
      <c r="E88" s="1253"/>
      <c r="F88" s="1253"/>
      <c r="G88" s="1254"/>
      <c r="H88" s="1253"/>
      <c r="I88" s="1255"/>
      <c r="J88" s="1253"/>
      <c r="K88" s="1253"/>
      <c r="L88" s="1256"/>
      <c r="M88" s="1256"/>
    </row>
    <row r="89" spans="1:14" s="1395" customFormat="1" ht="18" customHeight="1">
      <c r="A89" s="1394" t="s">
        <v>323</v>
      </c>
      <c r="B89" s="1394"/>
      <c r="C89" s="1501" t="s">
        <v>1821</v>
      </c>
      <c r="D89" s="1501"/>
      <c r="E89" s="1501"/>
      <c r="F89" s="1501"/>
      <c r="G89" s="1501"/>
      <c r="H89" s="1501"/>
      <c r="I89" s="1501"/>
      <c r="J89" s="1501"/>
      <c r="K89" s="1501"/>
      <c r="L89" s="1501"/>
      <c r="M89" s="1501"/>
    </row>
    <row r="90" spans="1:14" ht="18" customHeight="1" thickBot="1">
      <c r="A90" s="1500"/>
      <c r="B90" s="1500"/>
      <c r="C90" s="1500"/>
      <c r="D90" s="1500"/>
      <c r="E90" s="1500"/>
      <c r="F90" s="1500"/>
      <c r="G90" s="1500"/>
      <c r="H90" s="1500"/>
      <c r="I90" s="1500"/>
      <c r="J90" s="1500"/>
      <c r="K90" s="1500"/>
      <c r="L90" s="1500"/>
      <c r="M90" s="1500"/>
    </row>
    <row r="91" spans="1:14" ht="18" customHeight="1">
      <c r="A91" s="780"/>
      <c r="B91" s="781"/>
      <c r="C91" s="781"/>
      <c r="D91" s="781"/>
      <c r="E91" s="781"/>
      <c r="F91" s="782"/>
      <c r="G91" s="783"/>
      <c r="H91" s="784"/>
      <c r="I91" s="784" t="s">
        <v>6</v>
      </c>
      <c r="J91" s="1488" t="s">
        <v>1914</v>
      </c>
      <c r="K91" s="1489"/>
      <c r="L91" s="1490"/>
      <c r="M91" s="785" t="s">
        <v>7</v>
      </c>
    </row>
    <row r="92" spans="1:14" ht="18" customHeight="1">
      <c r="A92" s="1491"/>
      <c r="B92" s="1492"/>
      <c r="C92" s="1492"/>
      <c r="D92" s="1492"/>
      <c r="E92" s="1492"/>
      <c r="F92" s="1493"/>
      <c r="G92" s="1371"/>
      <c r="H92" s="786"/>
      <c r="I92" s="786">
        <v>2021</v>
      </c>
      <c r="J92" s="786" t="s">
        <v>560</v>
      </c>
      <c r="K92" s="786" t="s">
        <v>561</v>
      </c>
      <c r="L92" s="786">
        <v>2022</v>
      </c>
      <c r="M92" s="787">
        <v>2023</v>
      </c>
    </row>
    <row r="93" spans="1:14" ht="18" customHeight="1">
      <c r="A93" s="1491" t="s">
        <v>21</v>
      </c>
      <c r="B93" s="1492"/>
      <c r="C93" s="1492"/>
      <c r="D93" s="1492"/>
      <c r="E93" s="1492"/>
      <c r="F93" s="1493"/>
      <c r="G93" s="788"/>
      <c r="H93" s="789" t="s">
        <v>612</v>
      </c>
      <c r="I93" s="786" t="s">
        <v>909</v>
      </c>
      <c r="J93" s="786" t="s">
        <v>559</v>
      </c>
      <c r="K93" s="786" t="s">
        <v>562</v>
      </c>
      <c r="L93" s="786" t="s">
        <v>909</v>
      </c>
      <c r="M93" s="787" t="s">
        <v>909</v>
      </c>
    </row>
    <row r="94" spans="1:14" ht="18" customHeight="1">
      <c r="A94" s="790"/>
      <c r="B94" s="791"/>
      <c r="C94" s="791"/>
      <c r="D94" s="791"/>
      <c r="E94" s="791"/>
      <c r="F94" s="792"/>
      <c r="G94" s="788"/>
      <c r="H94" s="786"/>
      <c r="I94" s="786" t="s">
        <v>559</v>
      </c>
      <c r="J94" s="786">
        <v>2022</v>
      </c>
      <c r="K94" s="786">
        <v>2022</v>
      </c>
      <c r="L94" s="786" t="s">
        <v>910</v>
      </c>
      <c r="M94" s="787" t="s">
        <v>564</v>
      </c>
    </row>
    <row r="95" spans="1:14" ht="18" customHeight="1" thickBot="1">
      <c r="A95" s="1497"/>
      <c r="B95" s="1498"/>
      <c r="C95" s="1498"/>
      <c r="D95" s="1498"/>
      <c r="E95" s="1498"/>
      <c r="F95" s="1499"/>
      <c r="G95" s="1372"/>
      <c r="H95" s="793"/>
      <c r="I95" s="1393"/>
      <c r="J95" s="793"/>
      <c r="K95" s="793"/>
      <c r="L95" s="793"/>
      <c r="M95" s="794"/>
    </row>
    <row r="96" spans="1:14" ht="18" customHeight="1">
      <c r="A96" s="795"/>
      <c r="B96" s="796" t="s">
        <v>359</v>
      </c>
      <c r="C96" s="797"/>
      <c r="D96" s="796"/>
      <c r="E96" s="796"/>
      <c r="F96" s="798"/>
      <c r="G96" s="799"/>
      <c r="H96" s="841"/>
      <c r="I96" s="842"/>
      <c r="J96" s="843"/>
      <c r="K96" s="843"/>
      <c r="L96" s="843"/>
      <c r="M96" s="843"/>
    </row>
    <row r="97" spans="1:13" ht="18" customHeight="1">
      <c r="A97" s="803"/>
      <c r="B97" s="804"/>
      <c r="C97" s="804" t="s">
        <v>515</v>
      </c>
      <c r="D97" s="804"/>
      <c r="E97" s="804"/>
      <c r="F97" s="805"/>
      <c r="G97" s="806"/>
      <c r="H97" s="844"/>
      <c r="I97" s="845"/>
      <c r="J97" s="846"/>
      <c r="K97" s="846"/>
      <c r="L97" s="846"/>
      <c r="M97" s="846"/>
    </row>
    <row r="98" spans="1:13" ht="18" customHeight="1">
      <c r="A98" s="803"/>
      <c r="B98" s="804"/>
      <c r="C98" s="804"/>
      <c r="D98" s="804" t="s">
        <v>516</v>
      </c>
      <c r="E98" s="804"/>
      <c r="F98" s="805"/>
      <c r="G98" s="806" t="s">
        <v>582</v>
      </c>
      <c r="H98" s="810" t="s">
        <v>672</v>
      </c>
      <c r="I98" s="811">
        <f>11902846.36</f>
        <v>11902846.359999999</v>
      </c>
      <c r="J98" s="812">
        <v>6118697.5</v>
      </c>
      <c r="K98" s="812">
        <f>12617302-J98</f>
        <v>6498604.5</v>
      </c>
      <c r="L98" s="812">
        <f>SUM(K98+J98)</f>
        <v>12617302</v>
      </c>
      <c r="M98" s="812">
        <v>12965788</v>
      </c>
    </row>
    <row r="99" spans="1:13" ht="18" customHeight="1">
      <c r="A99" s="803"/>
      <c r="B99" s="804"/>
      <c r="C99" s="804" t="s">
        <v>517</v>
      </c>
      <c r="D99" s="804"/>
      <c r="E99" s="804"/>
      <c r="F99" s="805"/>
      <c r="G99" s="806"/>
      <c r="H99" s="844"/>
      <c r="I99" s="811"/>
      <c r="J99" s="812"/>
      <c r="K99" s="812"/>
      <c r="L99" s="812"/>
      <c r="M99" s="812"/>
    </row>
    <row r="100" spans="1:13" ht="18" customHeight="1">
      <c r="A100" s="803"/>
      <c r="B100" s="804"/>
      <c r="C100" s="804"/>
      <c r="D100" s="804" t="s">
        <v>518</v>
      </c>
      <c r="E100" s="804"/>
      <c r="F100" s="805"/>
      <c r="G100" s="806" t="s">
        <v>583</v>
      </c>
      <c r="H100" s="810" t="s">
        <v>673</v>
      </c>
      <c r="I100" s="811">
        <f>432000</f>
        <v>432000</v>
      </c>
      <c r="J100" s="812">
        <v>222000</v>
      </c>
      <c r="K100" s="812">
        <f>480000-J100</f>
        <v>258000</v>
      </c>
      <c r="L100" s="812">
        <f t="shared" ref="L100:L117" si="3">SUM(K100+J100)</f>
        <v>480000</v>
      </c>
      <c r="M100" s="812">
        <v>480000</v>
      </c>
    </row>
    <row r="101" spans="1:13" ht="18" customHeight="1">
      <c r="A101" s="803"/>
      <c r="B101" s="804"/>
      <c r="C101" s="804"/>
      <c r="D101" s="804" t="s">
        <v>528</v>
      </c>
      <c r="E101" s="804"/>
      <c r="F101" s="805"/>
      <c r="G101" s="806" t="s">
        <v>584</v>
      </c>
      <c r="H101" s="810" t="s">
        <v>674</v>
      </c>
      <c r="I101" s="811">
        <f>920975</f>
        <v>920975</v>
      </c>
      <c r="J101" s="812">
        <v>464100</v>
      </c>
      <c r="K101" s="812">
        <f>928200-J101</f>
        <v>464100</v>
      </c>
      <c r="L101" s="812">
        <f t="shared" si="3"/>
        <v>928200</v>
      </c>
      <c r="M101" s="812">
        <v>928200</v>
      </c>
    </row>
    <row r="102" spans="1:13" ht="18" customHeight="1">
      <c r="A102" s="803"/>
      <c r="B102" s="804"/>
      <c r="C102" s="804"/>
      <c r="D102" s="804" t="s">
        <v>527</v>
      </c>
      <c r="E102" s="804"/>
      <c r="F102" s="805"/>
      <c r="G102" s="806" t="s">
        <v>585</v>
      </c>
      <c r="H102" s="810" t="s">
        <v>675</v>
      </c>
      <c r="I102" s="811">
        <f>848725</f>
        <v>848725</v>
      </c>
      <c r="J102" s="812">
        <v>420750</v>
      </c>
      <c r="K102" s="812">
        <f>928200-J102</f>
        <v>507450</v>
      </c>
      <c r="L102" s="812">
        <f t="shared" si="3"/>
        <v>928200</v>
      </c>
      <c r="M102" s="812">
        <v>928200</v>
      </c>
    </row>
    <row r="103" spans="1:13" ht="18" customHeight="1">
      <c r="A103" s="803"/>
      <c r="B103" s="804"/>
      <c r="C103" s="804"/>
      <c r="D103" s="804" t="s">
        <v>529</v>
      </c>
      <c r="E103" s="804"/>
      <c r="F103" s="805"/>
      <c r="G103" s="806" t="s">
        <v>586</v>
      </c>
      <c r="H103" s="810" t="s">
        <v>676</v>
      </c>
      <c r="I103" s="811">
        <f>108000</f>
        <v>108000</v>
      </c>
      <c r="J103" s="812">
        <v>108000</v>
      </c>
      <c r="K103" s="812">
        <f>120000-J103</f>
        <v>12000</v>
      </c>
      <c r="L103" s="812">
        <f t="shared" si="3"/>
        <v>120000</v>
      </c>
      <c r="M103" s="812">
        <v>120000</v>
      </c>
    </row>
    <row r="104" spans="1:13" ht="18" customHeight="1">
      <c r="A104" s="803"/>
      <c r="B104" s="804"/>
      <c r="C104" s="804"/>
      <c r="D104" s="804" t="s">
        <v>670</v>
      </c>
      <c r="E104" s="804"/>
      <c r="F104" s="805"/>
      <c r="G104" s="806" t="s">
        <v>588</v>
      </c>
      <c r="H104" s="810" t="s">
        <v>677</v>
      </c>
      <c r="I104" s="811">
        <f>90000</f>
        <v>90000</v>
      </c>
      <c r="J104" s="812">
        <v>0</v>
      </c>
      <c r="K104" s="812">
        <f>100000-J104</f>
        <v>100000</v>
      </c>
      <c r="L104" s="812">
        <f t="shared" si="3"/>
        <v>100000</v>
      </c>
      <c r="M104" s="812">
        <v>100000</v>
      </c>
    </row>
    <row r="105" spans="1:13" ht="18" customHeight="1">
      <c r="A105" s="803"/>
      <c r="B105" s="804"/>
      <c r="C105" s="804"/>
      <c r="D105" s="804" t="s">
        <v>531</v>
      </c>
      <c r="E105" s="804"/>
      <c r="F105" s="805"/>
      <c r="G105" s="806" t="s">
        <v>425</v>
      </c>
      <c r="H105" s="810" t="s">
        <v>678</v>
      </c>
      <c r="I105" s="811">
        <v>0</v>
      </c>
      <c r="J105" s="812">
        <v>5000</v>
      </c>
      <c r="K105" s="812">
        <f>10000-J105</f>
        <v>5000</v>
      </c>
      <c r="L105" s="812">
        <f t="shared" si="3"/>
        <v>10000</v>
      </c>
      <c r="M105" s="812">
        <v>5000</v>
      </c>
    </row>
    <row r="106" spans="1:13" ht="18" customHeight="1">
      <c r="A106" s="803"/>
      <c r="B106" s="804"/>
      <c r="C106" s="804"/>
      <c r="D106" s="804" t="s">
        <v>1580</v>
      </c>
      <c r="E106" s="804"/>
      <c r="F106" s="805"/>
      <c r="G106" s="806" t="s">
        <v>425</v>
      </c>
      <c r="H106" s="810" t="s">
        <v>678</v>
      </c>
      <c r="I106" s="811">
        <f>54000</f>
        <v>54000</v>
      </c>
      <c r="J106" s="812">
        <v>0</v>
      </c>
      <c r="K106" s="812">
        <f>0-J106</f>
        <v>0</v>
      </c>
      <c r="L106" s="812">
        <f t="shared" si="3"/>
        <v>0</v>
      </c>
      <c r="M106" s="812">
        <v>0</v>
      </c>
    </row>
    <row r="107" spans="1:13" ht="18" hidden="1" customHeight="1">
      <c r="A107" s="803"/>
      <c r="B107" s="804"/>
      <c r="C107" s="804"/>
      <c r="D107" s="804" t="s">
        <v>1492</v>
      </c>
      <c r="E107" s="804"/>
      <c r="F107" s="805"/>
      <c r="G107" s="806"/>
      <c r="H107" s="810" t="s">
        <v>678</v>
      </c>
      <c r="I107" s="811">
        <v>0</v>
      </c>
      <c r="J107" s="812">
        <v>0</v>
      </c>
      <c r="K107" s="812">
        <f>0-J107</f>
        <v>0</v>
      </c>
      <c r="L107" s="812">
        <f t="shared" si="3"/>
        <v>0</v>
      </c>
      <c r="M107" s="812">
        <v>0</v>
      </c>
    </row>
    <row r="108" spans="1:13" ht="18" customHeight="1">
      <c r="A108" s="803"/>
      <c r="B108" s="804"/>
      <c r="C108" s="804"/>
      <c r="D108" s="804" t="s">
        <v>533</v>
      </c>
      <c r="E108" s="804"/>
      <c r="F108" s="805"/>
      <c r="G108" s="806" t="s">
        <v>591</v>
      </c>
      <c r="H108" s="810" t="s">
        <v>679</v>
      </c>
      <c r="I108" s="811">
        <f>90000</f>
        <v>90000</v>
      </c>
      <c r="J108" s="812">
        <v>0</v>
      </c>
      <c r="K108" s="812">
        <f>100000-J108</f>
        <v>100000</v>
      </c>
      <c r="L108" s="812">
        <f t="shared" si="3"/>
        <v>100000</v>
      </c>
      <c r="M108" s="812">
        <v>100000</v>
      </c>
    </row>
    <row r="109" spans="1:13" ht="18" customHeight="1">
      <c r="A109" s="803"/>
      <c r="B109" s="804"/>
      <c r="C109" s="804"/>
      <c r="D109" s="804" t="s">
        <v>790</v>
      </c>
      <c r="E109" s="804"/>
      <c r="F109" s="804"/>
      <c r="G109" s="814" t="s">
        <v>425</v>
      </c>
      <c r="H109" s="810" t="s">
        <v>678</v>
      </c>
      <c r="I109" s="811">
        <f>991822</f>
        <v>991822</v>
      </c>
      <c r="J109" s="812">
        <v>1025687</v>
      </c>
      <c r="K109" s="812">
        <f>1044549-J109</f>
        <v>18862</v>
      </c>
      <c r="L109" s="812">
        <f t="shared" si="3"/>
        <v>1044549</v>
      </c>
      <c r="M109" s="812">
        <v>1080448</v>
      </c>
    </row>
    <row r="110" spans="1:13" ht="18" customHeight="1">
      <c r="A110" s="803"/>
      <c r="B110" s="804"/>
      <c r="C110" s="804"/>
      <c r="D110" s="804" t="s">
        <v>534</v>
      </c>
      <c r="E110" s="804"/>
      <c r="F110" s="805"/>
      <c r="G110" s="806" t="s">
        <v>592</v>
      </c>
      <c r="H110" s="810" t="s">
        <v>680</v>
      </c>
      <c r="I110" s="811">
        <f>992048</f>
        <v>992048</v>
      </c>
      <c r="J110" s="812">
        <v>0</v>
      </c>
      <c r="K110" s="812">
        <f>1058617-J110</f>
        <v>1058617</v>
      </c>
      <c r="L110" s="812">
        <f t="shared" si="3"/>
        <v>1058617</v>
      </c>
      <c r="M110" s="812">
        <v>1080551</v>
      </c>
    </row>
    <row r="111" spans="1:13" ht="18" customHeight="1">
      <c r="A111" s="803"/>
      <c r="B111" s="804"/>
      <c r="C111" s="804"/>
      <c r="D111" s="804" t="s">
        <v>646</v>
      </c>
      <c r="E111" s="804"/>
      <c r="F111" s="805"/>
      <c r="G111" s="806" t="s">
        <v>593</v>
      </c>
      <c r="H111" s="810" t="s">
        <v>681</v>
      </c>
      <c r="I111" s="811">
        <f>1309961.52+127903.32</f>
        <v>1437864.84</v>
      </c>
      <c r="J111" s="812">
        <v>549947.4</v>
      </c>
      <c r="K111" s="812">
        <f>1544700-J111</f>
        <v>994752.6</v>
      </c>
      <c r="L111" s="812">
        <f t="shared" si="3"/>
        <v>1544700</v>
      </c>
      <c r="M111" s="812">
        <v>1560000</v>
      </c>
    </row>
    <row r="112" spans="1:13" ht="18" customHeight="1">
      <c r="A112" s="803"/>
      <c r="B112" s="804"/>
      <c r="C112" s="804"/>
      <c r="D112" s="804" t="s">
        <v>535</v>
      </c>
      <c r="E112" s="804"/>
      <c r="F112" s="805"/>
      <c r="G112" s="806" t="s">
        <v>594</v>
      </c>
      <c r="H112" s="810" t="s">
        <v>682</v>
      </c>
      <c r="I112" s="811">
        <f>21600</f>
        <v>21600</v>
      </c>
      <c r="J112" s="812">
        <v>9200</v>
      </c>
      <c r="K112" s="812">
        <f>36000-J112</f>
        <v>26800</v>
      </c>
      <c r="L112" s="812">
        <f t="shared" si="3"/>
        <v>36000</v>
      </c>
      <c r="M112" s="812">
        <v>36000</v>
      </c>
    </row>
    <row r="113" spans="1:13" ht="18" customHeight="1">
      <c r="A113" s="803"/>
      <c r="B113" s="804"/>
      <c r="C113" s="804"/>
      <c r="D113" s="804" t="s">
        <v>536</v>
      </c>
      <c r="E113" s="804"/>
      <c r="F113" s="805"/>
      <c r="G113" s="806" t="s">
        <v>595</v>
      </c>
      <c r="H113" s="810" t="s">
        <v>683</v>
      </c>
      <c r="I113" s="811">
        <f>144285</f>
        <v>144285</v>
      </c>
      <c r="J113" s="812">
        <v>60690</v>
      </c>
      <c r="K113" s="812">
        <f>257600-J113</f>
        <v>196910</v>
      </c>
      <c r="L113" s="812">
        <f t="shared" si="3"/>
        <v>257600</v>
      </c>
      <c r="M113" s="812">
        <v>293000</v>
      </c>
    </row>
    <row r="114" spans="1:13" ht="18" customHeight="1">
      <c r="A114" s="803"/>
      <c r="B114" s="804"/>
      <c r="C114" s="804"/>
      <c r="D114" s="804" t="s">
        <v>642</v>
      </c>
      <c r="E114" s="804"/>
      <c r="F114" s="805"/>
      <c r="G114" s="806" t="s">
        <v>596</v>
      </c>
      <c r="H114" s="810" t="s">
        <v>684</v>
      </c>
      <c r="I114" s="811">
        <f>20382.24</f>
        <v>20382.240000000002</v>
      </c>
      <c r="J114" s="812">
        <v>8500</v>
      </c>
      <c r="K114" s="812">
        <f>24000-J114</f>
        <v>15500</v>
      </c>
      <c r="L114" s="812">
        <f t="shared" si="3"/>
        <v>24000</v>
      </c>
      <c r="M114" s="812">
        <v>24000</v>
      </c>
    </row>
    <row r="115" spans="1:13" ht="18" customHeight="1">
      <c r="A115" s="803"/>
      <c r="B115" s="804"/>
      <c r="C115" s="804"/>
      <c r="D115" s="804" t="s">
        <v>365</v>
      </c>
      <c r="E115" s="804"/>
      <c r="F115" s="805"/>
      <c r="G115" s="806" t="s">
        <v>597</v>
      </c>
      <c r="H115" s="810" t="s">
        <v>685</v>
      </c>
      <c r="I115" s="811">
        <v>0</v>
      </c>
      <c r="J115" s="812">
        <v>0</v>
      </c>
      <c r="K115" s="812">
        <f>1000000+900000-J115</f>
        <v>1900000</v>
      </c>
      <c r="L115" s="812">
        <f t="shared" si="3"/>
        <v>1900000</v>
      </c>
      <c r="M115" s="812">
        <v>0</v>
      </c>
    </row>
    <row r="116" spans="1:13" ht="18" customHeight="1">
      <c r="A116" s="803"/>
      <c r="B116" s="804"/>
      <c r="C116" s="804"/>
      <c r="D116" s="804" t="s">
        <v>538</v>
      </c>
      <c r="E116" s="804"/>
      <c r="F116" s="805"/>
      <c r="G116" s="806" t="s">
        <v>388</v>
      </c>
      <c r="H116" s="810" t="s">
        <v>696</v>
      </c>
      <c r="I116" s="811">
        <f>819547.12</f>
        <v>819547.12</v>
      </c>
      <c r="J116" s="812">
        <v>964774.43</v>
      </c>
      <c r="K116" s="812">
        <f>1000000-J116</f>
        <v>35225.569999999949</v>
      </c>
      <c r="L116" s="812">
        <f t="shared" si="3"/>
        <v>1000000</v>
      </c>
      <c r="M116" s="812">
        <v>0</v>
      </c>
    </row>
    <row r="117" spans="1:13" ht="18" customHeight="1">
      <c r="A117" s="803"/>
      <c r="B117" s="804"/>
      <c r="C117" s="804"/>
      <c r="D117" s="804" t="s">
        <v>1493</v>
      </c>
      <c r="E117" s="804"/>
      <c r="F117" s="805"/>
      <c r="G117" s="806"/>
      <c r="H117" s="810" t="s">
        <v>696</v>
      </c>
      <c r="I117" s="811">
        <f>180000</f>
        <v>180000</v>
      </c>
      <c r="J117" s="812">
        <v>0</v>
      </c>
      <c r="K117" s="812">
        <f>0-J117</f>
        <v>0</v>
      </c>
      <c r="L117" s="812">
        <f t="shared" si="3"/>
        <v>0</v>
      </c>
      <c r="M117" s="812">
        <v>0</v>
      </c>
    </row>
    <row r="118" spans="1:13" s="820" customFormat="1" ht="18" customHeight="1">
      <c r="A118" s="815"/>
      <c r="B118" s="816"/>
      <c r="C118" s="816"/>
      <c r="D118" s="816" t="s">
        <v>364</v>
      </c>
      <c r="E118" s="816"/>
      <c r="F118" s="817"/>
      <c r="G118" s="818"/>
      <c r="H118" s="847"/>
      <c r="I118" s="819">
        <f>SUM(I98:I117)</f>
        <v>19054095.559999999</v>
      </c>
      <c r="J118" s="819">
        <f>SUM(J98:J117)</f>
        <v>9957346.3300000001</v>
      </c>
      <c r="K118" s="819">
        <f>SUM(K98:K117)</f>
        <v>12191821.67</v>
      </c>
      <c r="L118" s="819">
        <f>SUM(L98:L117)</f>
        <v>22149168</v>
      </c>
      <c r="M118" s="819">
        <f>SUM(M98:M117)</f>
        <v>19701187</v>
      </c>
    </row>
    <row r="119" spans="1:13" ht="18" customHeight="1">
      <c r="A119" s="803"/>
      <c r="B119" s="804" t="s">
        <v>539</v>
      </c>
      <c r="C119" s="804"/>
      <c r="D119" s="804"/>
      <c r="E119" s="804"/>
      <c r="F119" s="805"/>
      <c r="G119" s="806"/>
      <c r="H119" s="844"/>
      <c r="I119" s="811"/>
      <c r="J119" s="812"/>
      <c r="K119" s="812"/>
      <c r="L119" s="812"/>
      <c r="M119" s="812"/>
    </row>
    <row r="120" spans="1:13" ht="18" customHeight="1">
      <c r="A120" s="803"/>
      <c r="B120" s="804"/>
      <c r="C120" s="804"/>
      <c r="D120" s="804" t="s">
        <v>540</v>
      </c>
      <c r="E120" s="804"/>
      <c r="F120" s="805"/>
      <c r="G120" s="806" t="s">
        <v>376</v>
      </c>
      <c r="H120" s="810" t="s">
        <v>686</v>
      </c>
      <c r="I120" s="811">
        <f>32100</f>
        <v>32100</v>
      </c>
      <c r="J120" s="812">
        <v>138996.39000000001</v>
      </c>
      <c r="K120" s="812">
        <f>1346000-J120</f>
        <v>1207003.6099999999</v>
      </c>
      <c r="L120" s="812">
        <f t="shared" ref="L120:L133" si="4">SUM(K120+J120)</f>
        <v>1346000</v>
      </c>
      <c r="M120" s="812">
        <v>1346000</v>
      </c>
    </row>
    <row r="121" spans="1:13" ht="18" customHeight="1">
      <c r="A121" s="803"/>
      <c r="B121" s="804"/>
      <c r="C121" s="804"/>
      <c r="D121" s="804" t="s">
        <v>421</v>
      </c>
      <c r="E121" s="804"/>
      <c r="F121" s="805"/>
      <c r="G121" s="806" t="s">
        <v>377</v>
      </c>
      <c r="H121" s="810" t="s">
        <v>687</v>
      </c>
      <c r="I121" s="811">
        <f>443800</f>
        <v>443800</v>
      </c>
      <c r="J121" s="812">
        <v>260600</v>
      </c>
      <c r="K121" s="812">
        <f>964000-J121</f>
        <v>703400</v>
      </c>
      <c r="L121" s="812">
        <f t="shared" si="4"/>
        <v>964000</v>
      </c>
      <c r="M121" s="812">
        <v>964000</v>
      </c>
    </row>
    <row r="122" spans="1:13" ht="18" customHeight="1">
      <c r="A122" s="803"/>
      <c r="B122" s="804"/>
      <c r="C122" s="804"/>
      <c r="D122" s="804" t="s">
        <v>371</v>
      </c>
      <c r="E122" s="804"/>
      <c r="F122" s="805"/>
      <c r="G122" s="806" t="s">
        <v>379</v>
      </c>
      <c r="H122" s="810" t="s">
        <v>688</v>
      </c>
      <c r="I122" s="811">
        <f>577292</f>
        <v>577292</v>
      </c>
      <c r="J122" s="812">
        <v>252539</v>
      </c>
      <c r="K122" s="812">
        <f>750000-J122</f>
        <v>497461</v>
      </c>
      <c r="L122" s="812">
        <f t="shared" si="4"/>
        <v>750000</v>
      </c>
      <c r="M122" s="812">
        <v>750000</v>
      </c>
    </row>
    <row r="123" spans="1:13" ht="18" customHeight="1">
      <c r="A123" s="803"/>
      <c r="B123" s="804"/>
      <c r="C123" s="804"/>
      <c r="D123" s="804" t="s">
        <v>905</v>
      </c>
      <c r="E123" s="804"/>
      <c r="F123" s="805"/>
      <c r="G123" s="806" t="s">
        <v>600</v>
      </c>
      <c r="H123" s="810" t="s">
        <v>700</v>
      </c>
      <c r="I123" s="811">
        <f>126087.81+14945</f>
        <v>141032.81</v>
      </c>
      <c r="J123" s="812">
        <v>74947.850000000006</v>
      </c>
      <c r="K123" s="812">
        <f>750000-J123</f>
        <v>675052.15</v>
      </c>
      <c r="L123" s="812">
        <f t="shared" si="4"/>
        <v>750000</v>
      </c>
      <c r="M123" s="812">
        <v>750000</v>
      </c>
    </row>
    <row r="124" spans="1:13" ht="18" customHeight="1">
      <c r="A124" s="803"/>
      <c r="B124" s="804"/>
      <c r="C124" s="804"/>
      <c r="D124" s="804" t="s">
        <v>544</v>
      </c>
      <c r="E124" s="804"/>
      <c r="F124" s="805"/>
      <c r="G124" s="806" t="s">
        <v>601</v>
      </c>
      <c r="H124" s="810" t="s">
        <v>689</v>
      </c>
      <c r="I124" s="811">
        <f>0</f>
        <v>0</v>
      </c>
      <c r="J124" s="812">
        <v>0</v>
      </c>
      <c r="K124" s="812">
        <f>10000-J124</f>
        <v>10000</v>
      </c>
      <c r="L124" s="812">
        <f t="shared" si="4"/>
        <v>10000</v>
      </c>
      <c r="M124" s="812">
        <v>10000</v>
      </c>
    </row>
    <row r="125" spans="1:13" ht="18" customHeight="1">
      <c r="A125" s="803"/>
      <c r="B125" s="804"/>
      <c r="C125" s="804"/>
      <c r="D125" s="804" t="s">
        <v>545</v>
      </c>
      <c r="E125" s="804"/>
      <c r="F125" s="805"/>
      <c r="G125" s="806" t="s">
        <v>602</v>
      </c>
      <c r="H125" s="810" t="s">
        <v>690</v>
      </c>
      <c r="I125" s="811">
        <f>84887.16</f>
        <v>84887.16</v>
      </c>
      <c r="J125" s="812">
        <v>30575.09</v>
      </c>
      <c r="K125" s="812">
        <f>96000-J125</f>
        <v>65424.91</v>
      </c>
      <c r="L125" s="812">
        <f t="shared" si="4"/>
        <v>96000</v>
      </c>
      <c r="M125" s="812">
        <v>96000</v>
      </c>
    </row>
    <row r="126" spans="1:13" ht="18" customHeight="1">
      <c r="A126" s="803"/>
      <c r="B126" s="804"/>
      <c r="C126" s="804"/>
      <c r="D126" s="804" t="s">
        <v>546</v>
      </c>
      <c r="E126" s="804"/>
      <c r="F126" s="805"/>
      <c r="G126" s="806" t="s">
        <v>380</v>
      </c>
      <c r="H126" s="810" t="s">
        <v>690</v>
      </c>
      <c r="I126" s="811">
        <f>432000</f>
        <v>432000</v>
      </c>
      <c r="J126" s="812">
        <v>220200</v>
      </c>
      <c r="K126" s="812">
        <f>440400-J126</f>
        <v>220200</v>
      </c>
      <c r="L126" s="812">
        <f t="shared" si="4"/>
        <v>440400</v>
      </c>
      <c r="M126" s="812">
        <v>440400</v>
      </c>
    </row>
    <row r="127" spans="1:13" ht="18" customHeight="1">
      <c r="A127" s="803"/>
      <c r="B127" s="804"/>
      <c r="C127" s="804"/>
      <c r="D127" s="804" t="s">
        <v>547</v>
      </c>
      <c r="E127" s="804"/>
      <c r="F127" s="805"/>
      <c r="G127" s="806" t="s">
        <v>603</v>
      </c>
      <c r="H127" s="810" t="s">
        <v>701</v>
      </c>
      <c r="I127" s="811">
        <f>480000+150000</f>
        <v>630000</v>
      </c>
      <c r="J127" s="812">
        <v>0</v>
      </c>
      <c r="K127" s="812">
        <f>1300000-J127</f>
        <v>1300000</v>
      </c>
      <c r="L127" s="812">
        <f t="shared" si="4"/>
        <v>1300000</v>
      </c>
      <c r="M127" s="812">
        <v>1300000</v>
      </c>
    </row>
    <row r="128" spans="1:13" ht="18" customHeight="1">
      <c r="A128" s="803"/>
      <c r="B128" s="804"/>
      <c r="C128" s="804"/>
      <c r="D128" s="804" t="s">
        <v>548</v>
      </c>
      <c r="E128" s="804"/>
      <c r="F128" s="805"/>
      <c r="G128" s="806" t="s">
        <v>604</v>
      </c>
      <c r="H128" s="810" t="s">
        <v>702</v>
      </c>
      <c r="I128" s="811">
        <f>241205+8425</f>
        <v>249630</v>
      </c>
      <c r="J128" s="812">
        <v>111033</v>
      </c>
      <c r="K128" s="812">
        <f>250000-J128</f>
        <v>138967</v>
      </c>
      <c r="L128" s="812">
        <f t="shared" si="4"/>
        <v>250000</v>
      </c>
      <c r="M128" s="812">
        <v>250000</v>
      </c>
    </row>
    <row r="129" spans="1:14" ht="18" customHeight="1">
      <c r="A129" s="803"/>
      <c r="B129" s="804"/>
      <c r="C129" s="804"/>
      <c r="D129" s="804" t="s">
        <v>906</v>
      </c>
      <c r="E129" s="804"/>
      <c r="F129" s="805"/>
      <c r="G129" s="806" t="s">
        <v>605</v>
      </c>
      <c r="H129" s="810" t="s">
        <v>703</v>
      </c>
      <c r="I129" s="811">
        <f>42639.06</f>
        <v>42639.06</v>
      </c>
      <c r="J129" s="812">
        <v>57354.82</v>
      </c>
      <c r="K129" s="812">
        <f>300000-J129</f>
        <v>242645.18</v>
      </c>
      <c r="L129" s="812">
        <f t="shared" si="4"/>
        <v>300000</v>
      </c>
      <c r="M129" s="812">
        <v>300000</v>
      </c>
    </row>
    <row r="130" spans="1:14" ht="18" customHeight="1">
      <c r="A130" s="803"/>
      <c r="B130" s="804"/>
      <c r="C130" s="804"/>
      <c r="D130" s="804" t="s">
        <v>907</v>
      </c>
      <c r="E130" s="804"/>
      <c r="F130" s="805"/>
      <c r="G130" s="806" t="s">
        <v>381</v>
      </c>
      <c r="H130" s="810" t="s">
        <v>691</v>
      </c>
      <c r="I130" s="811">
        <f>92822</f>
        <v>92822</v>
      </c>
      <c r="J130" s="812">
        <v>0</v>
      </c>
      <c r="K130" s="812">
        <f>300000-J130</f>
        <v>300000</v>
      </c>
      <c r="L130" s="812">
        <f t="shared" si="4"/>
        <v>300000</v>
      </c>
      <c r="M130" s="812">
        <v>300000</v>
      </c>
    </row>
    <row r="131" spans="1:14" ht="18" customHeight="1">
      <c r="A131" s="803"/>
      <c r="B131" s="804"/>
      <c r="C131" s="804"/>
      <c r="D131" s="804" t="s">
        <v>931</v>
      </c>
      <c r="E131" s="804"/>
      <c r="F131" s="805"/>
      <c r="G131" s="806"/>
      <c r="H131" s="810" t="s">
        <v>929</v>
      </c>
      <c r="I131" s="811">
        <f>149952.87</f>
        <v>149952.87</v>
      </c>
      <c r="J131" s="812">
        <v>0</v>
      </c>
      <c r="K131" s="812">
        <f>300000-J131</f>
        <v>300000</v>
      </c>
      <c r="L131" s="812">
        <f t="shared" si="4"/>
        <v>300000</v>
      </c>
      <c r="M131" s="812">
        <v>300000</v>
      </c>
    </row>
    <row r="132" spans="1:14" ht="18" hidden="1" customHeight="1">
      <c r="A132" s="803"/>
      <c r="B132" s="804"/>
      <c r="C132" s="804"/>
      <c r="D132" s="804" t="s">
        <v>552</v>
      </c>
      <c r="E132" s="804"/>
      <c r="F132" s="805"/>
      <c r="G132" s="806" t="s">
        <v>382</v>
      </c>
      <c r="H132" s="810" t="s">
        <v>692</v>
      </c>
      <c r="I132" s="811">
        <v>0</v>
      </c>
      <c r="J132" s="812">
        <v>0</v>
      </c>
      <c r="K132" s="812">
        <f>0-J132</f>
        <v>0</v>
      </c>
      <c r="L132" s="812">
        <f t="shared" si="4"/>
        <v>0</v>
      </c>
      <c r="M132" s="812"/>
    </row>
    <row r="133" spans="1:14" ht="18" customHeight="1">
      <c r="A133" s="803"/>
      <c r="B133" s="804"/>
      <c r="C133" s="804"/>
      <c r="D133" s="804" t="s">
        <v>1681</v>
      </c>
      <c r="E133" s="804"/>
      <c r="F133" s="805"/>
      <c r="G133" s="806"/>
      <c r="H133" s="810" t="s">
        <v>692</v>
      </c>
      <c r="I133" s="811">
        <f>450000</f>
        <v>450000</v>
      </c>
      <c r="J133" s="812">
        <v>0</v>
      </c>
      <c r="K133" s="812">
        <f>0-J133</f>
        <v>0</v>
      </c>
      <c r="L133" s="812">
        <f t="shared" si="4"/>
        <v>0</v>
      </c>
      <c r="M133" s="812"/>
    </row>
    <row r="134" spans="1:14" ht="18" customHeight="1">
      <c r="A134" s="803"/>
      <c r="B134" s="804"/>
      <c r="C134" s="804"/>
      <c r="D134" s="816" t="s">
        <v>737</v>
      </c>
      <c r="E134" s="804"/>
      <c r="F134" s="805"/>
      <c r="G134" s="806"/>
      <c r="H134" s="844"/>
      <c r="I134" s="819">
        <f>SUM(I120:I133)</f>
        <v>3326155.9</v>
      </c>
      <c r="J134" s="819">
        <f>SUM(J120:J133)</f>
        <v>1146246.1500000001</v>
      </c>
      <c r="K134" s="819">
        <f>SUM(K120:K133)</f>
        <v>5660153.8499999996</v>
      </c>
      <c r="L134" s="819">
        <f>SUM(L120:L133)</f>
        <v>6806400</v>
      </c>
      <c r="M134" s="819">
        <f>SUM(M120:M133)</f>
        <v>6806400</v>
      </c>
      <c r="N134" s="889"/>
    </row>
    <row r="135" spans="1:14" ht="18" customHeight="1">
      <c r="A135" s="803"/>
      <c r="B135" s="804" t="s">
        <v>553</v>
      </c>
      <c r="C135" s="804"/>
      <c r="D135" s="804"/>
      <c r="E135" s="804"/>
      <c r="F135" s="805"/>
      <c r="G135" s="806"/>
      <c r="H135" s="844"/>
      <c r="I135" s="811"/>
      <c r="J135" s="812"/>
      <c r="K135" s="812"/>
      <c r="L135" s="812"/>
      <c r="M135" s="822"/>
      <c r="N135" s="821"/>
    </row>
    <row r="136" spans="1:14" ht="18" customHeight="1">
      <c r="A136" s="803"/>
      <c r="B136" s="804"/>
      <c r="C136" s="804"/>
      <c r="D136" s="804" t="s">
        <v>671</v>
      </c>
      <c r="E136" s="804"/>
      <c r="F136" s="805"/>
      <c r="G136" s="806" t="s">
        <v>830</v>
      </c>
      <c r="H136" s="810" t="s">
        <v>831</v>
      </c>
      <c r="I136" s="811">
        <f>49800+149800</f>
        <v>199600</v>
      </c>
      <c r="J136" s="812">
        <v>0</v>
      </c>
      <c r="K136" s="812">
        <f>0-J136</f>
        <v>0</v>
      </c>
      <c r="L136" s="812">
        <f>SUM(K136+J136)</f>
        <v>0</v>
      </c>
      <c r="M136" s="812">
        <v>0</v>
      </c>
    </row>
    <row r="137" spans="1:14" ht="18" customHeight="1">
      <c r="A137" s="803"/>
      <c r="B137" s="804"/>
      <c r="C137" s="804"/>
      <c r="D137" s="804" t="s">
        <v>829</v>
      </c>
      <c r="E137" s="804"/>
      <c r="F137" s="805"/>
      <c r="G137" s="806" t="s">
        <v>832</v>
      </c>
      <c r="H137" s="810" t="s">
        <v>1527</v>
      </c>
      <c r="I137" s="811">
        <f>39990+24800</f>
        <v>64790</v>
      </c>
      <c r="J137" s="812">
        <v>0</v>
      </c>
      <c r="K137" s="812">
        <f>0-J137</f>
        <v>0</v>
      </c>
      <c r="L137" s="812">
        <f t="shared" ref="L137:L141" si="5">SUM(K137+J137)</f>
        <v>0</v>
      </c>
      <c r="M137" s="812">
        <v>0</v>
      </c>
    </row>
    <row r="138" spans="1:14" ht="18" customHeight="1">
      <c r="A138" s="803"/>
      <c r="B138" s="804"/>
      <c r="C138" s="804"/>
      <c r="D138" s="804" t="s">
        <v>838</v>
      </c>
      <c r="E138" s="804"/>
      <c r="F138" s="805"/>
      <c r="G138" s="806"/>
      <c r="H138" s="810" t="s">
        <v>841</v>
      </c>
      <c r="I138" s="811">
        <v>0</v>
      </c>
      <c r="J138" s="812">
        <v>0</v>
      </c>
      <c r="K138" s="812">
        <f>750000+600000-J138</f>
        <v>1350000</v>
      </c>
      <c r="L138" s="812">
        <f t="shared" si="5"/>
        <v>1350000</v>
      </c>
      <c r="M138" s="812">
        <v>0</v>
      </c>
    </row>
    <row r="139" spans="1:14" ht="18" hidden="1" customHeight="1">
      <c r="A139" s="803"/>
      <c r="B139" s="804"/>
      <c r="C139" s="804"/>
      <c r="D139" s="804" t="s">
        <v>839</v>
      </c>
      <c r="E139" s="804"/>
      <c r="F139" s="805"/>
      <c r="G139" s="806" t="s">
        <v>890</v>
      </c>
      <c r="H139" s="810" t="s">
        <v>840</v>
      </c>
      <c r="I139" s="811">
        <v>0</v>
      </c>
      <c r="J139" s="812">
        <v>0</v>
      </c>
      <c r="K139" s="812">
        <f>0-J139</f>
        <v>0</v>
      </c>
      <c r="L139" s="812">
        <f t="shared" si="5"/>
        <v>0</v>
      </c>
      <c r="M139" s="812">
        <v>0</v>
      </c>
    </row>
    <row r="140" spans="1:14" ht="18" hidden="1" customHeight="1">
      <c r="A140" s="803"/>
      <c r="B140" s="804"/>
      <c r="C140" s="804"/>
      <c r="D140" s="804" t="s">
        <v>833</v>
      </c>
      <c r="E140" s="804"/>
      <c r="F140" s="805"/>
      <c r="G140" s="806" t="s">
        <v>834</v>
      </c>
      <c r="H140" s="810" t="s">
        <v>835</v>
      </c>
      <c r="I140" s="811">
        <v>0</v>
      </c>
      <c r="J140" s="812">
        <v>0</v>
      </c>
      <c r="K140" s="812">
        <f>0-J140</f>
        <v>0</v>
      </c>
      <c r="L140" s="812">
        <f t="shared" si="5"/>
        <v>0</v>
      </c>
      <c r="M140" s="812">
        <v>0</v>
      </c>
    </row>
    <row r="141" spans="1:14" ht="18" customHeight="1">
      <c r="A141" s="803"/>
      <c r="B141" s="804"/>
      <c r="C141" s="804"/>
      <c r="D141" s="804" t="s">
        <v>842</v>
      </c>
      <c r="E141" s="804"/>
      <c r="F141" s="805"/>
      <c r="G141" s="806" t="s">
        <v>889</v>
      </c>
      <c r="H141" s="810" t="s">
        <v>843</v>
      </c>
      <c r="I141" s="811">
        <f>96000</f>
        <v>96000</v>
      </c>
      <c r="J141" s="812">
        <v>0</v>
      </c>
      <c r="K141" s="812">
        <f>0-J141</f>
        <v>0</v>
      </c>
      <c r="L141" s="812">
        <f t="shared" si="5"/>
        <v>0</v>
      </c>
      <c r="M141" s="812">
        <v>0</v>
      </c>
    </row>
    <row r="142" spans="1:14" s="820" customFormat="1" ht="18" customHeight="1">
      <c r="A142" s="815"/>
      <c r="B142" s="816"/>
      <c r="C142" s="816"/>
      <c r="D142" s="816" t="s">
        <v>782</v>
      </c>
      <c r="E142" s="816"/>
      <c r="F142" s="817"/>
      <c r="G142" s="818"/>
      <c r="H142" s="847"/>
      <c r="I142" s="819">
        <f>SUM(I136:I141)</f>
        <v>360390</v>
      </c>
      <c r="J142" s="819">
        <f t="shared" ref="J142:M142" si="6">SUM(J136:J141)</f>
        <v>0</v>
      </c>
      <c r="K142" s="819">
        <f t="shared" si="6"/>
        <v>1350000</v>
      </c>
      <c r="L142" s="819">
        <f t="shared" si="6"/>
        <v>1350000</v>
      </c>
      <c r="M142" s="819">
        <f t="shared" si="6"/>
        <v>0</v>
      </c>
      <c r="N142" s="959"/>
    </row>
    <row r="143" spans="1:14" ht="18" customHeight="1">
      <c r="A143" s="803"/>
      <c r="B143" s="804"/>
      <c r="C143" s="804"/>
      <c r="D143" s="816"/>
      <c r="E143" s="804"/>
      <c r="F143" s="805"/>
      <c r="G143" s="806"/>
      <c r="H143" s="844"/>
      <c r="I143" s="811"/>
      <c r="J143" s="812"/>
      <c r="K143" s="812"/>
      <c r="L143" s="812"/>
      <c r="M143" s="812"/>
    </row>
    <row r="144" spans="1:14" ht="18" customHeight="1">
      <c r="A144" s="823" t="s">
        <v>613</v>
      </c>
      <c r="B144" s="824"/>
      <c r="C144" s="824"/>
      <c r="D144" s="824"/>
      <c r="E144" s="824"/>
      <c r="F144" s="825"/>
      <c r="G144" s="826"/>
      <c r="H144" s="848"/>
      <c r="I144" s="828">
        <f>SUM(I142+I134+I118)</f>
        <v>22740641.459999997</v>
      </c>
      <c r="J144" s="828">
        <f>SUM(J142+J134+J118)</f>
        <v>11103592.48</v>
      </c>
      <c r="K144" s="828">
        <f>SUM(K142+K134+K118)</f>
        <v>19201975.52</v>
      </c>
      <c r="L144" s="828">
        <f>SUM(L142+L134+L118)</f>
        <v>30305568</v>
      </c>
      <c r="M144" s="828">
        <f>SUM(M142+M134+M118)</f>
        <v>26507587</v>
      </c>
    </row>
    <row r="145" spans="1:14" ht="18" hidden="1" customHeight="1">
      <c r="A145" s="791"/>
      <c r="B145" s="829"/>
      <c r="C145" s="791"/>
      <c r="D145" s="791"/>
      <c r="E145" s="791"/>
      <c r="F145" s="791"/>
      <c r="G145" s="791"/>
      <c r="H145" s="830"/>
      <c r="I145" s="967"/>
      <c r="J145" s="831"/>
      <c r="K145" s="831"/>
      <c r="L145" s="831"/>
      <c r="M145" s="831"/>
    </row>
    <row r="146" spans="1:14" ht="18" hidden="1" customHeight="1">
      <c r="A146" s="791"/>
      <c r="B146" s="829"/>
      <c r="C146" s="791"/>
      <c r="D146" s="791"/>
      <c r="E146" s="791"/>
      <c r="F146" s="791"/>
      <c r="G146" s="791"/>
      <c r="H146" s="830"/>
      <c r="I146" s="849"/>
      <c r="J146" s="831"/>
      <c r="K146" s="831"/>
      <c r="L146" s="831"/>
      <c r="M146" s="831"/>
    </row>
    <row r="147" spans="1:14" ht="18" customHeight="1">
      <c r="A147" s="791"/>
      <c r="B147" s="829"/>
      <c r="C147" s="791"/>
      <c r="D147" s="791"/>
      <c r="E147" s="791"/>
      <c r="F147" s="791"/>
      <c r="G147" s="791"/>
      <c r="H147" s="830"/>
      <c r="I147" s="967"/>
      <c r="J147" s="831"/>
      <c r="K147" s="831"/>
      <c r="L147" s="831"/>
      <c r="M147" s="831"/>
    </row>
    <row r="148" spans="1:14" s="1329" customFormat="1" ht="18" customHeight="1">
      <c r="A148" s="1484" t="s">
        <v>1796</v>
      </c>
      <c r="B148" s="1484"/>
      <c r="C148" s="1484"/>
      <c r="D148" s="1484"/>
      <c r="E148" s="1484"/>
      <c r="F148" s="1484"/>
      <c r="G148" s="1484"/>
      <c r="H148" s="1484"/>
      <c r="I148" s="1484"/>
      <c r="J148" s="1484"/>
      <c r="K148" s="1484"/>
      <c r="L148" s="1484"/>
      <c r="M148" s="1484"/>
    </row>
    <row r="149" spans="1:14" s="1329" customFormat="1" ht="6" customHeight="1">
      <c r="A149" s="1373"/>
      <c r="B149" s="1373"/>
      <c r="C149" s="1373"/>
      <c r="D149" s="1373"/>
      <c r="E149" s="1373"/>
      <c r="F149" s="1373"/>
      <c r="G149" s="1373"/>
      <c r="H149" s="1373"/>
      <c r="I149" s="1373"/>
      <c r="J149" s="1373"/>
      <c r="K149" s="1373"/>
      <c r="L149" s="1373"/>
      <c r="M149" s="1373"/>
    </row>
    <row r="150" spans="1:14" s="1323" customFormat="1" ht="20.100000000000001" customHeight="1">
      <c r="A150" s="1485" t="s">
        <v>1570</v>
      </c>
      <c r="B150" s="1485"/>
      <c r="C150" s="1485"/>
      <c r="D150" s="1485"/>
      <c r="E150" s="1485"/>
      <c r="F150" s="1485"/>
      <c r="G150" s="1485"/>
      <c r="H150" s="1485"/>
      <c r="I150" s="1485"/>
      <c r="J150" s="1485"/>
      <c r="K150" s="1485"/>
      <c r="L150" s="1485"/>
      <c r="M150" s="1485"/>
    </row>
    <row r="151" spans="1:14" s="1323" customFormat="1" ht="20.100000000000001" customHeight="1">
      <c r="A151" s="1335"/>
      <c r="B151" s="1335"/>
      <c r="C151" s="1335"/>
      <c r="D151" s="1335"/>
      <c r="E151" s="1335"/>
      <c r="F151" s="1335"/>
      <c r="G151" s="1335"/>
      <c r="H151" s="1335"/>
      <c r="I151" s="1335"/>
      <c r="J151" s="1335"/>
      <c r="K151" s="1335"/>
      <c r="L151" s="1335"/>
      <c r="M151" s="1335"/>
    </row>
    <row r="152" spans="1:14" s="1323" customFormat="1" ht="15" customHeight="1">
      <c r="A152" s="1325"/>
      <c r="B152" s="1324"/>
      <c r="C152" s="1324"/>
      <c r="D152" s="1324"/>
      <c r="E152" s="1324"/>
      <c r="F152" s="1324"/>
      <c r="G152" s="1324"/>
      <c r="H152" s="1324"/>
      <c r="I152" s="1324"/>
      <c r="J152" s="1324"/>
      <c r="K152" s="1324"/>
      <c r="L152" s="1324"/>
      <c r="M152" s="1334"/>
    </row>
    <row r="153" spans="1:14" s="1253" customFormat="1" ht="15" customHeight="1">
      <c r="A153" s="1467" t="s">
        <v>861</v>
      </c>
      <c r="B153" s="1467"/>
      <c r="C153" s="1467"/>
      <c r="D153" s="1467"/>
      <c r="E153" s="1467"/>
      <c r="F153" s="1467"/>
      <c r="G153" s="1467"/>
      <c r="H153" s="1467"/>
      <c r="I153" s="1467"/>
      <c r="J153" s="1467"/>
      <c r="K153" s="1467"/>
      <c r="L153" s="1467"/>
      <c r="M153" s="1467"/>
      <c r="N153" s="1319"/>
    </row>
    <row r="154" spans="1:14" s="1253" customFormat="1" ht="15" customHeight="1">
      <c r="A154" s="1467" t="s">
        <v>174</v>
      </c>
      <c r="B154" s="1467"/>
      <c r="C154" s="1467"/>
      <c r="D154" s="1467"/>
      <c r="E154" s="1467"/>
      <c r="F154" s="1467"/>
      <c r="G154" s="1467"/>
      <c r="H154" s="1467"/>
      <c r="I154" s="1467"/>
      <c r="J154" s="1467"/>
      <c r="K154" s="1467"/>
      <c r="L154" s="1467"/>
      <c r="M154" s="1467"/>
      <c r="N154" s="1319"/>
    </row>
    <row r="155" spans="1:14" s="1253" customFormat="1" ht="15" customHeight="1">
      <c r="A155" s="1467" t="s">
        <v>1780</v>
      </c>
      <c r="B155" s="1467"/>
      <c r="C155" s="1467"/>
      <c r="D155" s="1467"/>
      <c r="E155" s="1467"/>
      <c r="F155" s="1467"/>
      <c r="G155" s="1467"/>
      <c r="H155" s="1467"/>
      <c r="I155" s="1467"/>
      <c r="J155" s="1467"/>
      <c r="K155" s="1467"/>
      <c r="L155" s="1467"/>
      <c r="M155" s="1467"/>
      <c r="N155" s="1319"/>
    </row>
    <row r="156" spans="1:14" s="1253" customFormat="1" ht="15" customHeight="1">
      <c r="A156" s="1467"/>
      <c r="B156" s="1467"/>
      <c r="C156" s="1467"/>
      <c r="D156" s="1467"/>
      <c r="E156" s="1467"/>
      <c r="F156" s="1467"/>
      <c r="G156" s="1467"/>
      <c r="H156" s="1467"/>
      <c r="I156" s="1467"/>
      <c r="J156" s="1467"/>
      <c r="K156" s="1467"/>
      <c r="L156" s="1467"/>
      <c r="M156" s="1467"/>
      <c r="N156" s="1319"/>
    </row>
    <row r="157" spans="1:14" s="1253" customFormat="1" ht="15" customHeight="1">
      <c r="A157" s="1254"/>
      <c r="B157" s="1254"/>
      <c r="C157" s="1254"/>
      <c r="D157" s="1254"/>
      <c r="E157" s="1254"/>
      <c r="F157" s="1254"/>
      <c r="G157" s="1254"/>
      <c r="H157" s="1254"/>
      <c r="I157" s="1254"/>
      <c r="J157" s="1254"/>
      <c r="K157" s="1254"/>
      <c r="L157" s="1254"/>
      <c r="M157" s="1254"/>
      <c r="N157" s="1319"/>
    </row>
    <row r="158" spans="1:14" s="1253" customFormat="1" ht="15" customHeight="1">
      <c r="A158" s="1254"/>
      <c r="B158" s="1254"/>
      <c r="C158" s="1254"/>
      <c r="D158" s="1254"/>
      <c r="E158" s="1254"/>
      <c r="F158" s="1254"/>
      <c r="G158" s="1254"/>
      <c r="H158" s="1254"/>
      <c r="I158" s="1254"/>
      <c r="J158" s="1254"/>
      <c r="K158" s="1254"/>
      <c r="L158" s="1254"/>
      <c r="M158" s="1254"/>
      <c r="N158" s="1319"/>
    </row>
    <row r="159" spans="1:14" s="1253" customFormat="1" ht="15" customHeight="1">
      <c r="A159" s="1254"/>
      <c r="B159" s="1254"/>
      <c r="C159" s="1254"/>
      <c r="D159" s="1254"/>
      <c r="E159" s="1254"/>
      <c r="F159" s="1254"/>
      <c r="G159" s="1254"/>
      <c r="H159" s="1254"/>
      <c r="I159" s="1254"/>
      <c r="J159" s="1254"/>
      <c r="K159" s="1254"/>
      <c r="L159" s="1254"/>
      <c r="M159" s="1254"/>
      <c r="N159" s="1319"/>
    </row>
    <row r="160" spans="1:14" s="1253" customFormat="1" ht="18" customHeight="1">
      <c r="A160" s="1468" t="s">
        <v>1781</v>
      </c>
      <c r="B160" s="1468"/>
      <c r="C160" s="1468"/>
      <c r="D160" s="1468"/>
      <c r="E160" s="1468"/>
      <c r="F160" s="1468"/>
      <c r="G160" s="1468"/>
      <c r="H160" s="1468"/>
      <c r="I160" s="1468"/>
      <c r="J160" s="1468"/>
      <c r="K160" s="1468"/>
      <c r="L160" s="1468"/>
      <c r="M160" s="1468"/>
      <c r="N160" s="1320"/>
    </row>
    <row r="161" spans="1:14" s="1253" customFormat="1">
      <c r="A161" s="1469" t="s">
        <v>1817</v>
      </c>
      <c r="B161" s="1469"/>
      <c r="C161" s="1469"/>
      <c r="D161" s="1469"/>
      <c r="E161" s="1469"/>
      <c r="F161" s="1469"/>
      <c r="G161" s="1469"/>
      <c r="H161" s="1469"/>
      <c r="I161" s="1469"/>
      <c r="J161" s="1469"/>
      <c r="K161" s="1469"/>
      <c r="L161" s="1469"/>
      <c r="M161" s="1469"/>
      <c r="N161" s="1321"/>
    </row>
    <row r="162" spans="1:14" s="1253" customFormat="1" ht="15.75">
      <c r="A162" s="1253" t="s">
        <v>1822</v>
      </c>
      <c r="G162" s="1254"/>
      <c r="I162" s="1255"/>
      <c r="L162" s="1256"/>
      <c r="M162" s="1256"/>
    </row>
    <row r="163" spans="1:14" s="1253" customFormat="1" ht="15.75">
      <c r="A163" s="1253" t="s">
        <v>1811</v>
      </c>
      <c r="G163" s="1254"/>
      <c r="I163" s="1255"/>
      <c r="L163" s="1256"/>
      <c r="M163" s="1256"/>
    </row>
    <row r="164" spans="1:14" s="1253" customFormat="1" ht="8.1" customHeight="1">
      <c r="A164" s="1257" t="s">
        <v>1812</v>
      </c>
      <c r="G164" s="1254"/>
      <c r="I164" s="1255"/>
      <c r="L164" s="1256"/>
      <c r="M164" s="1256"/>
    </row>
    <row r="165" spans="1:14" s="1253" customFormat="1" ht="15.75" customHeight="1">
      <c r="A165" s="1253" t="s">
        <v>1823</v>
      </c>
      <c r="C165" s="1483" t="s">
        <v>1824</v>
      </c>
      <c r="D165" s="1483"/>
      <c r="E165" s="1483"/>
      <c r="F165" s="1483"/>
      <c r="G165" s="1483"/>
      <c r="H165" s="1483"/>
      <c r="I165" s="1483"/>
      <c r="J165" s="1483"/>
      <c r="K165" s="1483"/>
      <c r="L165" s="1483"/>
      <c r="M165" s="1483"/>
      <c r="N165" s="1322"/>
    </row>
    <row r="166" spans="1:14" s="1253" customFormat="1" ht="18" customHeight="1">
      <c r="A166" s="1333"/>
      <c r="B166" s="1333"/>
      <c r="C166" s="1483"/>
      <c r="D166" s="1483"/>
      <c r="E166" s="1483"/>
      <c r="F166" s="1483"/>
      <c r="G166" s="1483"/>
      <c r="H166" s="1483"/>
      <c r="I166" s="1483"/>
      <c r="J166" s="1483"/>
      <c r="K166" s="1483"/>
      <c r="L166" s="1483"/>
      <c r="M166" s="1483"/>
    </row>
    <row r="167" spans="1:14" s="778" customFormat="1" ht="16.5" thickBot="1">
      <c r="A167" s="1496"/>
      <c r="B167" s="1496"/>
      <c r="C167" s="1496"/>
      <c r="D167" s="1496"/>
      <c r="E167" s="1496"/>
      <c r="F167" s="1496"/>
      <c r="G167" s="1496"/>
      <c r="H167" s="1496"/>
      <c r="I167" s="1496"/>
      <c r="J167" s="1496"/>
      <c r="K167" s="1496"/>
      <c r="L167" s="1496"/>
      <c r="M167" s="1496"/>
    </row>
    <row r="168" spans="1:14" ht="12.75">
      <c r="A168" s="780"/>
      <c r="B168" s="781"/>
      <c r="C168" s="781"/>
      <c r="D168" s="781"/>
      <c r="E168" s="781"/>
      <c r="F168" s="782"/>
      <c r="G168" s="783"/>
      <c r="H168" s="784"/>
      <c r="I168" s="784" t="s">
        <v>6</v>
      </c>
      <c r="J168" s="1488" t="s">
        <v>1914</v>
      </c>
      <c r="K168" s="1489"/>
      <c r="L168" s="1490"/>
      <c r="M168" s="785" t="s">
        <v>7</v>
      </c>
    </row>
    <row r="169" spans="1:14" ht="12.75">
      <c r="A169" s="1491"/>
      <c r="B169" s="1492"/>
      <c r="C169" s="1492"/>
      <c r="D169" s="1492"/>
      <c r="E169" s="1492"/>
      <c r="F169" s="1493"/>
      <c r="G169" s="1371"/>
      <c r="H169" s="786"/>
      <c r="I169" s="786">
        <v>2021</v>
      </c>
      <c r="J169" s="786" t="s">
        <v>560</v>
      </c>
      <c r="K169" s="786" t="s">
        <v>561</v>
      </c>
      <c r="L169" s="786">
        <v>2022</v>
      </c>
      <c r="M169" s="787">
        <v>2023</v>
      </c>
    </row>
    <row r="170" spans="1:14" ht="15.75" customHeight="1">
      <c r="A170" s="1491" t="s">
        <v>21</v>
      </c>
      <c r="B170" s="1492"/>
      <c r="C170" s="1492"/>
      <c r="D170" s="1492"/>
      <c r="E170" s="1492"/>
      <c r="F170" s="1493"/>
      <c r="G170" s="788"/>
      <c r="H170" s="789" t="s">
        <v>612</v>
      </c>
      <c r="I170" s="786" t="s">
        <v>909</v>
      </c>
      <c r="J170" s="786" t="s">
        <v>559</v>
      </c>
      <c r="K170" s="786" t="s">
        <v>562</v>
      </c>
      <c r="L170" s="786" t="s">
        <v>909</v>
      </c>
      <c r="M170" s="787" t="s">
        <v>909</v>
      </c>
    </row>
    <row r="171" spans="1:14" ht="15.75" customHeight="1">
      <c r="A171" s="790"/>
      <c r="B171" s="791"/>
      <c r="C171" s="791"/>
      <c r="D171" s="791"/>
      <c r="E171" s="791"/>
      <c r="F171" s="792"/>
      <c r="G171" s="788"/>
      <c r="H171" s="786"/>
      <c r="I171" s="786" t="s">
        <v>559</v>
      </c>
      <c r="J171" s="786">
        <v>2022</v>
      </c>
      <c r="K171" s="786">
        <v>2022</v>
      </c>
      <c r="L171" s="786" t="s">
        <v>910</v>
      </c>
      <c r="M171" s="787" t="s">
        <v>564</v>
      </c>
    </row>
    <row r="172" spans="1:14" ht="18" customHeight="1" thickBot="1">
      <c r="A172" s="1497"/>
      <c r="B172" s="1498"/>
      <c r="C172" s="1498"/>
      <c r="D172" s="1498"/>
      <c r="E172" s="1498"/>
      <c r="F172" s="1499"/>
      <c r="G172" s="1372"/>
      <c r="H172" s="793"/>
      <c r="I172" s="1393"/>
      <c r="J172" s="793"/>
      <c r="K172" s="793"/>
      <c r="L172" s="793"/>
      <c r="M172" s="794"/>
    </row>
    <row r="173" spans="1:14" ht="18" customHeight="1">
      <c r="A173" s="795"/>
      <c r="B173" s="796" t="s">
        <v>359</v>
      </c>
      <c r="C173" s="797"/>
      <c r="D173" s="796"/>
      <c r="E173" s="796"/>
      <c r="F173" s="798"/>
      <c r="G173" s="799"/>
      <c r="H173" s="841"/>
      <c r="I173" s="850"/>
      <c r="J173" s="851"/>
      <c r="K173" s="851"/>
      <c r="L173" s="851"/>
      <c r="M173" s="851"/>
    </row>
    <row r="174" spans="1:14" ht="18" customHeight="1">
      <c r="A174" s="803"/>
      <c r="B174" s="804"/>
      <c r="C174" s="804" t="s">
        <v>515</v>
      </c>
      <c r="D174" s="804"/>
      <c r="E174" s="804"/>
      <c r="F174" s="805"/>
      <c r="G174" s="806"/>
      <c r="H174" s="844"/>
      <c r="I174" s="852"/>
      <c r="J174" s="853"/>
      <c r="K174" s="853"/>
      <c r="L174" s="853"/>
      <c r="M174" s="853"/>
    </row>
    <row r="175" spans="1:14" ht="18" customHeight="1">
      <c r="A175" s="803"/>
      <c r="B175" s="804"/>
      <c r="C175" s="804"/>
      <c r="D175" s="804" t="s">
        <v>516</v>
      </c>
      <c r="E175" s="804"/>
      <c r="F175" s="805"/>
      <c r="G175" s="806" t="s">
        <v>582</v>
      </c>
      <c r="H175" s="810" t="s">
        <v>672</v>
      </c>
      <c r="I175" s="811">
        <f>1152639</f>
        <v>1152639</v>
      </c>
      <c r="J175" s="812">
        <v>671840</v>
      </c>
      <c r="K175" s="812">
        <f>1345056-J175</f>
        <v>673216</v>
      </c>
      <c r="L175" s="812">
        <f>SUM(K175+J175)</f>
        <v>1345056</v>
      </c>
      <c r="M175" s="812">
        <v>1397621</v>
      </c>
    </row>
    <row r="176" spans="1:14" ht="18" customHeight="1">
      <c r="A176" s="803"/>
      <c r="B176" s="804"/>
      <c r="C176" s="804" t="s">
        <v>517</v>
      </c>
      <c r="D176" s="804"/>
      <c r="E176" s="804"/>
      <c r="F176" s="805"/>
      <c r="G176" s="806"/>
      <c r="H176" s="813"/>
      <c r="I176" s="811"/>
      <c r="J176" s="812"/>
      <c r="K176" s="812"/>
      <c r="L176" s="812"/>
      <c r="M176" s="812"/>
    </row>
    <row r="177" spans="1:13" ht="18" customHeight="1">
      <c r="A177" s="803"/>
      <c r="B177" s="804"/>
      <c r="C177" s="804"/>
      <c r="D177" s="804" t="s">
        <v>518</v>
      </c>
      <c r="E177" s="804"/>
      <c r="F177" s="805"/>
      <c r="G177" s="806" t="s">
        <v>583</v>
      </c>
      <c r="H177" s="810" t="s">
        <v>673</v>
      </c>
      <c r="I177" s="811">
        <f>52000</f>
        <v>52000</v>
      </c>
      <c r="J177" s="812">
        <v>36000</v>
      </c>
      <c r="K177" s="812">
        <f>72000-J177</f>
        <v>36000</v>
      </c>
      <c r="L177" s="812">
        <f t="shared" ref="L177:L193" si="7">SUM(K177+J177)</f>
        <v>72000</v>
      </c>
      <c r="M177" s="812">
        <v>72000</v>
      </c>
    </row>
    <row r="178" spans="1:13" ht="18" customHeight="1">
      <c r="A178" s="803"/>
      <c r="B178" s="804"/>
      <c r="C178" s="804"/>
      <c r="D178" s="804" t="s">
        <v>528</v>
      </c>
      <c r="E178" s="804"/>
      <c r="F178" s="805"/>
      <c r="G178" s="806" t="s">
        <v>584</v>
      </c>
      <c r="H178" s="810" t="s">
        <v>674</v>
      </c>
      <c r="I178" s="811">
        <f>76500</f>
        <v>76500</v>
      </c>
      <c r="J178" s="812">
        <v>38250</v>
      </c>
      <c r="K178" s="812">
        <f>76500-J178</f>
        <v>38250</v>
      </c>
      <c r="L178" s="812">
        <f t="shared" si="7"/>
        <v>76500</v>
      </c>
      <c r="M178" s="812">
        <v>76500</v>
      </c>
    </row>
    <row r="179" spans="1:13" ht="18" customHeight="1">
      <c r="A179" s="803"/>
      <c r="B179" s="804"/>
      <c r="C179" s="804"/>
      <c r="D179" s="804" t="s">
        <v>527</v>
      </c>
      <c r="E179" s="804"/>
      <c r="F179" s="805"/>
      <c r="G179" s="806" t="s">
        <v>585</v>
      </c>
      <c r="H179" s="810" t="s">
        <v>675</v>
      </c>
      <c r="I179" s="811">
        <f>76500</f>
        <v>76500</v>
      </c>
      <c r="J179" s="812">
        <v>38250</v>
      </c>
      <c r="K179" s="812">
        <f>76500-J179</f>
        <v>38250</v>
      </c>
      <c r="L179" s="812">
        <f t="shared" si="7"/>
        <v>76500</v>
      </c>
      <c r="M179" s="812">
        <v>76500</v>
      </c>
    </row>
    <row r="180" spans="1:13" ht="18" customHeight="1">
      <c r="A180" s="803"/>
      <c r="B180" s="804"/>
      <c r="C180" s="804"/>
      <c r="D180" s="804" t="s">
        <v>529</v>
      </c>
      <c r="E180" s="804"/>
      <c r="F180" s="805"/>
      <c r="G180" s="806" t="s">
        <v>586</v>
      </c>
      <c r="H180" s="810" t="s">
        <v>676</v>
      </c>
      <c r="I180" s="811">
        <v>12000</v>
      </c>
      <c r="J180" s="812">
        <v>12000</v>
      </c>
      <c r="K180" s="812">
        <f>18000-J180</f>
        <v>6000</v>
      </c>
      <c r="L180" s="812">
        <f t="shared" si="7"/>
        <v>18000</v>
      </c>
      <c r="M180" s="812">
        <v>18000</v>
      </c>
    </row>
    <row r="181" spans="1:13" ht="18" customHeight="1">
      <c r="A181" s="803"/>
      <c r="B181" s="804"/>
      <c r="C181" s="804"/>
      <c r="D181" s="804" t="s">
        <v>670</v>
      </c>
      <c r="E181" s="804"/>
      <c r="F181" s="805"/>
      <c r="G181" s="806" t="s">
        <v>588</v>
      </c>
      <c r="H181" s="810" t="s">
        <v>677</v>
      </c>
      <c r="I181" s="811">
        <f>10000</f>
        <v>10000</v>
      </c>
      <c r="J181" s="812">
        <v>0</v>
      </c>
      <c r="K181" s="812">
        <f>15000-J181</f>
        <v>15000</v>
      </c>
      <c r="L181" s="812">
        <f t="shared" si="7"/>
        <v>15000</v>
      </c>
      <c r="M181" s="812">
        <v>15000</v>
      </c>
    </row>
    <row r="182" spans="1:13" ht="18" hidden="1" customHeight="1">
      <c r="A182" s="803"/>
      <c r="B182" s="804"/>
      <c r="C182" s="804"/>
      <c r="D182" s="804" t="s">
        <v>531</v>
      </c>
      <c r="E182" s="804"/>
      <c r="F182" s="805"/>
      <c r="G182" s="806" t="s">
        <v>425</v>
      </c>
      <c r="H182" s="810" t="s">
        <v>678</v>
      </c>
      <c r="I182" s="811">
        <v>0</v>
      </c>
      <c r="J182" s="812">
        <v>0</v>
      </c>
      <c r="K182" s="812">
        <f>0-J182</f>
        <v>0</v>
      </c>
      <c r="L182" s="812">
        <f t="shared" si="7"/>
        <v>0</v>
      </c>
      <c r="M182" s="812">
        <v>0</v>
      </c>
    </row>
    <row r="183" spans="1:13" ht="18" customHeight="1">
      <c r="A183" s="803"/>
      <c r="B183" s="804"/>
      <c r="C183" s="804"/>
      <c r="D183" s="804" t="s">
        <v>1580</v>
      </c>
      <c r="E183" s="804"/>
      <c r="F183" s="805"/>
      <c r="G183" s="806" t="s">
        <v>425</v>
      </c>
      <c r="H183" s="810" t="s">
        <v>678</v>
      </c>
      <c r="I183" s="811">
        <f>6000</f>
        <v>6000</v>
      </c>
      <c r="J183" s="812">
        <v>0</v>
      </c>
      <c r="K183" s="812">
        <f>0-J183</f>
        <v>0</v>
      </c>
      <c r="L183" s="812">
        <f t="shared" si="7"/>
        <v>0</v>
      </c>
      <c r="M183" s="812">
        <v>0</v>
      </c>
    </row>
    <row r="184" spans="1:13" ht="18" hidden="1" customHeight="1">
      <c r="A184" s="803"/>
      <c r="B184" s="804"/>
      <c r="C184" s="804"/>
      <c r="D184" s="804" t="s">
        <v>1492</v>
      </c>
      <c r="E184" s="804"/>
      <c r="F184" s="805"/>
      <c r="G184" s="806"/>
      <c r="H184" s="810" t="s">
        <v>678</v>
      </c>
      <c r="I184" s="811">
        <v>0</v>
      </c>
      <c r="J184" s="812">
        <v>0</v>
      </c>
      <c r="K184" s="812">
        <v>0</v>
      </c>
      <c r="L184" s="812">
        <f t="shared" si="7"/>
        <v>0</v>
      </c>
      <c r="M184" s="812">
        <v>0</v>
      </c>
    </row>
    <row r="185" spans="1:13" ht="18" customHeight="1">
      <c r="A185" s="803"/>
      <c r="B185" s="804"/>
      <c r="C185" s="804"/>
      <c r="D185" s="804" t="s">
        <v>533</v>
      </c>
      <c r="E185" s="804"/>
      <c r="F185" s="805"/>
      <c r="G185" s="806" t="s">
        <v>591</v>
      </c>
      <c r="H185" s="810" t="s">
        <v>679</v>
      </c>
      <c r="I185" s="811">
        <f>10000</f>
        <v>10000</v>
      </c>
      <c r="J185" s="812">
        <v>0</v>
      </c>
      <c r="K185" s="812">
        <f>15000-J185</f>
        <v>15000</v>
      </c>
      <c r="L185" s="812">
        <f t="shared" si="7"/>
        <v>15000</v>
      </c>
      <c r="M185" s="812">
        <v>15000</v>
      </c>
    </row>
    <row r="186" spans="1:13" ht="18" customHeight="1">
      <c r="A186" s="803"/>
      <c r="B186" s="804"/>
      <c r="C186" s="804"/>
      <c r="D186" s="804" t="s">
        <v>790</v>
      </c>
      <c r="E186" s="804"/>
      <c r="F186" s="804"/>
      <c r="G186" s="814" t="s">
        <v>425</v>
      </c>
      <c r="H186" s="810" t="s">
        <v>678</v>
      </c>
      <c r="I186" s="811">
        <f>108786</f>
        <v>108786</v>
      </c>
      <c r="J186" s="812">
        <v>111989</v>
      </c>
      <c r="K186" s="812">
        <f>112088-J186</f>
        <v>99</v>
      </c>
      <c r="L186" s="812">
        <f t="shared" si="7"/>
        <v>112088</v>
      </c>
      <c r="M186" s="812">
        <v>116576</v>
      </c>
    </row>
    <row r="187" spans="1:13" ht="18" customHeight="1">
      <c r="A187" s="803"/>
      <c r="B187" s="804"/>
      <c r="C187" s="804"/>
      <c r="D187" s="804" t="s">
        <v>534</v>
      </c>
      <c r="E187" s="804"/>
      <c r="F187" s="805"/>
      <c r="G187" s="806" t="s">
        <v>592</v>
      </c>
      <c r="H187" s="810" t="s">
        <v>680</v>
      </c>
      <c r="I187" s="811">
        <f>96452</f>
        <v>96452</v>
      </c>
      <c r="J187" s="812">
        <v>0</v>
      </c>
      <c r="K187" s="812">
        <f>112088-J187</f>
        <v>112088</v>
      </c>
      <c r="L187" s="812">
        <f t="shared" si="7"/>
        <v>112088</v>
      </c>
      <c r="M187" s="812">
        <v>116576</v>
      </c>
    </row>
    <row r="188" spans="1:13" ht="18" customHeight="1">
      <c r="A188" s="803"/>
      <c r="B188" s="804"/>
      <c r="C188" s="804"/>
      <c r="D188" s="804" t="s">
        <v>646</v>
      </c>
      <c r="E188" s="804"/>
      <c r="F188" s="805"/>
      <c r="G188" s="806" t="s">
        <v>593</v>
      </c>
      <c r="H188" s="810" t="s">
        <v>681</v>
      </c>
      <c r="I188" s="811">
        <f>134176.8</f>
        <v>134176.79999999999</v>
      </c>
      <c r="J188" s="812">
        <v>56470.8</v>
      </c>
      <c r="K188" s="812">
        <f>162000-J188</f>
        <v>105529.2</v>
      </c>
      <c r="L188" s="812">
        <f t="shared" si="7"/>
        <v>162000</v>
      </c>
      <c r="M188" s="812">
        <v>168000</v>
      </c>
    </row>
    <row r="189" spans="1:13" ht="18" customHeight="1">
      <c r="A189" s="803"/>
      <c r="B189" s="804"/>
      <c r="C189" s="804"/>
      <c r="D189" s="804" t="s">
        <v>535</v>
      </c>
      <c r="E189" s="804"/>
      <c r="F189" s="805"/>
      <c r="G189" s="806" t="s">
        <v>594</v>
      </c>
      <c r="H189" s="810" t="s">
        <v>682</v>
      </c>
      <c r="I189" s="811">
        <f>2600</f>
        <v>2600</v>
      </c>
      <c r="J189" s="812">
        <v>1500</v>
      </c>
      <c r="K189" s="812">
        <f>5400-J189</f>
        <v>3900</v>
      </c>
      <c r="L189" s="812">
        <f t="shared" si="7"/>
        <v>5400</v>
      </c>
      <c r="M189" s="812">
        <v>5400</v>
      </c>
    </row>
    <row r="190" spans="1:13" ht="18" customHeight="1">
      <c r="A190" s="803"/>
      <c r="B190" s="804"/>
      <c r="C190" s="804"/>
      <c r="D190" s="804" t="s">
        <v>536</v>
      </c>
      <c r="E190" s="804"/>
      <c r="F190" s="805"/>
      <c r="G190" s="806" t="s">
        <v>595</v>
      </c>
      <c r="H190" s="810" t="s">
        <v>683</v>
      </c>
      <c r="I190" s="811">
        <f>14340</f>
        <v>14340</v>
      </c>
      <c r="J190" s="812">
        <v>6960</v>
      </c>
      <c r="K190" s="812">
        <f>27500-J190</f>
        <v>20540</v>
      </c>
      <c r="L190" s="812">
        <f t="shared" si="7"/>
        <v>27500</v>
      </c>
      <c r="M190" s="812">
        <v>31500</v>
      </c>
    </row>
    <row r="191" spans="1:13" ht="18" customHeight="1">
      <c r="A191" s="803"/>
      <c r="B191" s="804"/>
      <c r="C191" s="804"/>
      <c r="D191" s="804" t="s">
        <v>642</v>
      </c>
      <c r="E191" s="804"/>
      <c r="F191" s="805"/>
      <c r="G191" s="806" t="s">
        <v>596</v>
      </c>
      <c r="H191" s="810" t="s">
        <v>684</v>
      </c>
      <c r="I191" s="811">
        <f>2700</f>
        <v>2700</v>
      </c>
      <c r="J191" s="812">
        <v>1100</v>
      </c>
      <c r="K191" s="812">
        <f>3600-J191</f>
        <v>2500</v>
      </c>
      <c r="L191" s="812">
        <f t="shared" si="7"/>
        <v>3600</v>
      </c>
      <c r="M191" s="812">
        <v>3600</v>
      </c>
    </row>
    <row r="192" spans="1:13" ht="18" customHeight="1">
      <c r="A192" s="803"/>
      <c r="B192" s="804"/>
      <c r="C192" s="804"/>
      <c r="D192" s="804" t="s">
        <v>538</v>
      </c>
      <c r="E192" s="804"/>
      <c r="F192" s="805"/>
      <c r="G192" s="806" t="s">
        <v>388</v>
      </c>
      <c r="H192" s="810" t="s">
        <v>696</v>
      </c>
      <c r="I192" s="811">
        <f>205531.84</f>
        <v>205531.84</v>
      </c>
      <c r="J192" s="812">
        <v>0</v>
      </c>
      <c r="K192" s="812">
        <f>0-J192</f>
        <v>0</v>
      </c>
      <c r="L192" s="812">
        <f t="shared" si="7"/>
        <v>0</v>
      </c>
      <c r="M192" s="812">
        <v>0</v>
      </c>
    </row>
    <row r="193" spans="1:13" ht="18" customHeight="1">
      <c r="A193" s="803"/>
      <c r="B193" s="804"/>
      <c r="C193" s="804"/>
      <c r="D193" s="804" t="s">
        <v>1493</v>
      </c>
      <c r="E193" s="804"/>
      <c r="F193" s="805"/>
      <c r="G193" s="806"/>
      <c r="H193" s="810" t="s">
        <v>696</v>
      </c>
      <c r="I193" s="811">
        <f>20000</f>
        <v>20000</v>
      </c>
      <c r="J193" s="812">
        <v>0</v>
      </c>
      <c r="K193" s="812">
        <f>0-J193</f>
        <v>0</v>
      </c>
      <c r="L193" s="812">
        <f t="shared" si="7"/>
        <v>0</v>
      </c>
      <c r="M193" s="812">
        <v>0</v>
      </c>
    </row>
    <row r="194" spans="1:13" s="820" customFormat="1" ht="18" customHeight="1">
      <c r="A194" s="815"/>
      <c r="B194" s="816"/>
      <c r="C194" s="816"/>
      <c r="D194" s="816" t="s">
        <v>364</v>
      </c>
      <c r="E194" s="816"/>
      <c r="F194" s="817"/>
      <c r="G194" s="818"/>
      <c r="H194" s="807"/>
      <c r="I194" s="819">
        <f>SUM(I175:I193)</f>
        <v>1980225.6400000001</v>
      </c>
      <c r="J194" s="819">
        <f>SUM(J175:J193)</f>
        <v>974359.8</v>
      </c>
      <c r="K194" s="819">
        <f>SUM(K175:K193)</f>
        <v>1066372.2</v>
      </c>
      <c r="L194" s="819">
        <f>SUM(L175:L193)</f>
        <v>2040732</v>
      </c>
      <c r="M194" s="819">
        <f>SUM(M175:M193)</f>
        <v>2112273</v>
      </c>
    </row>
    <row r="195" spans="1:13" ht="18" customHeight="1">
      <c r="A195" s="803"/>
      <c r="B195" s="804" t="s">
        <v>539</v>
      </c>
      <c r="C195" s="804"/>
      <c r="D195" s="804"/>
      <c r="E195" s="804"/>
      <c r="F195" s="805"/>
      <c r="G195" s="806"/>
      <c r="H195" s="813"/>
      <c r="I195" s="811"/>
      <c r="J195" s="812"/>
      <c r="K195" s="812"/>
      <c r="L195" s="812"/>
      <c r="M195" s="812"/>
    </row>
    <row r="196" spans="1:13" ht="18" customHeight="1">
      <c r="A196" s="803"/>
      <c r="B196" s="804"/>
      <c r="C196" s="804"/>
      <c r="D196" s="804" t="s">
        <v>540</v>
      </c>
      <c r="E196" s="804"/>
      <c r="F196" s="805"/>
      <c r="G196" s="806" t="s">
        <v>376</v>
      </c>
      <c r="H196" s="810" t="s">
        <v>686</v>
      </c>
      <c r="I196" s="811">
        <f>10050</f>
        <v>10050</v>
      </c>
      <c r="J196" s="812">
        <v>11400</v>
      </c>
      <c r="K196" s="812">
        <f>100000-J196</f>
        <v>88600</v>
      </c>
      <c r="L196" s="812">
        <f t="shared" ref="L196:L202" si="8">SUM(K196+J196)</f>
        <v>100000</v>
      </c>
      <c r="M196" s="812">
        <v>100000</v>
      </c>
    </row>
    <row r="197" spans="1:13" ht="18" customHeight="1">
      <c r="A197" s="803"/>
      <c r="B197" s="804"/>
      <c r="C197" s="804"/>
      <c r="D197" s="804" t="s">
        <v>421</v>
      </c>
      <c r="E197" s="804"/>
      <c r="F197" s="805"/>
      <c r="G197" s="806" t="s">
        <v>377</v>
      </c>
      <c r="H197" s="810" t="s">
        <v>687</v>
      </c>
      <c r="I197" s="811">
        <v>0</v>
      </c>
      <c r="J197" s="812">
        <v>0</v>
      </c>
      <c r="K197" s="812">
        <f>100000-J197</f>
        <v>100000</v>
      </c>
      <c r="L197" s="812">
        <f t="shared" si="8"/>
        <v>100000</v>
      </c>
      <c r="M197" s="812">
        <v>100000</v>
      </c>
    </row>
    <row r="198" spans="1:13" ht="18" customHeight="1">
      <c r="A198" s="803"/>
      <c r="B198" s="804"/>
      <c r="C198" s="804"/>
      <c r="D198" s="804" t="s">
        <v>371</v>
      </c>
      <c r="E198" s="804"/>
      <c r="F198" s="805"/>
      <c r="G198" s="806" t="s">
        <v>379</v>
      </c>
      <c r="H198" s="810" t="s">
        <v>688</v>
      </c>
      <c r="I198" s="811">
        <f>188652</f>
        <v>188652</v>
      </c>
      <c r="J198" s="812">
        <v>79000</v>
      </c>
      <c r="K198" s="812">
        <f>210587-J198</f>
        <v>131587</v>
      </c>
      <c r="L198" s="812">
        <f t="shared" si="8"/>
        <v>210587</v>
      </c>
      <c r="M198" s="812">
        <v>210587</v>
      </c>
    </row>
    <row r="199" spans="1:13" ht="18" customHeight="1">
      <c r="A199" s="803"/>
      <c r="B199" s="804"/>
      <c r="C199" s="804"/>
      <c r="D199" s="804" t="s">
        <v>546</v>
      </c>
      <c r="E199" s="804"/>
      <c r="F199" s="805"/>
      <c r="G199" s="806" t="s">
        <v>380</v>
      </c>
      <c r="H199" s="810" t="s">
        <v>690</v>
      </c>
      <c r="I199" s="811">
        <f>36000</f>
        <v>36000</v>
      </c>
      <c r="J199" s="812">
        <v>0</v>
      </c>
      <c r="K199" s="812">
        <f>36000-J199</f>
        <v>36000</v>
      </c>
      <c r="L199" s="812">
        <f t="shared" si="8"/>
        <v>36000</v>
      </c>
      <c r="M199" s="812">
        <v>36000</v>
      </c>
    </row>
    <row r="200" spans="1:13" ht="18" customHeight="1">
      <c r="A200" s="803"/>
      <c r="B200" s="804"/>
      <c r="C200" s="804"/>
      <c r="D200" s="804" t="s">
        <v>902</v>
      </c>
      <c r="E200" s="804"/>
      <c r="F200" s="805"/>
      <c r="G200" s="806" t="s">
        <v>381</v>
      </c>
      <c r="H200" s="810" t="s">
        <v>691</v>
      </c>
      <c r="I200" s="811">
        <v>0</v>
      </c>
      <c r="J200" s="812">
        <v>18000</v>
      </c>
      <c r="K200" s="812">
        <f>50000-J200</f>
        <v>32000</v>
      </c>
      <c r="L200" s="812">
        <f t="shared" si="8"/>
        <v>50000</v>
      </c>
      <c r="M200" s="812">
        <v>50000</v>
      </c>
    </row>
    <row r="201" spans="1:13" ht="18" customHeight="1">
      <c r="A201" s="803"/>
      <c r="B201" s="804"/>
      <c r="C201" s="804"/>
      <c r="D201" s="804" t="s">
        <v>552</v>
      </c>
      <c r="E201" s="804"/>
      <c r="F201" s="805"/>
      <c r="G201" s="806" t="s">
        <v>382</v>
      </c>
      <c r="H201" s="810" t="s">
        <v>692</v>
      </c>
      <c r="I201" s="811">
        <f>18450+2300</f>
        <v>20750</v>
      </c>
      <c r="J201" s="812">
        <v>0</v>
      </c>
      <c r="K201" s="812">
        <f>30000-J201</f>
        <v>30000</v>
      </c>
      <c r="L201" s="812">
        <f t="shared" si="8"/>
        <v>30000</v>
      </c>
      <c r="M201" s="812">
        <v>30000</v>
      </c>
    </row>
    <row r="202" spans="1:13" ht="18" customHeight="1">
      <c r="A202" s="803"/>
      <c r="B202" s="804"/>
      <c r="C202" s="804"/>
      <c r="D202" s="804" t="s">
        <v>1681</v>
      </c>
      <c r="E202" s="804"/>
      <c r="F202" s="805"/>
      <c r="G202" s="806"/>
      <c r="H202" s="810" t="s">
        <v>692</v>
      </c>
      <c r="I202" s="811">
        <f>50000</f>
        <v>50000</v>
      </c>
      <c r="J202" s="812">
        <v>0</v>
      </c>
      <c r="K202" s="812">
        <f>0-J202</f>
        <v>0</v>
      </c>
      <c r="L202" s="812">
        <f t="shared" si="8"/>
        <v>0</v>
      </c>
      <c r="M202" s="812">
        <v>0</v>
      </c>
    </row>
    <row r="203" spans="1:13" s="820" customFormat="1" ht="18" customHeight="1">
      <c r="A203" s="815"/>
      <c r="B203" s="816"/>
      <c r="C203" s="816"/>
      <c r="D203" s="816" t="s">
        <v>737</v>
      </c>
      <c r="E203" s="816"/>
      <c r="F203" s="817"/>
      <c r="G203" s="818"/>
      <c r="H203" s="807"/>
      <c r="I203" s="819">
        <f>SUM(I196:I202)</f>
        <v>305452</v>
      </c>
      <c r="J203" s="819">
        <f>SUM(J196:J202)</f>
        <v>108400</v>
      </c>
      <c r="K203" s="819">
        <f>SUM(K196:K202)</f>
        <v>418187</v>
      </c>
      <c r="L203" s="819">
        <f>SUM(L196:L202)</f>
        <v>526587</v>
      </c>
      <c r="M203" s="819">
        <f>SUM(M196:M202)</f>
        <v>526587</v>
      </c>
    </row>
    <row r="204" spans="1:13" ht="18" customHeight="1">
      <c r="A204" s="803"/>
      <c r="B204" s="804" t="s">
        <v>553</v>
      </c>
      <c r="C204" s="804"/>
      <c r="D204" s="804"/>
      <c r="E204" s="804"/>
      <c r="F204" s="805"/>
      <c r="G204" s="806"/>
      <c r="H204" s="813"/>
      <c r="I204" s="811"/>
      <c r="J204" s="812"/>
      <c r="K204" s="812"/>
      <c r="L204" s="812"/>
      <c r="M204" s="812"/>
    </row>
    <row r="205" spans="1:13" ht="18" customHeight="1">
      <c r="A205" s="803"/>
      <c r="B205" s="804"/>
      <c r="C205" s="804"/>
      <c r="D205" s="804" t="s">
        <v>671</v>
      </c>
      <c r="E205" s="804"/>
      <c r="F205" s="805"/>
      <c r="G205" s="806" t="s">
        <v>830</v>
      </c>
      <c r="H205" s="810" t="s">
        <v>831</v>
      </c>
      <c r="I205" s="811">
        <f>29484</f>
        <v>29484</v>
      </c>
      <c r="J205" s="812">
        <v>0</v>
      </c>
      <c r="K205" s="812">
        <f>55000-J205</f>
        <v>55000</v>
      </c>
      <c r="L205" s="812">
        <f>SUM(K205+J205)</f>
        <v>55000</v>
      </c>
      <c r="M205" s="812">
        <v>0</v>
      </c>
    </row>
    <row r="206" spans="1:13" ht="18" hidden="1" customHeight="1">
      <c r="A206" s="803"/>
      <c r="B206" s="804"/>
      <c r="C206" s="804"/>
      <c r="D206" s="804" t="s">
        <v>1450</v>
      </c>
      <c r="E206" s="804"/>
      <c r="F206" s="805"/>
      <c r="G206" s="806" t="s">
        <v>832</v>
      </c>
      <c r="H206" s="810" t="s">
        <v>1527</v>
      </c>
      <c r="I206" s="811">
        <v>0</v>
      </c>
      <c r="J206" s="812">
        <v>0</v>
      </c>
      <c r="K206" s="812">
        <f>0-J206</f>
        <v>0</v>
      </c>
      <c r="L206" s="812">
        <f>SUM(K206+J206)</f>
        <v>0</v>
      </c>
      <c r="M206" s="812">
        <v>0</v>
      </c>
    </row>
    <row r="207" spans="1:13" ht="18" hidden="1" customHeight="1">
      <c r="A207" s="803"/>
      <c r="B207" s="804"/>
      <c r="C207" s="804"/>
      <c r="D207" s="804" t="s">
        <v>839</v>
      </c>
      <c r="E207" s="804"/>
      <c r="F207" s="805"/>
      <c r="G207" s="806" t="s">
        <v>890</v>
      </c>
      <c r="H207" s="810" t="s">
        <v>840</v>
      </c>
      <c r="I207" s="811">
        <v>0</v>
      </c>
      <c r="J207" s="812">
        <v>0</v>
      </c>
      <c r="K207" s="812">
        <f>0-J207</f>
        <v>0</v>
      </c>
      <c r="L207" s="812">
        <f>SUM(K207+J207)</f>
        <v>0</v>
      </c>
      <c r="M207" s="812">
        <v>0</v>
      </c>
    </row>
    <row r="208" spans="1:13" s="820" customFormat="1" ht="18" customHeight="1">
      <c r="A208" s="815"/>
      <c r="B208" s="816"/>
      <c r="C208" s="816"/>
      <c r="D208" s="816" t="s">
        <v>782</v>
      </c>
      <c r="E208" s="816"/>
      <c r="F208" s="817"/>
      <c r="G208" s="818"/>
      <c r="H208" s="807"/>
      <c r="I208" s="819">
        <f>SUM(I205:I207)</f>
        <v>29484</v>
      </c>
      <c r="J208" s="822">
        <f>SUM(J205:J207)</f>
        <v>0</v>
      </c>
      <c r="K208" s="822">
        <f>SUM(K205:K207)</f>
        <v>55000</v>
      </c>
      <c r="L208" s="822">
        <f>SUM(L205:L207)</f>
        <v>55000</v>
      </c>
      <c r="M208" s="822">
        <f>SUM(M205:M207)</f>
        <v>0</v>
      </c>
    </row>
    <row r="209" spans="1:14" s="820" customFormat="1" ht="18" customHeight="1">
      <c r="A209" s="815"/>
      <c r="B209" s="816"/>
      <c r="C209" s="816"/>
      <c r="D209" s="816"/>
      <c r="E209" s="816"/>
      <c r="F209" s="817"/>
      <c r="G209" s="818"/>
      <c r="H209" s="807"/>
      <c r="I209" s="819"/>
      <c r="J209" s="822"/>
      <c r="K209" s="822"/>
      <c r="L209" s="822"/>
      <c r="M209" s="822"/>
    </row>
    <row r="210" spans="1:14" s="820" customFormat="1" ht="18" customHeight="1">
      <c r="A210" s="823" t="s">
        <v>613</v>
      </c>
      <c r="B210" s="824"/>
      <c r="C210" s="824"/>
      <c r="D210" s="824"/>
      <c r="E210" s="824"/>
      <c r="F210" s="825"/>
      <c r="G210" s="826"/>
      <c r="H210" s="827"/>
      <c r="I210" s="828">
        <f>SUM(I208+I203+I194)</f>
        <v>2315161.64</v>
      </c>
      <c r="J210" s="828">
        <f>SUM(J208+J203+J194)</f>
        <v>1082759.8</v>
      </c>
      <c r="K210" s="828">
        <f>SUM(K208+K203+K194)</f>
        <v>1539559.2</v>
      </c>
      <c r="L210" s="828">
        <f>SUM(L208+L203+L194)</f>
        <v>2622319</v>
      </c>
      <c r="M210" s="828">
        <f>SUM(M208+M203+M194)</f>
        <v>2638860</v>
      </c>
    </row>
    <row r="211" spans="1:14" ht="18" customHeight="1">
      <c r="A211" s="791"/>
      <c r="B211" s="829"/>
      <c r="C211" s="791"/>
      <c r="D211" s="791"/>
      <c r="E211" s="791"/>
      <c r="F211" s="791"/>
      <c r="G211" s="791"/>
      <c r="H211" s="830"/>
      <c r="I211" s="967"/>
      <c r="J211" s="831"/>
      <c r="K211" s="831"/>
      <c r="L211" s="831"/>
      <c r="M211" s="831"/>
    </row>
    <row r="212" spans="1:14" ht="18" customHeight="1">
      <c r="A212" s="791"/>
      <c r="B212" s="829"/>
      <c r="C212" s="791"/>
      <c r="D212" s="791"/>
      <c r="E212" s="791"/>
      <c r="F212" s="791"/>
      <c r="G212" s="791"/>
      <c r="H212" s="1425"/>
      <c r="I212" s="1425"/>
      <c r="J212" s="831"/>
      <c r="K212" s="831"/>
      <c r="L212" s="831"/>
      <c r="M212" s="831"/>
    </row>
    <row r="213" spans="1:14" ht="18" customHeight="1">
      <c r="A213" s="791"/>
      <c r="B213" s="829"/>
      <c r="C213" s="791"/>
      <c r="D213" s="791"/>
      <c r="E213" s="791"/>
      <c r="F213" s="791"/>
      <c r="G213" s="791"/>
      <c r="H213" s="1425"/>
      <c r="I213" s="1425"/>
      <c r="J213" s="831"/>
      <c r="K213" s="831"/>
      <c r="L213" s="831"/>
      <c r="M213" s="831"/>
    </row>
    <row r="214" spans="1:14" s="1329" customFormat="1" ht="18" customHeight="1">
      <c r="A214" s="1484" t="s">
        <v>1796</v>
      </c>
      <c r="B214" s="1484"/>
      <c r="C214" s="1484"/>
      <c r="D214" s="1484"/>
      <c r="E214" s="1484"/>
      <c r="F214" s="1484"/>
      <c r="G214" s="1484"/>
      <c r="H214" s="1484"/>
      <c r="I214" s="1484"/>
      <c r="J214" s="1484"/>
      <c r="K214" s="1484"/>
      <c r="L214" s="1484"/>
      <c r="M214" s="1484"/>
    </row>
    <row r="215" spans="1:14" s="1329" customFormat="1" ht="18" customHeight="1">
      <c r="A215" s="1330"/>
      <c r="B215" s="1330"/>
      <c r="C215" s="1330"/>
      <c r="D215" s="1330"/>
      <c r="E215" s="1330"/>
      <c r="F215" s="1330"/>
      <c r="G215" s="1330"/>
      <c r="H215" s="1330"/>
      <c r="I215" s="1330"/>
      <c r="J215" s="1330"/>
      <c r="K215" s="1330"/>
      <c r="L215" s="1330"/>
      <c r="M215" s="1330"/>
    </row>
    <row r="216" spans="1:14" s="1329" customFormat="1" ht="18" customHeight="1">
      <c r="A216" s="1330"/>
      <c r="B216" s="1330"/>
      <c r="C216" s="1330"/>
      <c r="D216" s="1330"/>
      <c r="E216" s="1330"/>
      <c r="F216" s="1330"/>
      <c r="G216" s="1330"/>
      <c r="H216" s="1330"/>
      <c r="I216" s="1330"/>
      <c r="J216" s="1330"/>
      <c r="K216" s="1330"/>
      <c r="L216" s="1330"/>
      <c r="M216" s="1330"/>
    </row>
    <row r="217" spans="1:14" s="1329" customFormat="1" ht="18" customHeight="1">
      <c r="A217" s="1330"/>
      <c r="B217" s="1330"/>
      <c r="C217" s="1330"/>
      <c r="D217" s="1330"/>
      <c r="E217" s="1330"/>
      <c r="F217" s="1330"/>
      <c r="G217" s="1330"/>
      <c r="H217" s="1330"/>
      <c r="I217" s="1330"/>
      <c r="J217" s="1330"/>
      <c r="K217" s="1330"/>
      <c r="L217" s="1330"/>
      <c r="M217" s="1330"/>
    </row>
    <row r="218" spans="1:14" s="1329" customFormat="1" ht="18" customHeight="1">
      <c r="A218" s="1330"/>
      <c r="B218" s="1330"/>
      <c r="C218" s="1330"/>
      <c r="D218" s="1330"/>
      <c r="E218" s="1330"/>
      <c r="F218" s="1330"/>
      <c r="G218" s="1330"/>
      <c r="H218" s="1330"/>
      <c r="I218" s="1330"/>
      <c r="J218" s="1330"/>
      <c r="K218" s="1330"/>
      <c r="L218" s="1330"/>
      <c r="M218" s="1330"/>
    </row>
    <row r="219" spans="1:14" s="1329" customFormat="1" ht="18" customHeight="1">
      <c r="A219" s="1330"/>
      <c r="B219" s="1330"/>
      <c r="C219" s="1330"/>
      <c r="D219" s="1330"/>
      <c r="E219" s="1330"/>
      <c r="F219" s="1330"/>
      <c r="G219" s="1330"/>
      <c r="H219" s="1330"/>
      <c r="I219" s="1330"/>
      <c r="J219" s="1330"/>
      <c r="K219" s="1330"/>
      <c r="L219" s="1330"/>
      <c r="M219" s="1330"/>
    </row>
    <row r="220" spans="1:14" s="1329" customFormat="1" ht="18" customHeight="1">
      <c r="A220" s="1330"/>
      <c r="B220" s="1330"/>
      <c r="C220" s="1330"/>
      <c r="D220" s="1330"/>
      <c r="E220" s="1330"/>
      <c r="F220" s="1330"/>
      <c r="G220" s="1330"/>
      <c r="H220" s="1330"/>
      <c r="I220" s="1330"/>
      <c r="J220" s="1330"/>
      <c r="K220" s="1330"/>
      <c r="L220" s="1330"/>
      <c r="M220" s="1330"/>
    </row>
    <row r="221" spans="1:14" s="1323" customFormat="1" ht="18" customHeight="1">
      <c r="A221" s="1324"/>
      <c r="B221" s="1325"/>
      <c r="C221" s="1324"/>
      <c r="D221" s="1324"/>
      <c r="E221" s="1324"/>
      <c r="F221" s="1324"/>
      <c r="G221" s="1327"/>
      <c r="H221" s="1328"/>
      <c r="I221" s="1328"/>
      <c r="K221" s="1044"/>
      <c r="L221" s="1044"/>
      <c r="M221" s="831"/>
    </row>
    <row r="222" spans="1:14" s="1336" customFormat="1" ht="20.100000000000001" customHeight="1">
      <c r="A222" s="1485" t="s">
        <v>1571</v>
      </c>
      <c r="B222" s="1485"/>
      <c r="C222" s="1485"/>
      <c r="D222" s="1485"/>
      <c r="E222" s="1485"/>
      <c r="F222" s="1485"/>
      <c r="G222" s="1485"/>
      <c r="H222" s="1485"/>
      <c r="I222" s="1485"/>
      <c r="J222" s="1485"/>
      <c r="K222" s="1485"/>
      <c r="L222" s="1485"/>
      <c r="M222" s="1485"/>
    </row>
    <row r="223" spans="1:14" s="1253" customFormat="1" ht="15" customHeight="1">
      <c r="A223" s="1467" t="s">
        <v>861</v>
      </c>
      <c r="B223" s="1467"/>
      <c r="C223" s="1467"/>
      <c r="D223" s="1467"/>
      <c r="E223" s="1467"/>
      <c r="F223" s="1467"/>
      <c r="G223" s="1467"/>
      <c r="H223" s="1467"/>
      <c r="I223" s="1467"/>
      <c r="J223" s="1467"/>
      <c r="K223" s="1467"/>
      <c r="L223" s="1467"/>
      <c r="M223" s="1467"/>
      <c r="N223" s="1319"/>
    </row>
    <row r="224" spans="1:14" s="1253" customFormat="1" ht="15" customHeight="1">
      <c r="A224" s="1467" t="s">
        <v>174</v>
      </c>
      <c r="B224" s="1467"/>
      <c r="C224" s="1467"/>
      <c r="D224" s="1467"/>
      <c r="E224" s="1467"/>
      <c r="F224" s="1467"/>
      <c r="G224" s="1467"/>
      <c r="H224" s="1467"/>
      <c r="I224" s="1467"/>
      <c r="J224" s="1467"/>
      <c r="K224" s="1467"/>
      <c r="L224" s="1467"/>
      <c r="M224" s="1467"/>
      <c r="N224" s="1319"/>
    </row>
    <row r="225" spans="1:14" s="1253" customFormat="1" ht="15" customHeight="1">
      <c r="A225" s="1467" t="s">
        <v>1780</v>
      </c>
      <c r="B225" s="1467"/>
      <c r="C225" s="1467"/>
      <c r="D225" s="1467"/>
      <c r="E225" s="1467"/>
      <c r="F225" s="1467"/>
      <c r="G225" s="1467"/>
      <c r="H225" s="1467"/>
      <c r="I225" s="1467"/>
      <c r="J225" s="1467"/>
      <c r="K225" s="1467"/>
      <c r="L225" s="1467"/>
      <c r="M225" s="1467"/>
      <c r="N225" s="1319"/>
    </row>
    <row r="226" spans="1:14" s="1253" customFormat="1" ht="15" customHeight="1">
      <c r="A226" s="1467"/>
      <c r="B226" s="1467"/>
      <c r="C226" s="1467"/>
      <c r="D226" s="1467"/>
      <c r="E226" s="1467"/>
      <c r="F226" s="1467"/>
      <c r="G226" s="1467"/>
      <c r="H226" s="1467"/>
      <c r="I226" s="1467"/>
      <c r="J226" s="1467"/>
      <c r="K226" s="1467"/>
      <c r="L226" s="1467"/>
      <c r="M226" s="1467"/>
      <c r="N226" s="1319"/>
    </row>
    <row r="227" spans="1:14" s="1253" customFormat="1" ht="15" customHeight="1">
      <c r="A227" s="1254"/>
      <c r="B227" s="1254"/>
      <c r="C227" s="1254"/>
      <c r="D227" s="1254"/>
      <c r="E227" s="1254"/>
      <c r="F227" s="1254"/>
      <c r="G227" s="1254"/>
      <c r="H227" s="1254"/>
      <c r="I227" s="1254"/>
      <c r="J227" s="1254"/>
      <c r="K227" s="1254"/>
      <c r="L227" s="1254"/>
      <c r="M227" s="1254"/>
      <c r="N227" s="1319"/>
    </row>
    <row r="228" spans="1:14" s="1253" customFormat="1" ht="15" customHeight="1">
      <c r="A228" s="1254"/>
      <c r="B228" s="1254"/>
      <c r="C228" s="1254"/>
      <c r="D228" s="1254"/>
      <c r="E228" s="1254"/>
      <c r="F228" s="1254"/>
      <c r="G228" s="1254"/>
      <c r="H228" s="1254"/>
      <c r="I228" s="1254"/>
      <c r="J228" s="1254"/>
      <c r="K228" s="1254"/>
      <c r="L228" s="1254"/>
      <c r="M228" s="1254"/>
      <c r="N228" s="1319"/>
    </row>
    <row r="229" spans="1:14" s="1253" customFormat="1" ht="15" customHeight="1">
      <c r="A229" s="1254"/>
      <c r="B229" s="1254"/>
      <c r="C229" s="1254"/>
      <c r="D229" s="1254"/>
      <c r="E229" s="1254"/>
      <c r="F229" s="1254"/>
      <c r="G229" s="1254"/>
      <c r="H229" s="1254"/>
      <c r="I229" s="1254"/>
      <c r="J229" s="1254"/>
      <c r="K229" s="1254"/>
      <c r="L229" s="1254"/>
      <c r="M229" s="1254"/>
      <c r="N229" s="1319"/>
    </row>
    <row r="230" spans="1:14" s="1253" customFormat="1" ht="18" customHeight="1">
      <c r="A230" s="1468" t="s">
        <v>1781</v>
      </c>
      <c r="B230" s="1468"/>
      <c r="C230" s="1468"/>
      <c r="D230" s="1468"/>
      <c r="E230" s="1468"/>
      <c r="F230" s="1468"/>
      <c r="G230" s="1468"/>
      <c r="H230" s="1468"/>
      <c r="I230" s="1468"/>
      <c r="J230" s="1468"/>
      <c r="K230" s="1468"/>
      <c r="L230" s="1468"/>
      <c r="M230" s="1468"/>
      <c r="N230" s="1320"/>
    </row>
    <row r="231" spans="1:14" s="1253" customFormat="1">
      <c r="A231" s="1469" t="s">
        <v>1817</v>
      </c>
      <c r="B231" s="1469"/>
      <c r="C231" s="1469"/>
      <c r="D231" s="1469"/>
      <c r="E231" s="1469"/>
      <c r="F231" s="1469"/>
      <c r="G231" s="1469"/>
      <c r="H231" s="1469"/>
      <c r="I231" s="1469"/>
      <c r="J231" s="1469"/>
      <c r="K231" s="1469"/>
      <c r="L231" s="1469"/>
      <c r="M231" s="1469"/>
      <c r="N231" s="1321"/>
    </row>
    <row r="232" spans="1:14" s="668" customFormat="1" ht="18" customHeight="1">
      <c r="A232" s="1253" t="s">
        <v>1825</v>
      </c>
      <c r="B232" s="1253"/>
      <c r="C232" s="1253"/>
      <c r="D232" s="1253"/>
      <c r="E232" s="1253"/>
      <c r="F232" s="1253"/>
      <c r="G232" s="1254"/>
      <c r="H232" s="1253"/>
      <c r="I232" s="1255"/>
      <c r="J232" s="1253"/>
      <c r="K232" s="1253"/>
      <c r="L232" s="1256"/>
      <c r="M232" s="1256"/>
    </row>
    <row r="233" spans="1:14" s="668" customFormat="1" ht="18" customHeight="1">
      <c r="A233" s="1253" t="s">
        <v>1811</v>
      </c>
      <c r="B233" s="1253"/>
      <c r="C233" s="1253"/>
      <c r="D233" s="1253"/>
      <c r="E233" s="1253"/>
      <c r="F233" s="1253"/>
      <c r="G233" s="1254"/>
      <c r="H233" s="1253"/>
      <c r="I233" s="1255"/>
      <c r="J233" s="1253"/>
      <c r="K233" s="1253"/>
      <c r="L233" s="1256"/>
      <c r="M233" s="1256"/>
    </row>
    <row r="234" spans="1:14" s="668" customFormat="1" ht="8.1" customHeight="1">
      <c r="A234" s="1257" t="s">
        <v>1812</v>
      </c>
      <c r="B234" s="1253"/>
      <c r="C234" s="1253"/>
      <c r="D234" s="1253"/>
      <c r="E234" s="1253"/>
      <c r="F234" s="1253"/>
      <c r="G234" s="1254"/>
      <c r="H234" s="1253"/>
      <c r="I234" s="1255"/>
      <c r="J234" s="1253"/>
      <c r="K234" s="1253"/>
      <c r="L234" s="1256"/>
      <c r="M234" s="1256"/>
    </row>
    <row r="235" spans="1:14" s="1395" customFormat="1" ht="31.5" customHeight="1">
      <c r="A235" s="1394" t="s">
        <v>1826</v>
      </c>
      <c r="B235" s="1394"/>
      <c r="C235" s="1501" t="s">
        <v>1827</v>
      </c>
      <c r="D235" s="1501"/>
      <c r="E235" s="1501"/>
      <c r="F235" s="1501"/>
      <c r="G235" s="1501"/>
      <c r="H235" s="1501"/>
      <c r="I235" s="1501"/>
      <c r="J235" s="1501"/>
      <c r="K235" s="1501"/>
      <c r="L235" s="1501"/>
      <c r="M235" s="1501"/>
    </row>
    <row r="236" spans="1:14" s="778" customFormat="1" ht="18" customHeight="1" thickBot="1">
      <c r="A236" s="1506"/>
      <c r="B236" s="1506"/>
      <c r="C236" s="1506"/>
      <c r="D236" s="1506"/>
      <c r="E236" s="1506"/>
      <c r="F236" s="1506"/>
      <c r="G236" s="1506"/>
      <c r="H236" s="1506"/>
      <c r="I236" s="1506"/>
      <c r="J236" s="1506"/>
      <c r="K236" s="1506"/>
      <c r="L236" s="1506"/>
      <c r="M236" s="1506"/>
    </row>
    <row r="237" spans="1:14" ht="18" customHeight="1">
      <c r="A237" s="780"/>
      <c r="B237" s="781"/>
      <c r="C237" s="781"/>
      <c r="D237" s="781"/>
      <c r="E237" s="781"/>
      <c r="F237" s="782"/>
      <c r="G237" s="783"/>
      <c r="H237" s="784"/>
      <c r="I237" s="784" t="s">
        <v>6</v>
      </c>
      <c r="J237" s="1488" t="s">
        <v>1914</v>
      </c>
      <c r="K237" s="1489"/>
      <c r="L237" s="1490"/>
      <c r="M237" s="785" t="s">
        <v>7</v>
      </c>
    </row>
    <row r="238" spans="1:14" ht="18" customHeight="1">
      <c r="A238" s="1491"/>
      <c r="B238" s="1492"/>
      <c r="C238" s="1492"/>
      <c r="D238" s="1492"/>
      <c r="E238" s="1492"/>
      <c r="F238" s="1493"/>
      <c r="G238" s="1371"/>
      <c r="H238" s="786"/>
      <c r="I238" s="786">
        <v>2021</v>
      </c>
      <c r="J238" s="786" t="s">
        <v>560</v>
      </c>
      <c r="K238" s="786" t="s">
        <v>561</v>
      </c>
      <c r="L238" s="786">
        <v>2022</v>
      </c>
      <c r="M238" s="787">
        <v>2023</v>
      </c>
    </row>
    <row r="239" spans="1:14" ht="18" customHeight="1">
      <c r="A239" s="1491" t="s">
        <v>21</v>
      </c>
      <c r="B239" s="1492"/>
      <c r="C239" s="1492"/>
      <c r="D239" s="1492"/>
      <c r="E239" s="1492"/>
      <c r="F239" s="1493"/>
      <c r="G239" s="788"/>
      <c r="H239" s="789" t="s">
        <v>612</v>
      </c>
      <c r="I239" s="786" t="s">
        <v>909</v>
      </c>
      <c r="J239" s="786" t="s">
        <v>559</v>
      </c>
      <c r="K239" s="786" t="s">
        <v>562</v>
      </c>
      <c r="L239" s="786" t="s">
        <v>909</v>
      </c>
      <c r="M239" s="787" t="s">
        <v>909</v>
      </c>
    </row>
    <row r="240" spans="1:14" ht="18" customHeight="1">
      <c r="A240" s="790"/>
      <c r="B240" s="791"/>
      <c r="C240" s="791"/>
      <c r="D240" s="791"/>
      <c r="E240" s="791"/>
      <c r="F240" s="792"/>
      <c r="G240" s="788"/>
      <c r="H240" s="786"/>
      <c r="I240" s="786" t="s">
        <v>559</v>
      </c>
      <c r="J240" s="786">
        <v>2022</v>
      </c>
      <c r="K240" s="786">
        <v>2022</v>
      </c>
      <c r="L240" s="786" t="s">
        <v>910</v>
      </c>
      <c r="M240" s="787" t="s">
        <v>564</v>
      </c>
    </row>
    <row r="241" spans="1:13" ht="18" customHeight="1" thickBot="1">
      <c r="A241" s="1497"/>
      <c r="B241" s="1498"/>
      <c r="C241" s="1498"/>
      <c r="D241" s="1498"/>
      <c r="E241" s="1498"/>
      <c r="F241" s="1499"/>
      <c r="G241" s="1372"/>
      <c r="H241" s="793"/>
      <c r="I241" s="1393"/>
      <c r="J241" s="793"/>
      <c r="K241" s="793"/>
      <c r="L241" s="793"/>
      <c r="M241" s="794"/>
    </row>
    <row r="242" spans="1:13" ht="18" customHeight="1">
      <c r="A242" s="795"/>
      <c r="B242" s="796" t="s">
        <v>359</v>
      </c>
      <c r="C242" s="797"/>
      <c r="D242" s="796"/>
      <c r="E242" s="796"/>
      <c r="F242" s="798"/>
      <c r="G242" s="799"/>
      <c r="H242" s="841"/>
      <c r="I242" s="842"/>
      <c r="J242" s="843"/>
      <c r="K242" s="843"/>
      <c r="L242" s="843"/>
      <c r="M242" s="843"/>
    </row>
    <row r="243" spans="1:13" ht="18" customHeight="1">
      <c r="A243" s="803"/>
      <c r="B243" s="804"/>
      <c r="C243" s="804" t="s">
        <v>515</v>
      </c>
      <c r="D243" s="804"/>
      <c r="E243" s="804"/>
      <c r="F243" s="805"/>
      <c r="G243" s="806"/>
      <c r="H243" s="844"/>
      <c r="I243" s="845"/>
      <c r="J243" s="846"/>
      <c r="K243" s="846"/>
      <c r="L243" s="846"/>
      <c r="M243" s="846"/>
    </row>
    <row r="244" spans="1:13" ht="18" customHeight="1">
      <c r="A244" s="803"/>
      <c r="B244" s="804"/>
      <c r="C244" s="804"/>
      <c r="D244" s="804" t="s">
        <v>516</v>
      </c>
      <c r="E244" s="804"/>
      <c r="F244" s="805"/>
      <c r="G244" s="806" t="s">
        <v>582</v>
      </c>
      <c r="H244" s="810" t="s">
        <v>672</v>
      </c>
      <c r="I244" s="811">
        <f>1326804</f>
        <v>1326804</v>
      </c>
      <c r="J244" s="812">
        <v>679830</v>
      </c>
      <c r="K244" s="812">
        <f>1359660-J244</f>
        <v>679830</v>
      </c>
      <c r="L244" s="812">
        <f>SUM(K244+J244)</f>
        <v>1359660</v>
      </c>
      <c r="M244" s="812">
        <v>1394425</v>
      </c>
    </row>
    <row r="245" spans="1:13" ht="18" customHeight="1">
      <c r="A245" s="803"/>
      <c r="B245" s="804"/>
      <c r="C245" s="804" t="s">
        <v>517</v>
      </c>
      <c r="D245" s="804"/>
      <c r="E245" s="804"/>
      <c r="F245" s="805"/>
      <c r="G245" s="806"/>
      <c r="H245" s="813"/>
      <c r="I245" s="811"/>
      <c r="J245" s="812"/>
      <c r="K245" s="812"/>
      <c r="L245" s="812"/>
      <c r="M245" s="812"/>
    </row>
    <row r="246" spans="1:13" ht="18" customHeight="1">
      <c r="A246" s="803"/>
      <c r="B246" s="804"/>
      <c r="C246" s="804"/>
      <c r="D246" s="804" t="s">
        <v>518</v>
      </c>
      <c r="E246" s="804"/>
      <c r="F246" s="805"/>
      <c r="G246" s="806" t="s">
        <v>583</v>
      </c>
      <c r="H246" s="810" t="s">
        <v>673</v>
      </c>
      <c r="I246" s="811">
        <f>72000</f>
        <v>72000</v>
      </c>
      <c r="J246" s="812">
        <v>36000</v>
      </c>
      <c r="K246" s="812">
        <f>72000-J246</f>
        <v>36000</v>
      </c>
      <c r="L246" s="812">
        <f t="shared" ref="L246:L263" si="9">SUM(K246+J246)</f>
        <v>72000</v>
      </c>
      <c r="M246" s="812">
        <v>72000</v>
      </c>
    </row>
    <row r="247" spans="1:13" ht="18" customHeight="1">
      <c r="A247" s="803"/>
      <c r="B247" s="804"/>
      <c r="C247" s="804"/>
      <c r="D247" s="804" t="s">
        <v>528</v>
      </c>
      <c r="E247" s="804"/>
      <c r="F247" s="805"/>
      <c r="G247" s="806" t="s">
        <v>584</v>
      </c>
      <c r="H247" s="810" t="s">
        <v>674</v>
      </c>
      <c r="I247" s="811">
        <f>76500</f>
        <v>76500</v>
      </c>
      <c r="J247" s="812">
        <v>38250</v>
      </c>
      <c r="K247" s="812">
        <f>76500-J247</f>
        <v>38250</v>
      </c>
      <c r="L247" s="812">
        <f t="shared" si="9"/>
        <v>76500</v>
      </c>
      <c r="M247" s="812">
        <v>76500</v>
      </c>
    </row>
    <row r="248" spans="1:13" ht="18" customHeight="1">
      <c r="A248" s="803"/>
      <c r="B248" s="804"/>
      <c r="C248" s="804"/>
      <c r="D248" s="804" t="s">
        <v>527</v>
      </c>
      <c r="E248" s="804"/>
      <c r="F248" s="805"/>
      <c r="G248" s="806" t="s">
        <v>585</v>
      </c>
      <c r="H248" s="810" t="s">
        <v>675</v>
      </c>
      <c r="I248" s="811">
        <v>76500</v>
      </c>
      <c r="J248" s="812">
        <v>38250</v>
      </c>
      <c r="K248" s="812">
        <f>76500-J248</f>
        <v>38250</v>
      </c>
      <c r="L248" s="812">
        <f t="shared" si="9"/>
        <v>76500</v>
      </c>
      <c r="M248" s="812">
        <v>76500</v>
      </c>
    </row>
    <row r="249" spans="1:13" ht="18" customHeight="1">
      <c r="A249" s="803"/>
      <c r="B249" s="804"/>
      <c r="C249" s="804"/>
      <c r="D249" s="804" t="s">
        <v>529</v>
      </c>
      <c r="E249" s="804"/>
      <c r="F249" s="805"/>
      <c r="G249" s="806" t="s">
        <v>586</v>
      </c>
      <c r="H249" s="810" t="s">
        <v>676</v>
      </c>
      <c r="I249" s="811">
        <f>18000</f>
        <v>18000</v>
      </c>
      <c r="J249" s="812">
        <v>18000</v>
      </c>
      <c r="K249" s="812">
        <f>18000-J249</f>
        <v>0</v>
      </c>
      <c r="L249" s="812">
        <f t="shared" si="9"/>
        <v>18000</v>
      </c>
      <c r="M249" s="812">
        <v>18000</v>
      </c>
    </row>
    <row r="250" spans="1:13" ht="18" customHeight="1">
      <c r="A250" s="803"/>
      <c r="B250" s="804"/>
      <c r="C250" s="804"/>
      <c r="D250" s="804" t="s">
        <v>670</v>
      </c>
      <c r="E250" s="804"/>
      <c r="F250" s="805"/>
      <c r="G250" s="806" t="s">
        <v>588</v>
      </c>
      <c r="H250" s="810" t="s">
        <v>677</v>
      </c>
      <c r="I250" s="811">
        <f>15000</f>
        <v>15000</v>
      </c>
      <c r="J250" s="812">
        <v>0</v>
      </c>
      <c r="K250" s="812">
        <f>15000-J250</f>
        <v>15000</v>
      </c>
      <c r="L250" s="812">
        <f t="shared" si="9"/>
        <v>15000</v>
      </c>
      <c r="M250" s="812">
        <v>15000</v>
      </c>
    </row>
    <row r="251" spans="1:13" ht="18" customHeight="1">
      <c r="A251" s="803"/>
      <c r="B251" s="804"/>
      <c r="C251" s="804"/>
      <c r="D251" s="804" t="s">
        <v>531</v>
      </c>
      <c r="E251" s="804"/>
      <c r="F251" s="805"/>
      <c r="G251" s="806" t="s">
        <v>425</v>
      </c>
      <c r="H251" s="810" t="s">
        <v>678</v>
      </c>
      <c r="I251" s="811">
        <v>0</v>
      </c>
      <c r="J251" s="812">
        <v>0</v>
      </c>
      <c r="K251" s="812">
        <v>0</v>
      </c>
      <c r="L251" s="812">
        <f t="shared" si="9"/>
        <v>0</v>
      </c>
      <c r="M251" s="812">
        <v>5000</v>
      </c>
    </row>
    <row r="252" spans="1:13" ht="18" customHeight="1">
      <c r="A252" s="803"/>
      <c r="B252" s="804"/>
      <c r="C252" s="804"/>
      <c r="D252" s="804" t="s">
        <v>1580</v>
      </c>
      <c r="E252" s="804"/>
      <c r="F252" s="805"/>
      <c r="G252" s="806" t="s">
        <v>425</v>
      </c>
      <c r="H252" s="810" t="s">
        <v>678</v>
      </c>
      <c r="I252" s="811">
        <f>9000</f>
        <v>9000</v>
      </c>
      <c r="J252" s="812">
        <v>0</v>
      </c>
      <c r="K252" s="812">
        <f>0-J252</f>
        <v>0</v>
      </c>
      <c r="L252" s="812">
        <f t="shared" si="9"/>
        <v>0</v>
      </c>
      <c r="M252" s="812">
        <v>0</v>
      </c>
    </row>
    <row r="253" spans="1:13" ht="18" hidden="1" customHeight="1">
      <c r="A253" s="803"/>
      <c r="B253" s="804"/>
      <c r="C253" s="804"/>
      <c r="D253" s="804" t="s">
        <v>1492</v>
      </c>
      <c r="E253" s="804"/>
      <c r="F253" s="805"/>
      <c r="G253" s="806"/>
      <c r="H253" s="810" t="s">
        <v>678</v>
      </c>
      <c r="I253" s="811">
        <v>0</v>
      </c>
      <c r="J253" s="812">
        <v>0</v>
      </c>
      <c r="K253" s="812">
        <v>0</v>
      </c>
      <c r="L253" s="812">
        <f t="shared" si="9"/>
        <v>0</v>
      </c>
      <c r="M253" s="812">
        <v>0</v>
      </c>
    </row>
    <row r="254" spans="1:13" ht="18" customHeight="1">
      <c r="A254" s="803"/>
      <c r="B254" s="804"/>
      <c r="C254" s="804"/>
      <c r="D254" s="804" t="s">
        <v>533</v>
      </c>
      <c r="E254" s="804"/>
      <c r="F254" s="805"/>
      <c r="G254" s="806" t="s">
        <v>591</v>
      </c>
      <c r="H254" s="810" t="s">
        <v>679</v>
      </c>
      <c r="I254" s="811">
        <f>15000</f>
        <v>15000</v>
      </c>
      <c r="J254" s="812">
        <v>0</v>
      </c>
      <c r="K254" s="812">
        <f>15000-J254</f>
        <v>15000</v>
      </c>
      <c r="L254" s="812">
        <f t="shared" si="9"/>
        <v>15000</v>
      </c>
      <c r="M254" s="812">
        <v>15000</v>
      </c>
    </row>
    <row r="255" spans="1:13" ht="18" customHeight="1">
      <c r="A255" s="803"/>
      <c r="B255" s="804"/>
      <c r="C255" s="804"/>
      <c r="D255" s="804" t="s">
        <v>790</v>
      </c>
      <c r="E255" s="804"/>
      <c r="F255" s="804"/>
      <c r="G255" s="814" t="s">
        <v>425</v>
      </c>
      <c r="H255" s="810" t="s">
        <v>678</v>
      </c>
      <c r="I255" s="811">
        <f>110567</f>
        <v>110567</v>
      </c>
      <c r="J255" s="812">
        <v>113305</v>
      </c>
      <c r="K255" s="812">
        <f>113305-J255</f>
        <v>0</v>
      </c>
      <c r="L255" s="812">
        <f t="shared" si="9"/>
        <v>113305</v>
      </c>
      <c r="M255" s="812">
        <v>116040</v>
      </c>
    </row>
    <row r="256" spans="1:13" ht="18" customHeight="1">
      <c r="A256" s="803"/>
      <c r="B256" s="804"/>
      <c r="C256" s="804"/>
      <c r="D256" s="804" t="s">
        <v>534</v>
      </c>
      <c r="E256" s="804"/>
      <c r="F256" s="805"/>
      <c r="G256" s="806" t="s">
        <v>592</v>
      </c>
      <c r="H256" s="810" t="s">
        <v>680</v>
      </c>
      <c r="I256" s="811">
        <f>110567</f>
        <v>110567</v>
      </c>
      <c r="J256" s="812">
        <v>0</v>
      </c>
      <c r="K256" s="812">
        <f>113305-J256</f>
        <v>113305</v>
      </c>
      <c r="L256" s="812">
        <f t="shared" si="9"/>
        <v>113305</v>
      </c>
      <c r="M256" s="812">
        <v>116296</v>
      </c>
    </row>
    <row r="257" spans="1:13" ht="18" customHeight="1">
      <c r="A257" s="803"/>
      <c r="B257" s="804"/>
      <c r="C257" s="804"/>
      <c r="D257" s="804" t="s">
        <v>646</v>
      </c>
      <c r="E257" s="804"/>
      <c r="F257" s="805"/>
      <c r="G257" s="806" t="s">
        <v>593</v>
      </c>
      <c r="H257" s="810" t="s">
        <v>681</v>
      </c>
      <c r="I257" s="811">
        <f>159046.68</f>
        <v>159046.68</v>
      </c>
      <c r="J257" s="812">
        <v>66340.2</v>
      </c>
      <c r="K257" s="812">
        <f>164000-J257</f>
        <v>97659.8</v>
      </c>
      <c r="L257" s="812">
        <f t="shared" si="9"/>
        <v>164000</v>
      </c>
      <c r="M257" s="812">
        <v>168000</v>
      </c>
    </row>
    <row r="258" spans="1:13" ht="18" customHeight="1">
      <c r="A258" s="803"/>
      <c r="B258" s="804"/>
      <c r="C258" s="804"/>
      <c r="D258" s="804" t="s">
        <v>535</v>
      </c>
      <c r="E258" s="804"/>
      <c r="F258" s="805"/>
      <c r="G258" s="806" t="s">
        <v>594</v>
      </c>
      <c r="H258" s="810" t="s">
        <v>682</v>
      </c>
      <c r="I258" s="811">
        <f>3600</f>
        <v>3600</v>
      </c>
      <c r="J258" s="812">
        <v>1500</v>
      </c>
      <c r="K258" s="812">
        <f>5400-J258</f>
        <v>3900</v>
      </c>
      <c r="L258" s="812">
        <f t="shared" si="9"/>
        <v>5400</v>
      </c>
      <c r="M258" s="812">
        <v>5400</v>
      </c>
    </row>
    <row r="259" spans="1:13" ht="18" customHeight="1">
      <c r="A259" s="803"/>
      <c r="B259" s="804"/>
      <c r="C259" s="804"/>
      <c r="D259" s="804" t="s">
        <v>536</v>
      </c>
      <c r="E259" s="804"/>
      <c r="F259" s="805"/>
      <c r="G259" s="806" t="s">
        <v>595</v>
      </c>
      <c r="H259" s="810" t="s">
        <v>683</v>
      </c>
      <c r="I259" s="811">
        <f>15645</f>
        <v>15645</v>
      </c>
      <c r="J259" s="812">
        <v>6585</v>
      </c>
      <c r="K259" s="812">
        <f>28500-J259</f>
        <v>21915</v>
      </c>
      <c r="L259" s="812">
        <f t="shared" si="9"/>
        <v>28500</v>
      </c>
      <c r="M259" s="812">
        <v>31500</v>
      </c>
    </row>
    <row r="260" spans="1:13" ht="18" customHeight="1">
      <c r="A260" s="803"/>
      <c r="B260" s="804"/>
      <c r="C260" s="804"/>
      <c r="D260" s="804" t="s">
        <v>642</v>
      </c>
      <c r="E260" s="804"/>
      <c r="F260" s="805"/>
      <c r="G260" s="806" t="s">
        <v>596</v>
      </c>
      <c r="H260" s="810" t="s">
        <v>684</v>
      </c>
      <c r="I260" s="811">
        <f>3600</f>
        <v>3600</v>
      </c>
      <c r="J260" s="812">
        <v>1500</v>
      </c>
      <c r="K260" s="812">
        <f>3600-J260</f>
        <v>2100</v>
      </c>
      <c r="L260" s="812">
        <f t="shared" si="9"/>
        <v>3600</v>
      </c>
      <c r="M260" s="812">
        <v>3600</v>
      </c>
    </row>
    <row r="261" spans="1:13" ht="18" customHeight="1">
      <c r="A261" s="803"/>
      <c r="B261" s="804"/>
      <c r="C261" s="804"/>
      <c r="D261" s="804" t="s">
        <v>365</v>
      </c>
      <c r="E261" s="804"/>
      <c r="F261" s="805"/>
      <c r="G261" s="806"/>
      <c r="H261" s="810" t="s">
        <v>685</v>
      </c>
      <c r="I261" s="811">
        <v>0</v>
      </c>
      <c r="J261" s="812">
        <v>0</v>
      </c>
      <c r="K261" s="812">
        <f>0-J261</f>
        <v>0</v>
      </c>
      <c r="L261" s="812">
        <f t="shared" si="9"/>
        <v>0</v>
      </c>
      <c r="M261" s="812">
        <v>450000</v>
      </c>
    </row>
    <row r="262" spans="1:13" ht="18" customHeight="1">
      <c r="A262" s="803"/>
      <c r="B262" s="804"/>
      <c r="C262" s="804"/>
      <c r="D262" s="804" t="s">
        <v>538</v>
      </c>
      <c r="E262" s="804"/>
      <c r="F262" s="805"/>
      <c r="G262" s="806" t="s">
        <v>388</v>
      </c>
      <c r="H262" s="810" t="s">
        <v>696</v>
      </c>
      <c r="I262" s="811">
        <f>304222.98</f>
        <v>304222.98</v>
      </c>
      <c r="J262" s="812">
        <v>0</v>
      </c>
      <c r="K262" s="812">
        <f>0-J262</f>
        <v>0</v>
      </c>
      <c r="L262" s="812">
        <f t="shared" si="9"/>
        <v>0</v>
      </c>
      <c r="M262" s="812">
        <v>0</v>
      </c>
    </row>
    <row r="263" spans="1:13" ht="18" customHeight="1">
      <c r="A263" s="803"/>
      <c r="B263" s="804"/>
      <c r="C263" s="804"/>
      <c r="D263" s="804" t="s">
        <v>1493</v>
      </c>
      <c r="E263" s="804"/>
      <c r="F263" s="805"/>
      <c r="G263" s="806"/>
      <c r="H263" s="810" t="s">
        <v>696</v>
      </c>
      <c r="I263" s="811">
        <f>30000</f>
        <v>30000</v>
      </c>
      <c r="J263" s="812">
        <v>0</v>
      </c>
      <c r="K263" s="812">
        <v>0</v>
      </c>
      <c r="L263" s="812">
        <f t="shared" si="9"/>
        <v>0</v>
      </c>
      <c r="M263" s="812">
        <v>0</v>
      </c>
    </row>
    <row r="264" spans="1:13" s="820" customFormat="1" ht="18" customHeight="1">
      <c r="A264" s="815"/>
      <c r="B264" s="816"/>
      <c r="C264" s="816"/>
      <c r="D264" s="816" t="s">
        <v>364</v>
      </c>
      <c r="E264" s="816"/>
      <c r="F264" s="817"/>
      <c r="G264" s="818"/>
      <c r="H264" s="847"/>
      <c r="I264" s="819">
        <f>SUM(I244:I263)</f>
        <v>2346052.66</v>
      </c>
      <c r="J264" s="819">
        <f>SUM(J244:J263)</f>
        <v>999560.2</v>
      </c>
      <c r="K264" s="819">
        <f>SUM(K244:K263)</f>
        <v>1061209.8</v>
      </c>
      <c r="L264" s="819">
        <f>SUM(L244:L263)</f>
        <v>2060770</v>
      </c>
      <c r="M264" s="819">
        <f>SUM(M244:M263)</f>
        <v>2563261</v>
      </c>
    </row>
    <row r="265" spans="1:13" ht="18" customHeight="1">
      <c r="A265" s="803"/>
      <c r="B265" s="804" t="s">
        <v>539</v>
      </c>
      <c r="C265" s="804"/>
      <c r="D265" s="804"/>
      <c r="E265" s="804"/>
      <c r="F265" s="805"/>
      <c r="G265" s="806"/>
      <c r="H265" s="844"/>
      <c r="I265" s="811"/>
      <c r="J265" s="812"/>
      <c r="K265" s="812"/>
      <c r="L265" s="812"/>
      <c r="M265" s="812"/>
    </row>
    <row r="266" spans="1:13" ht="18" customHeight="1">
      <c r="A266" s="803"/>
      <c r="B266" s="804"/>
      <c r="C266" s="804"/>
      <c r="D266" s="804" t="s">
        <v>540</v>
      </c>
      <c r="E266" s="804"/>
      <c r="F266" s="805"/>
      <c r="G266" s="806" t="s">
        <v>376</v>
      </c>
      <c r="H266" s="810" t="s">
        <v>686</v>
      </c>
      <c r="I266" s="811">
        <f>5060</f>
        <v>5060</v>
      </c>
      <c r="J266" s="812">
        <v>29750</v>
      </c>
      <c r="K266" s="812">
        <f>43000-J266</f>
        <v>13250</v>
      </c>
      <c r="L266" s="812">
        <f t="shared" ref="L266:L273" si="10">SUM(K266+J266)</f>
        <v>43000</v>
      </c>
      <c r="M266" s="812">
        <v>43000</v>
      </c>
    </row>
    <row r="267" spans="1:13" ht="18" customHeight="1">
      <c r="A267" s="803"/>
      <c r="B267" s="804"/>
      <c r="C267" s="804"/>
      <c r="D267" s="804" t="s">
        <v>421</v>
      </c>
      <c r="E267" s="804"/>
      <c r="F267" s="805"/>
      <c r="G267" s="806" t="s">
        <v>377</v>
      </c>
      <c r="H267" s="810" t="s">
        <v>687</v>
      </c>
      <c r="I267" s="811">
        <f>18975</f>
        <v>18975</v>
      </c>
      <c r="J267" s="812">
        <v>26000</v>
      </c>
      <c r="K267" s="812">
        <f>35000-J267</f>
        <v>9000</v>
      </c>
      <c r="L267" s="812">
        <f t="shared" si="10"/>
        <v>35000</v>
      </c>
      <c r="M267" s="812">
        <v>35000</v>
      </c>
    </row>
    <row r="268" spans="1:13" ht="18" customHeight="1">
      <c r="A268" s="803"/>
      <c r="B268" s="804"/>
      <c r="C268" s="804"/>
      <c r="D268" s="804" t="s">
        <v>371</v>
      </c>
      <c r="E268" s="804"/>
      <c r="F268" s="805"/>
      <c r="G268" s="806" t="s">
        <v>379</v>
      </c>
      <c r="H268" s="810" t="s">
        <v>688</v>
      </c>
      <c r="I268" s="811">
        <f>56730</f>
        <v>56730</v>
      </c>
      <c r="J268" s="812">
        <v>22820</v>
      </c>
      <c r="K268" s="812">
        <f>85000-J268</f>
        <v>62180</v>
      </c>
      <c r="L268" s="812">
        <f t="shared" si="10"/>
        <v>85000</v>
      </c>
      <c r="M268" s="812">
        <v>85000</v>
      </c>
    </row>
    <row r="269" spans="1:13" ht="18" customHeight="1">
      <c r="A269" s="803"/>
      <c r="B269" s="804"/>
      <c r="C269" s="804"/>
      <c r="D269" s="804" t="s">
        <v>544</v>
      </c>
      <c r="E269" s="804"/>
      <c r="F269" s="805"/>
      <c r="G269" s="806" t="s">
        <v>601</v>
      </c>
      <c r="H269" s="810" t="s">
        <v>689</v>
      </c>
      <c r="I269" s="811">
        <v>0</v>
      </c>
      <c r="J269" s="812">
        <v>0</v>
      </c>
      <c r="K269" s="812">
        <f>250-J269</f>
        <v>250</v>
      </c>
      <c r="L269" s="812">
        <f t="shared" si="10"/>
        <v>250</v>
      </c>
      <c r="M269" s="812">
        <v>250</v>
      </c>
    </row>
    <row r="270" spans="1:13" ht="18" customHeight="1">
      <c r="A270" s="803"/>
      <c r="B270" s="804"/>
      <c r="C270" s="804"/>
      <c r="D270" s="804" t="s">
        <v>546</v>
      </c>
      <c r="E270" s="804"/>
      <c r="F270" s="805"/>
      <c r="G270" s="806" t="s">
        <v>380</v>
      </c>
      <c r="H270" s="810" t="s">
        <v>690</v>
      </c>
      <c r="I270" s="811">
        <f>36000</f>
        <v>36000</v>
      </c>
      <c r="J270" s="812">
        <v>18000</v>
      </c>
      <c r="K270" s="812">
        <f>36000-J270</f>
        <v>18000</v>
      </c>
      <c r="L270" s="812">
        <f t="shared" si="10"/>
        <v>36000</v>
      </c>
      <c r="M270" s="812">
        <v>36000</v>
      </c>
    </row>
    <row r="271" spans="1:13" ht="18" customHeight="1">
      <c r="A271" s="803"/>
      <c r="B271" s="804"/>
      <c r="C271" s="804"/>
      <c r="D271" s="804" t="s">
        <v>902</v>
      </c>
      <c r="E271" s="804"/>
      <c r="F271" s="805"/>
      <c r="G271" s="806" t="s">
        <v>381</v>
      </c>
      <c r="H271" s="810" t="s">
        <v>691</v>
      </c>
      <c r="I271" s="811">
        <f>1500</f>
        <v>1500</v>
      </c>
      <c r="J271" s="812">
        <v>0</v>
      </c>
      <c r="K271" s="812">
        <f>14000-J271</f>
        <v>14000</v>
      </c>
      <c r="L271" s="812">
        <f t="shared" si="10"/>
        <v>14000</v>
      </c>
      <c r="M271" s="812">
        <v>14000</v>
      </c>
    </row>
    <row r="272" spans="1:13" ht="18" customHeight="1">
      <c r="A272" s="803"/>
      <c r="B272" s="804"/>
      <c r="C272" s="804"/>
      <c r="D272" s="804" t="s">
        <v>552</v>
      </c>
      <c r="E272" s="804"/>
      <c r="F272" s="805"/>
      <c r="G272" s="806" t="s">
        <v>382</v>
      </c>
      <c r="H272" s="810" t="s">
        <v>692</v>
      </c>
      <c r="I272" s="811">
        <v>0</v>
      </c>
      <c r="J272" s="812">
        <v>0</v>
      </c>
      <c r="K272" s="812">
        <f>6000-J272</f>
        <v>6000</v>
      </c>
      <c r="L272" s="812">
        <f t="shared" si="10"/>
        <v>6000</v>
      </c>
      <c r="M272" s="812">
        <v>6000</v>
      </c>
    </row>
    <row r="273" spans="1:13" ht="18" customHeight="1">
      <c r="A273" s="803"/>
      <c r="B273" s="804"/>
      <c r="C273" s="804"/>
      <c r="D273" s="804" t="s">
        <v>1681</v>
      </c>
      <c r="E273" s="804"/>
      <c r="F273" s="805"/>
      <c r="G273" s="806"/>
      <c r="H273" s="810" t="s">
        <v>692</v>
      </c>
      <c r="I273" s="811">
        <f>75000</f>
        <v>75000</v>
      </c>
      <c r="J273" s="812">
        <v>0</v>
      </c>
      <c r="K273" s="812">
        <f>0-J273</f>
        <v>0</v>
      </c>
      <c r="L273" s="812">
        <f t="shared" si="10"/>
        <v>0</v>
      </c>
      <c r="M273" s="812">
        <v>0</v>
      </c>
    </row>
    <row r="274" spans="1:13" s="820" customFormat="1" ht="18" customHeight="1">
      <c r="A274" s="815"/>
      <c r="B274" s="816"/>
      <c r="C274" s="816"/>
      <c r="D274" s="816" t="s">
        <v>737</v>
      </c>
      <c r="E274" s="816"/>
      <c r="F274" s="817"/>
      <c r="G274" s="818"/>
      <c r="H274" s="847"/>
      <c r="I274" s="819">
        <f>SUM(I266:I273)</f>
        <v>193265</v>
      </c>
      <c r="J274" s="819">
        <f>SUM(J266:J273)</f>
        <v>96570</v>
      </c>
      <c r="K274" s="819">
        <f>SUM(K266:K273)</f>
        <v>122680</v>
      </c>
      <c r="L274" s="819">
        <f>SUM(L266:L273)</f>
        <v>219250</v>
      </c>
      <c r="M274" s="819">
        <f>SUM(M266:M273)</f>
        <v>219250</v>
      </c>
    </row>
    <row r="275" spans="1:13" ht="18" customHeight="1">
      <c r="A275" s="803"/>
      <c r="B275" s="804" t="s">
        <v>553</v>
      </c>
      <c r="C275" s="804"/>
      <c r="D275" s="804"/>
      <c r="E275" s="804"/>
      <c r="F275" s="805"/>
      <c r="G275" s="806"/>
      <c r="H275" s="844"/>
      <c r="I275" s="811"/>
      <c r="J275" s="812"/>
      <c r="K275" s="812"/>
      <c r="L275" s="812"/>
      <c r="M275" s="812"/>
    </row>
    <row r="276" spans="1:13" ht="18" customHeight="1">
      <c r="A276" s="803"/>
      <c r="B276" s="804"/>
      <c r="C276" s="804"/>
      <c r="D276" s="804" t="s">
        <v>932</v>
      </c>
      <c r="E276" s="804"/>
      <c r="F276" s="805"/>
      <c r="G276" s="806" t="s">
        <v>832</v>
      </c>
      <c r="H276" s="810" t="s">
        <v>1527</v>
      </c>
      <c r="I276" s="811">
        <f>49900</f>
        <v>49900</v>
      </c>
      <c r="J276" s="812">
        <v>16990</v>
      </c>
      <c r="K276" s="812">
        <f>70000-J276</f>
        <v>53010</v>
      </c>
      <c r="L276" s="812">
        <f>SUM(K276+J276)</f>
        <v>70000</v>
      </c>
      <c r="M276" s="812">
        <v>0</v>
      </c>
    </row>
    <row r="277" spans="1:13" ht="18" customHeight="1">
      <c r="A277" s="803"/>
      <c r="B277" s="804"/>
      <c r="C277" s="804"/>
      <c r="D277" s="804" t="s">
        <v>839</v>
      </c>
      <c r="E277" s="804"/>
      <c r="F277" s="805"/>
      <c r="G277" s="806" t="s">
        <v>890</v>
      </c>
      <c r="H277" s="810" t="s">
        <v>840</v>
      </c>
      <c r="I277" s="811">
        <f>18990</f>
        <v>18990</v>
      </c>
      <c r="J277" s="812">
        <v>0</v>
      </c>
      <c r="K277" s="812">
        <f>0-J277</f>
        <v>0</v>
      </c>
      <c r="L277" s="812">
        <f>SUM(K277+J277)</f>
        <v>0</v>
      </c>
      <c r="M277" s="812">
        <v>0</v>
      </c>
    </row>
    <row r="278" spans="1:13" ht="18" hidden="1" customHeight="1">
      <c r="A278" s="803"/>
      <c r="B278" s="804"/>
      <c r="C278" s="804"/>
      <c r="D278" s="804" t="s">
        <v>833</v>
      </c>
      <c r="E278" s="804"/>
      <c r="F278" s="805"/>
      <c r="G278" s="806" t="s">
        <v>834</v>
      </c>
      <c r="H278" s="810" t="s">
        <v>835</v>
      </c>
      <c r="I278" s="811">
        <v>0</v>
      </c>
      <c r="J278" s="812">
        <v>0</v>
      </c>
      <c r="K278" s="812">
        <f>0-J278</f>
        <v>0</v>
      </c>
      <c r="L278" s="812">
        <f>SUM(K278+J278)</f>
        <v>0</v>
      </c>
      <c r="M278" s="812">
        <v>0</v>
      </c>
    </row>
    <row r="279" spans="1:13" s="820" customFormat="1" ht="18" customHeight="1">
      <c r="A279" s="815"/>
      <c r="B279" s="816"/>
      <c r="C279" s="816"/>
      <c r="D279" s="816" t="s">
        <v>782</v>
      </c>
      <c r="E279" s="816"/>
      <c r="F279" s="817"/>
      <c r="G279" s="818"/>
      <c r="H279" s="847"/>
      <c r="I279" s="819">
        <f>SUM(I276:I278)</f>
        <v>68890</v>
      </c>
      <c r="J279" s="819">
        <f>SUM(J276:J278)</f>
        <v>16990</v>
      </c>
      <c r="K279" s="819">
        <f>SUM(K276:K278)</f>
        <v>53010</v>
      </c>
      <c r="L279" s="819">
        <f>SUM(L276:L278)</f>
        <v>70000</v>
      </c>
      <c r="M279" s="819">
        <f>SUM(M276:M278)</f>
        <v>0</v>
      </c>
    </row>
    <row r="280" spans="1:13" s="820" customFormat="1" ht="18" customHeight="1">
      <c r="A280" s="815"/>
      <c r="B280" s="816"/>
      <c r="C280" s="816"/>
      <c r="D280" s="816"/>
      <c r="E280" s="816"/>
      <c r="F280" s="817"/>
      <c r="G280" s="818"/>
      <c r="H280" s="847"/>
      <c r="I280" s="819"/>
      <c r="J280" s="822"/>
      <c r="K280" s="822"/>
      <c r="L280" s="822"/>
      <c r="M280" s="822"/>
    </row>
    <row r="281" spans="1:13" ht="18" customHeight="1">
      <c r="A281" s="823" t="s">
        <v>613</v>
      </c>
      <c r="B281" s="824"/>
      <c r="C281" s="824"/>
      <c r="D281" s="824"/>
      <c r="E281" s="824"/>
      <c r="F281" s="825"/>
      <c r="G281" s="826"/>
      <c r="H281" s="848"/>
      <c r="I281" s="828">
        <f>SUM(I279+I274+I264)</f>
        <v>2608207.66</v>
      </c>
      <c r="J281" s="828">
        <f>SUM(J279+J274+J264)</f>
        <v>1113120.2</v>
      </c>
      <c r="K281" s="828">
        <f>SUM(K279+K274+K264)</f>
        <v>1236899.8</v>
      </c>
      <c r="L281" s="828">
        <f>SUM(L279+L274+L264)</f>
        <v>2350020</v>
      </c>
      <c r="M281" s="828">
        <f>SUM(M279+M274+M264)</f>
        <v>2782511</v>
      </c>
    </row>
    <row r="282" spans="1:13" ht="18" customHeight="1">
      <c r="A282" s="791"/>
      <c r="B282" s="829"/>
      <c r="C282" s="791"/>
      <c r="D282" s="791"/>
      <c r="E282" s="791"/>
      <c r="F282" s="791"/>
      <c r="G282" s="791"/>
      <c r="H282" s="830"/>
      <c r="I282" s="967"/>
      <c r="J282" s="831"/>
      <c r="K282" s="831"/>
      <c r="L282" s="831"/>
      <c r="M282" s="831"/>
    </row>
    <row r="283" spans="1:13" s="1329" customFormat="1" ht="18" customHeight="1">
      <c r="A283" s="1484" t="s">
        <v>1796</v>
      </c>
      <c r="B283" s="1484"/>
      <c r="C283" s="1484"/>
      <c r="D283" s="1484"/>
      <c r="E283" s="1484"/>
      <c r="F283" s="1484"/>
      <c r="G283" s="1484"/>
      <c r="H283" s="1484"/>
      <c r="I283" s="1484"/>
      <c r="J283" s="1484"/>
      <c r="K283" s="1484"/>
      <c r="L283" s="1484"/>
      <c r="M283" s="1484"/>
    </row>
    <row r="284" spans="1:13" s="1329" customFormat="1" ht="18" customHeight="1">
      <c r="A284" s="1330"/>
      <c r="B284" s="1330"/>
      <c r="C284" s="1330"/>
      <c r="D284" s="1330"/>
      <c r="E284" s="1330"/>
      <c r="F284" s="1330"/>
      <c r="G284" s="1330"/>
      <c r="H284" s="1330"/>
      <c r="I284" s="1330"/>
      <c r="J284" s="1330"/>
      <c r="K284" s="1330"/>
      <c r="L284" s="1330"/>
      <c r="M284" s="1330"/>
    </row>
    <row r="285" spans="1:13" s="1329" customFormat="1" ht="18" customHeight="1">
      <c r="A285" s="1330"/>
      <c r="B285" s="1330"/>
      <c r="C285" s="1330"/>
      <c r="D285" s="1330"/>
      <c r="E285" s="1330"/>
      <c r="F285" s="1330"/>
      <c r="G285" s="1330"/>
      <c r="H285" s="1330"/>
      <c r="I285" s="1330"/>
      <c r="J285" s="1330"/>
      <c r="K285" s="1330"/>
      <c r="L285" s="1330"/>
      <c r="M285" s="1330"/>
    </row>
    <row r="286" spans="1:13" s="1336" customFormat="1" ht="20.100000000000001" customHeight="1">
      <c r="A286" s="1485" t="s">
        <v>1572</v>
      </c>
      <c r="B286" s="1485"/>
      <c r="C286" s="1485"/>
      <c r="D286" s="1485"/>
      <c r="E286" s="1485"/>
      <c r="F286" s="1485"/>
      <c r="G286" s="1485"/>
      <c r="H286" s="1485"/>
      <c r="I286" s="1485"/>
      <c r="J286" s="1485"/>
      <c r="K286" s="1485"/>
      <c r="L286" s="1485"/>
      <c r="M286" s="1485"/>
    </row>
    <row r="287" spans="1:13" s="778" customFormat="1" ht="18" customHeight="1">
      <c r="A287" s="777"/>
      <c r="B287" s="776"/>
      <c r="C287" s="777"/>
      <c r="D287" s="777"/>
      <c r="E287" s="777"/>
      <c r="F287" s="777"/>
      <c r="G287" s="838"/>
      <c r="H287" s="830"/>
      <c r="I287" s="967"/>
      <c r="K287" s="840"/>
      <c r="L287" s="840"/>
      <c r="M287" s="831"/>
    </row>
    <row r="288" spans="1:13" s="778" customFormat="1" ht="18" customHeight="1">
      <c r="A288" s="777"/>
      <c r="B288" s="776"/>
      <c r="C288" s="777"/>
      <c r="D288" s="777"/>
      <c r="E288" s="777"/>
      <c r="F288" s="777"/>
      <c r="G288" s="838"/>
      <c r="H288" s="830"/>
      <c r="I288" s="967"/>
      <c r="K288" s="840"/>
      <c r="L288" s="840"/>
      <c r="M288" s="831"/>
    </row>
    <row r="289" spans="1:14" s="778" customFormat="1" ht="18" customHeight="1">
      <c r="A289" s="777"/>
      <c r="B289" s="776"/>
      <c r="C289" s="777"/>
      <c r="D289" s="777"/>
      <c r="E289" s="777"/>
      <c r="F289" s="777"/>
      <c r="G289" s="838"/>
      <c r="H289" s="830"/>
      <c r="I289" s="967"/>
      <c r="K289" s="840"/>
      <c r="L289" s="840"/>
      <c r="M289" s="831"/>
    </row>
    <row r="290" spans="1:14" s="778" customFormat="1" ht="18" customHeight="1">
      <c r="A290" s="777"/>
      <c r="B290" s="776"/>
      <c r="C290" s="777"/>
      <c r="D290" s="777"/>
      <c r="E290" s="777"/>
      <c r="F290" s="777"/>
      <c r="G290" s="838"/>
      <c r="H290" s="830"/>
      <c r="I290" s="967"/>
      <c r="K290" s="840"/>
      <c r="L290" s="840"/>
      <c r="M290" s="831"/>
    </row>
    <row r="291" spans="1:14" s="778" customFormat="1" ht="18" customHeight="1">
      <c r="A291" s="777"/>
      <c r="B291" s="776"/>
      <c r="C291" s="777"/>
      <c r="D291" s="777"/>
      <c r="E291" s="777"/>
      <c r="F291" s="777"/>
      <c r="G291" s="838"/>
      <c r="H291" s="830"/>
      <c r="I291" s="967"/>
      <c r="K291" s="840"/>
      <c r="L291" s="840"/>
      <c r="M291" s="831"/>
    </row>
    <row r="292" spans="1:14" s="1253" customFormat="1" ht="15" customHeight="1">
      <c r="A292" s="1467" t="s">
        <v>861</v>
      </c>
      <c r="B292" s="1467"/>
      <c r="C292" s="1467"/>
      <c r="D292" s="1467"/>
      <c r="E292" s="1467"/>
      <c r="F292" s="1467"/>
      <c r="G292" s="1467"/>
      <c r="H292" s="1467"/>
      <c r="I292" s="1467"/>
      <c r="J292" s="1467"/>
      <c r="K292" s="1467"/>
      <c r="L292" s="1467"/>
      <c r="M292" s="1467"/>
      <c r="N292" s="1319"/>
    </row>
    <row r="293" spans="1:14" s="1253" customFormat="1" ht="15" customHeight="1">
      <c r="A293" s="1467" t="s">
        <v>174</v>
      </c>
      <c r="B293" s="1467"/>
      <c r="C293" s="1467"/>
      <c r="D293" s="1467"/>
      <c r="E293" s="1467"/>
      <c r="F293" s="1467"/>
      <c r="G293" s="1467"/>
      <c r="H293" s="1467"/>
      <c r="I293" s="1467"/>
      <c r="J293" s="1467"/>
      <c r="K293" s="1467"/>
      <c r="L293" s="1467"/>
      <c r="M293" s="1467"/>
      <c r="N293" s="1319"/>
    </row>
    <row r="294" spans="1:14" s="1253" customFormat="1" ht="15" customHeight="1">
      <c r="A294" s="1467" t="s">
        <v>1780</v>
      </c>
      <c r="B294" s="1467"/>
      <c r="C294" s="1467"/>
      <c r="D294" s="1467"/>
      <c r="E294" s="1467"/>
      <c r="F294" s="1467"/>
      <c r="G294" s="1467"/>
      <c r="H294" s="1467"/>
      <c r="I294" s="1467"/>
      <c r="J294" s="1467"/>
      <c r="K294" s="1467"/>
      <c r="L294" s="1467"/>
      <c r="M294" s="1467"/>
      <c r="N294" s="1319"/>
    </row>
    <row r="295" spans="1:14" s="1253" customFormat="1" ht="15" customHeight="1">
      <c r="A295" s="1467"/>
      <c r="B295" s="1467"/>
      <c r="C295" s="1467"/>
      <c r="D295" s="1467"/>
      <c r="E295" s="1467"/>
      <c r="F295" s="1467"/>
      <c r="G295" s="1467"/>
      <c r="H295" s="1467"/>
      <c r="I295" s="1467"/>
      <c r="J295" s="1467"/>
      <c r="K295" s="1467"/>
      <c r="L295" s="1467"/>
      <c r="M295" s="1467"/>
      <c r="N295" s="1319"/>
    </row>
    <row r="296" spans="1:14" s="1253" customFormat="1" ht="15" customHeight="1">
      <c r="A296" s="1254"/>
      <c r="B296" s="1254"/>
      <c r="C296" s="1254"/>
      <c r="D296" s="1254"/>
      <c r="E296" s="1254"/>
      <c r="F296" s="1254"/>
      <c r="G296" s="1254"/>
      <c r="H296" s="1254"/>
      <c r="I296" s="1254"/>
      <c r="J296" s="1254"/>
      <c r="K296" s="1254"/>
      <c r="L296" s="1254"/>
      <c r="M296" s="1254"/>
      <c r="N296" s="1319"/>
    </row>
    <row r="297" spans="1:14" s="1253" customFormat="1" ht="15" customHeight="1">
      <c r="A297" s="1254"/>
      <c r="B297" s="1254"/>
      <c r="C297" s="1254"/>
      <c r="D297" s="1254"/>
      <c r="E297" s="1254"/>
      <c r="F297" s="1254"/>
      <c r="G297" s="1254"/>
      <c r="H297" s="1254"/>
      <c r="I297" s="1254"/>
      <c r="J297" s="1254"/>
      <c r="K297" s="1254"/>
      <c r="L297" s="1254"/>
      <c r="M297" s="1254"/>
      <c r="N297" s="1319"/>
    </row>
    <row r="298" spans="1:14" s="1253" customFormat="1" ht="15" customHeight="1">
      <c r="A298" s="1254"/>
      <c r="B298" s="1254"/>
      <c r="C298" s="1254"/>
      <c r="D298" s="1254"/>
      <c r="E298" s="1254"/>
      <c r="F298" s="1254"/>
      <c r="G298" s="1254"/>
      <c r="H298" s="1254"/>
      <c r="I298" s="1254"/>
      <c r="J298" s="1254"/>
      <c r="K298" s="1254"/>
      <c r="L298" s="1254"/>
      <c r="M298" s="1254"/>
      <c r="N298" s="1319"/>
    </row>
    <row r="299" spans="1:14" s="1253" customFormat="1" ht="18" customHeight="1">
      <c r="A299" s="1468" t="s">
        <v>1781</v>
      </c>
      <c r="B299" s="1468"/>
      <c r="C299" s="1468"/>
      <c r="D299" s="1468"/>
      <c r="E299" s="1468"/>
      <c r="F299" s="1468"/>
      <c r="G299" s="1468"/>
      <c r="H299" s="1468"/>
      <c r="I299" s="1468"/>
      <c r="J299" s="1468"/>
      <c r="K299" s="1468"/>
      <c r="L299" s="1468"/>
      <c r="M299" s="1468"/>
      <c r="N299" s="1320"/>
    </row>
    <row r="300" spans="1:14" s="1253" customFormat="1">
      <c r="A300" s="1469" t="s">
        <v>1817</v>
      </c>
      <c r="B300" s="1469"/>
      <c r="C300" s="1469"/>
      <c r="D300" s="1469"/>
      <c r="E300" s="1469"/>
      <c r="F300" s="1469"/>
      <c r="G300" s="1469"/>
      <c r="H300" s="1469"/>
      <c r="I300" s="1469"/>
      <c r="J300" s="1469"/>
      <c r="K300" s="1469"/>
      <c r="L300" s="1469"/>
      <c r="M300" s="1469"/>
      <c r="N300" s="1321"/>
    </row>
    <row r="301" spans="1:14" s="1253" customFormat="1" ht="15.75">
      <c r="A301" s="1253" t="s">
        <v>1828</v>
      </c>
      <c r="G301" s="1254"/>
      <c r="I301" s="1255"/>
      <c r="L301" s="1256"/>
      <c r="M301" s="1256"/>
    </row>
    <row r="302" spans="1:14" s="1253" customFormat="1" ht="15.75">
      <c r="A302" s="1253" t="s">
        <v>1811</v>
      </c>
      <c r="G302" s="1254"/>
      <c r="I302" s="1255"/>
      <c r="L302" s="1256"/>
      <c r="M302" s="1256"/>
    </row>
    <row r="303" spans="1:14" s="1253" customFormat="1" ht="8.1" customHeight="1">
      <c r="A303" s="1257" t="s">
        <v>1812</v>
      </c>
      <c r="G303" s="1254"/>
      <c r="I303" s="1255"/>
      <c r="L303" s="1256"/>
      <c r="M303" s="1256"/>
    </row>
    <row r="304" spans="1:14" s="1394" customFormat="1" ht="33" customHeight="1">
      <c r="A304" s="1394" t="s">
        <v>1829</v>
      </c>
      <c r="C304" s="1486" t="s">
        <v>1830</v>
      </c>
      <c r="D304" s="1486"/>
      <c r="E304" s="1486"/>
      <c r="F304" s="1486"/>
      <c r="G304" s="1486"/>
      <c r="H304" s="1486"/>
      <c r="I304" s="1486"/>
      <c r="J304" s="1486"/>
      <c r="K304" s="1486"/>
      <c r="L304" s="1486"/>
      <c r="M304" s="1486"/>
      <c r="N304" s="1396"/>
    </row>
    <row r="305" spans="1:13" ht="18" customHeight="1" thickBot="1">
      <c r="A305" s="1487"/>
      <c r="B305" s="1487"/>
      <c r="C305" s="1487"/>
      <c r="D305" s="1487"/>
      <c r="E305" s="1487"/>
      <c r="F305" s="1487"/>
      <c r="G305" s="1487"/>
      <c r="H305" s="1487"/>
      <c r="I305" s="1487"/>
      <c r="J305" s="1487"/>
      <c r="K305" s="1487"/>
      <c r="L305" s="1487"/>
      <c r="M305" s="1487"/>
    </row>
    <row r="306" spans="1:13" ht="18" customHeight="1">
      <c r="A306" s="780"/>
      <c r="B306" s="781"/>
      <c r="C306" s="781"/>
      <c r="D306" s="781"/>
      <c r="E306" s="781"/>
      <c r="F306" s="782"/>
      <c r="G306" s="783"/>
      <c r="H306" s="784"/>
      <c r="I306" s="784" t="s">
        <v>6</v>
      </c>
      <c r="J306" s="1488" t="s">
        <v>1914</v>
      </c>
      <c r="K306" s="1489"/>
      <c r="L306" s="1490"/>
      <c r="M306" s="785" t="s">
        <v>7</v>
      </c>
    </row>
    <row r="307" spans="1:13" ht="18" customHeight="1">
      <c r="A307" s="1491"/>
      <c r="B307" s="1492"/>
      <c r="C307" s="1492"/>
      <c r="D307" s="1492"/>
      <c r="E307" s="1492"/>
      <c r="F307" s="1493"/>
      <c r="G307" s="1371"/>
      <c r="H307" s="786"/>
      <c r="I307" s="786">
        <v>2021</v>
      </c>
      <c r="J307" s="786" t="s">
        <v>560</v>
      </c>
      <c r="K307" s="786" t="s">
        <v>561</v>
      </c>
      <c r="L307" s="786">
        <v>2022</v>
      </c>
      <c r="M307" s="787">
        <v>2023</v>
      </c>
    </row>
    <row r="308" spans="1:13" ht="18" customHeight="1">
      <c r="A308" s="1491" t="s">
        <v>21</v>
      </c>
      <c r="B308" s="1492"/>
      <c r="C308" s="1492"/>
      <c r="D308" s="1492"/>
      <c r="E308" s="1492"/>
      <c r="F308" s="1493"/>
      <c r="G308" s="788"/>
      <c r="H308" s="789" t="s">
        <v>612</v>
      </c>
      <c r="I308" s="786" t="s">
        <v>909</v>
      </c>
      <c r="J308" s="786" t="s">
        <v>559</v>
      </c>
      <c r="K308" s="786" t="s">
        <v>562</v>
      </c>
      <c r="L308" s="786" t="s">
        <v>909</v>
      </c>
      <c r="M308" s="787" t="s">
        <v>909</v>
      </c>
    </row>
    <row r="309" spans="1:13" ht="18" customHeight="1">
      <c r="A309" s="790"/>
      <c r="B309" s="791"/>
      <c r="C309" s="791"/>
      <c r="D309" s="791"/>
      <c r="E309" s="791"/>
      <c r="F309" s="792"/>
      <c r="G309" s="788"/>
      <c r="H309" s="786"/>
      <c r="I309" s="786" t="s">
        <v>559</v>
      </c>
      <c r="J309" s="786">
        <v>2022</v>
      </c>
      <c r="K309" s="786">
        <v>2022</v>
      </c>
      <c r="L309" s="786" t="s">
        <v>910</v>
      </c>
      <c r="M309" s="787" t="s">
        <v>564</v>
      </c>
    </row>
    <row r="310" spans="1:13" ht="18" customHeight="1" thickBot="1">
      <c r="A310" s="1497"/>
      <c r="B310" s="1498"/>
      <c r="C310" s="1498"/>
      <c r="D310" s="1498"/>
      <c r="E310" s="1498"/>
      <c r="F310" s="1499"/>
      <c r="G310" s="1372"/>
      <c r="H310" s="793"/>
      <c r="I310" s="1393"/>
      <c r="J310" s="793"/>
      <c r="K310" s="793"/>
      <c r="L310" s="793"/>
      <c r="M310" s="794"/>
    </row>
    <row r="311" spans="1:13" ht="18" customHeight="1">
      <c r="A311" s="795"/>
      <c r="B311" s="796" t="s">
        <v>359</v>
      </c>
      <c r="C311" s="797"/>
      <c r="D311" s="796"/>
      <c r="E311" s="796"/>
      <c r="F311" s="798"/>
      <c r="G311" s="799"/>
      <c r="H311" s="841"/>
      <c r="I311" s="842"/>
      <c r="J311" s="843"/>
      <c r="K311" s="843"/>
      <c r="L311" s="843"/>
      <c r="M311" s="843"/>
    </row>
    <row r="312" spans="1:13" ht="18" customHeight="1">
      <c r="A312" s="803"/>
      <c r="B312" s="804"/>
      <c r="C312" s="804" t="s">
        <v>515</v>
      </c>
      <c r="D312" s="804"/>
      <c r="E312" s="804"/>
      <c r="F312" s="805"/>
      <c r="G312" s="806"/>
      <c r="H312" s="844"/>
      <c r="I312" s="845"/>
      <c r="J312" s="846"/>
      <c r="K312" s="846"/>
      <c r="L312" s="846"/>
      <c r="M312" s="846"/>
    </row>
    <row r="313" spans="1:13" ht="18" customHeight="1">
      <c r="A313" s="803"/>
      <c r="B313" s="804"/>
      <c r="C313" s="804"/>
      <c r="D313" s="804" t="s">
        <v>516</v>
      </c>
      <c r="E313" s="804"/>
      <c r="F313" s="805"/>
      <c r="G313" s="806" t="s">
        <v>582</v>
      </c>
      <c r="H313" s="810" t="s">
        <v>672</v>
      </c>
      <c r="I313" s="811">
        <f>1423548</f>
        <v>1423548</v>
      </c>
      <c r="J313" s="812">
        <v>733080</v>
      </c>
      <c r="K313" s="812">
        <f>1466160-J313</f>
        <v>733080</v>
      </c>
      <c r="L313" s="812">
        <f>SUM(K313+J313)</f>
        <v>1466160</v>
      </c>
      <c r="M313" s="812">
        <v>1511841</v>
      </c>
    </row>
    <row r="314" spans="1:13" ht="18" customHeight="1">
      <c r="A314" s="803"/>
      <c r="B314" s="804"/>
      <c r="C314" s="804" t="s">
        <v>517</v>
      </c>
      <c r="D314" s="804"/>
      <c r="E314" s="804"/>
      <c r="F314" s="805"/>
      <c r="G314" s="806"/>
      <c r="H314" s="844"/>
      <c r="I314" s="811"/>
      <c r="J314" s="812"/>
      <c r="K314" s="812"/>
      <c r="L314" s="812"/>
      <c r="M314" s="812"/>
    </row>
    <row r="315" spans="1:13" ht="18" customHeight="1">
      <c r="A315" s="803"/>
      <c r="B315" s="804"/>
      <c r="C315" s="804"/>
      <c r="D315" s="804" t="s">
        <v>518</v>
      </c>
      <c r="E315" s="804"/>
      <c r="F315" s="805"/>
      <c r="G315" s="806" t="s">
        <v>583</v>
      </c>
      <c r="H315" s="810" t="s">
        <v>673</v>
      </c>
      <c r="I315" s="811">
        <f>72000</f>
        <v>72000</v>
      </c>
      <c r="J315" s="812">
        <v>36000</v>
      </c>
      <c r="K315" s="812">
        <f>72000-J315</f>
        <v>36000</v>
      </c>
      <c r="L315" s="812">
        <f t="shared" ref="L315:L332" si="11">SUM(K315+J315)</f>
        <v>72000</v>
      </c>
      <c r="M315" s="812">
        <v>72000</v>
      </c>
    </row>
    <row r="316" spans="1:13" ht="18" customHeight="1">
      <c r="A316" s="803"/>
      <c r="B316" s="804"/>
      <c r="C316" s="804"/>
      <c r="D316" s="804" t="s">
        <v>528</v>
      </c>
      <c r="E316" s="804"/>
      <c r="F316" s="805"/>
      <c r="G316" s="806" t="s">
        <v>584</v>
      </c>
      <c r="H316" s="810" t="s">
        <v>674</v>
      </c>
      <c r="I316" s="811">
        <v>76500</v>
      </c>
      <c r="J316" s="812">
        <v>38250</v>
      </c>
      <c r="K316" s="812">
        <f>76500-J316</f>
        <v>38250</v>
      </c>
      <c r="L316" s="812">
        <f t="shared" si="11"/>
        <v>76500</v>
      </c>
      <c r="M316" s="812">
        <v>76500</v>
      </c>
    </row>
    <row r="317" spans="1:13" ht="18" customHeight="1">
      <c r="A317" s="803"/>
      <c r="B317" s="804"/>
      <c r="C317" s="804"/>
      <c r="D317" s="804" t="s">
        <v>527</v>
      </c>
      <c r="E317" s="804"/>
      <c r="F317" s="805"/>
      <c r="G317" s="806" t="s">
        <v>585</v>
      </c>
      <c r="H317" s="810" t="s">
        <v>675</v>
      </c>
      <c r="I317" s="811">
        <v>76500</v>
      </c>
      <c r="J317" s="812">
        <v>38250</v>
      </c>
      <c r="K317" s="812">
        <f>76500-J317</f>
        <v>38250</v>
      </c>
      <c r="L317" s="812">
        <f t="shared" si="11"/>
        <v>76500</v>
      </c>
      <c r="M317" s="812">
        <v>76500</v>
      </c>
    </row>
    <row r="318" spans="1:13" ht="18" customHeight="1">
      <c r="A318" s="803"/>
      <c r="B318" s="804"/>
      <c r="C318" s="804"/>
      <c r="D318" s="804" t="s">
        <v>529</v>
      </c>
      <c r="E318" s="804"/>
      <c r="F318" s="805"/>
      <c r="G318" s="806" t="s">
        <v>586</v>
      </c>
      <c r="H318" s="810" t="s">
        <v>676</v>
      </c>
      <c r="I318" s="811">
        <v>18000</v>
      </c>
      <c r="J318" s="812">
        <v>18000</v>
      </c>
      <c r="K318" s="812">
        <f>18000-J318</f>
        <v>0</v>
      </c>
      <c r="L318" s="812">
        <f t="shared" si="11"/>
        <v>18000</v>
      </c>
      <c r="M318" s="812">
        <v>18000</v>
      </c>
    </row>
    <row r="319" spans="1:13" ht="18" customHeight="1">
      <c r="A319" s="803"/>
      <c r="B319" s="804"/>
      <c r="C319" s="804"/>
      <c r="D319" s="804" t="s">
        <v>670</v>
      </c>
      <c r="E319" s="804"/>
      <c r="F319" s="805"/>
      <c r="G319" s="806" t="s">
        <v>588</v>
      </c>
      <c r="H319" s="810" t="s">
        <v>677</v>
      </c>
      <c r="I319" s="811">
        <f>15000</f>
        <v>15000</v>
      </c>
      <c r="J319" s="812">
        <v>0</v>
      </c>
      <c r="K319" s="812">
        <f>15000-J319</f>
        <v>15000</v>
      </c>
      <c r="L319" s="812">
        <f t="shared" si="11"/>
        <v>15000</v>
      </c>
      <c r="M319" s="812">
        <v>15000</v>
      </c>
    </row>
    <row r="320" spans="1:13" ht="18" customHeight="1">
      <c r="A320" s="803"/>
      <c r="B320" s="804"/>
      <c r="C320" s="804"/>
      <c r="D320" s="804" t="s">
        <v>531</v>
      </c>
      <c r="E320" s="804"/>
      <c r="F320" s="805"/>
      <c r="G320" s="806" t="s">
        <v>425</v>
      </c>
      <c r="H320" s="810" t="s">
        <v>678</v>
      </c>
      <c r="I320" s="811">
        <f>5000</f>
        <v>5000</v>
      </c>
      <c r="J320" s="812">
        <v>0</v>
      </c>
      <c r="K320" s="812">
        <f>0-J320</f>
        <v>0</v>
      </c>
      <c r="L320" s="812">
        <f t="shared" si="11"/>
        <v>0</v>
      </c>
      <c r="M320" s="812">
        <v>0</v>
      </c>
    </row>
    <row r="321" spans="1:13" ht="18" customHeight="1">
      <c r="A321" s="803"/>
      <c r="B321" s="804"/>
      <c r="C321" s="804"/>
      <c r="D321" s="804" t="s">
        <v>1580</v>
      </c>
      <c r="E321" s="804"/>
      <c r="F321" s="805"/>
      <c r="G321" s="806" t="s">
        <v>425</v>
      </c>
      <c r="H321" s="810" t="s">
        <v>678</v>
      </c>
      <c r="I321" s="811">
        <f>9000</f>
        <v>9000</v>
      </c>
      <c r="J321" s="812">
        <v>0</v>
      </c>
      <c r="K321" s="812">
        <f>0-J321</f>
        <v>0</v>
      </c>
      <c r="L321" s="812">
        <f t="shared" si="11"/>
        <v>0</v>
      </c>
      <c r="M321" s="812">
        <v>0</v>
      </c>
    </row>
    <row r="322" spans="1:13" ht="18" hidden="1" customHeight="1">
      <c r="A322" s="803"/>
      <c r="B322" s="804"/>
      <c r="C322" s="804"/>
      <c r="D322" s="804" t="s">
        <v>1492</v>
      </c>
      <c r="E322" s="804"/>
      <c r="F322" s="805"/>
      <c r="G322" s="806"/>
      <c r="H322" s="810" t="s">
        <v>678</v>
      </c>
      <c r="I322" s="811">
        <v>0</v>
      </c>
      <c r="J322" s="812">
        <v>0</v>
      </c>
      <c r="K322" s="812">
        <v>0</v>
      </c>
      <c r="L322" s="812">
        <f t="shared" si="11"/>
        <v>0</v>
      </c>
      <c r="M322" s="812">
        <v>0</v>
      </c>
    </row>
    <row r="323" spans="1:13" ht="18" customHeight="1">
      <c r="A323" s="803"/>
      <c r="B323" s="804"/>
      <c r="C323" s="804"/>
      <c r="D323" s="804" t="s">
        <v>360</v>
      </c>
      <c r="E323" s="804"/>
      <c r="F323" s="805"/>
      <c r="G323" s="806" t="s">
        <v>590</v>
      </c>
      <c r="H323" s="810" t="s">
        <v>695</v>
      </c>
      <c r="I323" s="811">
        <f>14282.83</f>
        <v>14282.83</v>
      </c>
      <c r="J323" s="812">
        <v>0</v>
      </c>
      <c r="K323" s="812">
        <f>15000-J323</f>
        <v>15000</v>
      </c>
      <c r="L323" s="812">
        <f t="shared" si="11"/>
        <v>15000</v>
      </c>
      <c r="M323" s="812">
        <v>20000</v>
      </c>
    </row>
    <row r="324" spans="1:13" ht="18" customHeight="1">
      <c r="A324" s="803"/>
      <c r="B324" s="804"/>
      <c r="C324" s="804"/>
      <c r="D324" s="804" t="s">
        <v>533</v>
      </c>
      <c r="E324" s="804"/>
      <c r="F324" s="805"/>
      <c r="G324" s="806" t="s">
        <v>591</v>
      </c>
      <c r="H324" s="810" t="s">
        <v>679</v>
      </c>
      <c r="I324" s="811">
        <f>15000</f>
        <v>15000</v>
      </c>
      <c r="J324" s="812">
        <v>0</v>
      </c>
      <c r="K324" s="812">
        <f>15000-J324</f>
        <v>15000</v>
      </c>
      <c r="L324" s="812">
        <f t="shared" si="11"/>
        <v>15000</v>
      </c>
      <c r="M324" s="812">
        <v>15000</v>
      </c>
    </row>
    <row r="325" spans="1:13" ht="18" customHeight="1">
      <c r="A325" s="803"/>
      <c r="B325" s="804"/>
      <c r="C325" s="804"/>
      <c r="D325" s="804" t="s">
        <v>790</v>
      </c>
      <c r="E325" s="804"/>
      <c r="F325" s="804"/>
      <c r="G325" s="814" t="s">
        <v>425</v>
      </c>
      <c r="H325" s="810" t="s">
        <v>678</v>
      </c>
      <c r="I325" s="811">
        <f>118629</f>
        <v>118629</v>
      </c>
      <c r="J325" s="812">
        <v>122180</v>
      </c>
      <c r="K325" s="812">
        <f>122180-J325</f>
        <v>0</v>
      </c>
      <c r="L325" s="812">
        <f t="shared" si="11"/>
        <v>122180</v>
      </c>
      <c r="M325" s="812">
        <v>125974</v>
      </c>
    </row>
    <row r="326" spans="1:13" ht="18" customHeight="1">
      <c r="A326" s="803"/>
      <c r="B326" s="804"/>
      <c r="C326" s="804"/>
      <c r="D326" s="804" t="s">
        <v>534</v>
      </c>
      <c r="E326" s="804"/>
      <c r="F326" s="805"/>
      <c r="G326" s="806" t="s">
        <v>592</v>
      </c>
      <c r="H326" s="810" t="s">
        <v>680</v>
      </c>
      <c r="I326" s="811">
        <f>118629</f>
        <v>118629</v>
      </c>
      <c r="J326" s="812">
        <v>0</v>
      </c>
      <c r="K326" s="812">
        <f>122180-J326</f>
        <v>122180</v>
      </c>
      <c r="L326" s="812">
        <f t="shared" si="11"/>
        <v>122180</v>
      </c>
      <c r="M326" s="812">
        <v>125974</v>
      </c>
    </row>
    <row r="327" spans="1:13" ht="18" customHeight="1">
      <c r="A327" s="803"/>
      <c r="B327" s="804"/>
      <c r="C327" s="804"/>
      <c r="D327" s="804" t="s">
        <v>646</v>
      </c>
      <c r="E327" s="804"/>
      <c r="F327" s="805"/>
      <c r="G327" s="806" t="s">
        <v>593</v>
      </c>
      <c r="H327" s="810" t="s">
        <v>681</v>
      </c>
      <c r="I327" s="811">
        <f>168741</f>
        <v>168741</v>
      </c>
      <c r="J327" s="812">
        <v>71177.399999999994</v>
      </c>
      <c r="K327" s="812">
        <f>177000-J327</f>
        <v>105822.6</v>
      </c>
      <c r="L327" s="812">
        <f t="shared" si="11"/>
        <v>177000</v>
      </c>
      <c r="M327" s="812">
        <v>182000</v>
      </c>
    </row>
    <row r="328" spans="1:13" ht="18" customHeight="1">
      <c r="A328" s="803"/>
      <c r="B328" s="804"/>
      <c r="C328" s="804"/>
      <c r="D328" s="804" t="s">
        <v>535</v>
      </c>
      <c r="E328" s="804"/>
      <c r="F328" s="805"/>
      <c r="G328" s="806" t="s">
        <v>594</v>
      </c>
      <c r="H328" s="810" t="s">
        <v>682</v>
      </c>
      <c r="I328" s="811">
        <f>3600</f>
        <v>3600</v>
      </c>
      <c r="J328" s="812">
        <v>1500</v>
      </c>
      <c r="K328" s="812">
        <f>5400-J328</f>
        <v>3900</v>
      </c>
      <c r="L328" s="812">
        <f t="shared" si="11"/>
        <v>5400</v>
      </c>
      <c r="M328" s="812">
        <v>5400</v>
      </c>
    </row>
    <row r="329" spans="1:13" ht="18" customHeight="1">
      <c r="A329" s="803"/>
      <c r="B329" s="804"/>
      <c r="C329" s="804"/>
      <c r="D329" s="804" t="s">
        <v>536</v>
      </c>
      <c r="E329" s="804"/>
      <c r="F329" s="805"/>
      <c r="G329" s="806" t="s">
        <v>595</v>
      </c>
      <c r="H329" s="810" t="s">
        <v>683</v>
      </c>
      <c r="I329" s="811">
        <f>17070</f>
        <v>17070</v>
      </c>
      <c r="J329" s="812">
        <v>7245</v>
      </c>
      <c r="K329" s="812">
        <f>30000-J329</f>
        <v>22755</v>
      </c>
      <c r="L329" s="812">
        <f t="shared" si="11"/>
        <v>30000</v>
      </c>
      <c r="M329" s="812">
        <v>35000</v>
      </c>
    </row>
    <row r="330" spans="1:13" ht="18" customHeight="1">
      <c r="A330" s="803"/>
      <c r="B330" s="804"/>
      <c r="C330" s="804"/>
      <c r="D330" s="804" t="s">
        <v>642</v>
      </c>
      <c r="E330" s="804"/>
      <c r="F330" s="805"/>
      <c r="G330" s="806" t="s">
        <v>596</v>
      </c>
      <c r="H330" s="810" t="s">
        <v>684</v>
      </c>
      <c r="I330" s="811">
        <f>3600</f>
        <v>3600</v>
      </c>
      <c r="J330" s="812">
        <v>1500</v>
      </c>
      <c r="K330" s="812">
        <f>3600-J330</f>
        <v>2100</v>
      </c>
      <c r="L330" s="812">
        <f t="shared" si="11"/>
        <v>3600</v>
      </c>
      <c r="M330" s="812">
        <v>3600</v>
      </c>
    </row>
    <row r="331" spans="1:13" ht="18" customHeight="1">
      <c r="A331" s="803"/>
      <c r="B331" s="804"/>
      <c r="C331" s="804"/>
      <c r="D331" s="804" t="s">
        <v>538</v>
      </c>
      <c r="E331" s="804"/>
      <c r="F331" s="805"/>
      <c r="G331" s="806" t="s">
        <v>388</v>
      </c>
      <c r="H331" s="810" t="s">
        <v>696</v>
      </c>
      <c r="I331" s="811">
        <f>159188.2</f>
        <v>159188.20000000001</v>
      </c>
      <c r="J331" s="812">
        <v>0</v>
      </c>
      <c r="K331" s="812">
        <f>0-J331</f>
        <v>0</v>
      </c>
      <c r="L331" s="812">
        <f t="shared" si="11"/>
        <v>0</v>
      </c>
      <c r="M331" s="812">
        <v>0</v>
      </c>
    </row>
    <row r="332" spans="1:13" ht="18" customHeight="1">
      <c r="A332" s="803"/>
      <c r="B332" s="804"/>
      <c r="C332" s="804"/>
      <c r="D332" s="804" t="s">
        <v>1493</v>
      </c>
      <c r="E332" s="804"/>
      <c r="F332" s="805"/>
      <c r="G332" s="806"/>
      <c r="H332" s="810" t="s">
        <v>696</v>
      </c>
      <c r="I332" s="811">
        <f>30000</f>
        <v>30000</v>
      </c>
      <c r="J332" s="812">
        <v>0</v>
      </c>
      <c r="K332" s="812">
        <f>0-J332</f>
        <v>0</v>
      </c>
      <c r="L332" s="812">
        <f t="shared" si="11"/>
        <v>0</v>
      </c>
      <c r="M332" s="812">
        <v>0</v>
      </c>
    </row>
    <row r="333" spans="1:13" s="820" customFormat="1" ht="18" customHeight="1">
      <c r="A333" s="815"/>
      <c r="B333" s="816"/>
      <c r="C333" s="816"/>
      <c r="D333" s="816" t="s">
        <v>364</v>
      </c>
      <c r="E333" s="816"/>
      <c r="F333" s="817"/>
      <c r="G333" s="818"/>
      <c r="H333" s="847"/>
      <c r="I333" s="819">
        <f>SUM(I313:I332)</f>
        <v>2344288.0300000003</v>
      </c>
      <c r="J333" s="819">
        <f>SUM(J313:J332)</f>
        <v>1067182.3999999999</v>
      </c>
      <c r="K333" s="819">
        <f>SUM(K313:K332)</f>
        <v>1147337.6000000001</v>
      </c>
      <c r="L333" s="819">
        <f>SUM(L313:L332)</f>
        <v>2214520</v>
      </c>
      <c r="M333" s="819">
        <f>SUM(M313:M332)</f>
        <v>2282789</v>
      </c>
    </row>
    <row r="334" spans="1:13" ht="18" customHeight="1">
      <c r="A334" s="803"/>
      <c r="B334" s="804" t="s">
        <v>539</v>
      </c>
      <c r="C334" s="804"/>
      <c r="D334" s="804"/>
      <c r="E334" s="804"/>
      <c r="F334" s="805"/>
      <c r="G334" s="806"/>
      <c r="H334" s="844"/>
      <c r="I334" s="811"/>
      <c r="J334" s="812"/>
      <c r="K334" s="812"/>
      <c r="L334" s="812"/>
      <c r="M334" s="812"/>
    </row>
    <row r="335" spans="1:13" ht="18" customHeight="1">
      <c r="A335" s="803"/>
      <c r="B335" s="804"/>
      <c r="C335" s="804"/>
      <c r="D335" s="804" t="s">
        <v>540</v>
      </c>
      <c r="E335" s="804"/>
      <c r="F335" s="805"/>
      <c r="G335" s="806" t="s">
        <v>376</v>
      </c>
      <c r="H335" s="810" t="s">
        <v>686</v>
      </c>
      <c r="I335" s="811">
        <f>4850</f>
        <v>4850</v>
      </c>
      <c r="J335" s="812">
        <v>45544</v>
      </c>
      <c r="K335" s="812">
        <f>100000-J335</f>
        <v>54456</v>
      </c>
      <c r="L335" s="812">
        <f t="shared" ref="L335:L341" si="12">SUM(K335+J335)</f>
        <v>100000</v>
      </c>
      <c r="M335" s="812">
        <v>100000</v>
      </c>
    </row>
    <row r="336" spans="1:13" ht="18" customHeight="1">
      <c r="A336" s="803"/>
      <c r="B336" s="804"/>
      <c r="C336" s="804"/>
      <c r="D336" s="804" t="s">
        <v>421</v>
      </c>
      <c r="E336" s="804"/>
      <c r="F336" s="805"/>
      <c r="G336" s="806" t="s">
        <v>377</v>
      </c>
      <c r="H336" s="810" t="s">
        <v>687</v>
      </c>
      <c r="I336" s="811">
        <f>4000</f>
        <v>4000</v>
      </c>
      <c r="J336" s="812">
        <v>42825.39</v>
      </c>
      <c r="K336" s="812">
        <f>100000-J336</f>
        <v>57174.61</v>
      </c>
      <c r="L336" s="812">
        <f t="shared" si="12"/>
        <v>100000</v>
      </c>
      <c r="M336" s="812">
        <v>100000</v>
      </c>
    </row>
    <row r="337" spans="1:13" ht="18" customHeight="1">
      <c r="A337" s="803"/>
      <c r="B337" s="804"/>
      <c r="C337" s="804"/>
      <c r="D337" s="804" t="s">
        <v>371</v>
      </c>
      <c r="E337" s="804"/>
      <c r="F337" s="805"/>
      <c r="G337" s="806" t="s">
        <v>379</v>
      </c>
      <c r="H337" s="810" t="s">
        <v>688</v>
      </c>
      <c r="I337" s="811">
        <f>68826.7</f>
        <v>68826.7</v>
      </c>
      <c r="J337" s="812">
        <v>18162</v>
      </c>
      <c r="K337" s="812">
        <f>70000-J337</f>
        <v>51838</v>
      </c>
      <c r="L337" s="812">
        <f t="shared" si="12"/>
        <v>70000</v>
      </c>
      <c r="M337" s="812">
        <v>70000</v>
      </c>
    </row>
    <row r="338" spans="1:13" ht="18" customHeight="1">
      <c r="A338" s="803"/>
      <c r="B338" s="804"/>
      <c r="C338" s="804"/>
      <c r="D338" s="804" t="s">
        <v>546</v>
      </c>
      <c r="E338" s="804"/>
      <c r="F338" s="805"/>
      <c r="G338" s="806" t="s">
        <v>380</v>
      </c>
      <c r="H338" s="810" t="s">
        <v>690</v>
      </c>
      <c r="I338" s="811">
        <f>42000</f>
        <v>42000</v>
      </c>
      <c r="J338" s="812">
        <v>24000</v>
      </c>
      <c r="K338" s="812">
        <f>48000-J338</f>
        <v>24000</v>
      </c>
      <c r="L338" s="812">
        <f t="shared" si="12"/>
        <v>48000</v>
      </c>
      <c r="M338" s="812">
        <v>48000</v>
      </c>
    </row>
    <row r="339" spans="1:13" ht="18" customHeight="1">
      <c r="A339" s="803"/>
      <c r="B339" s="804"/>
      <c r="C339" s="804"/>
      <c r="D339" s="804" t="s">
        <v>902</v>
      </c>
      <c r="E339" s="804"/>
      <c r="F339" s="805"/>
      <c r="G339" s="806" t="s">
        <v>381</v>
      </c>
      <c r="H339" s="810" t="s">
        <v>691</v>
      </c>
      <c r="I339" s="811">
        <f>4500</f>
        <v>4500</v>
      </c>
      <c r="J339" s="812">
        <v>350</v>
      </c>
      <c r="K339" s="812">
        <f>10000-J339</f>
        <v>9650</v>
      </c>
      <c r="L339" s="812">
        <f t="shared" si="12"/>
        <v>10000</v>
      </c>
      <c r="M339" s="812">
        <v>10000</v>
      </c>
    </row>
    <row r="340" spans="1:13" ht="18" hidden="1" customHeight="1">
      <c r="A340" s="803"/>
      <c r="B340" s="804"/>
      <c r="C340" s="804"/>
      <c r="D340" s="804" t="s">
        <v>552</v>
      </c>
      <c r="E340" s="804"/>
      <c r="F340" s="805"/>
      <c r="G340" s="806" t="s">
        <v>382</v>
      </c>
      <c r="H340" s="810" t="s">
        <v>692</v>
      </c>
      <c r="I340" s="811">
        <v>0</v>
      </c>
      <c r="J340" s="812">
        <v>0</v>
      </c>
      <c r="K340" s="812">
        <f>0-J340</f>
        <v>0</v>
      </c>
      <c r="L340" s="812">
        <f t="shared" si="12"/>
        <v>0</v>
      </c>
      <c r="M340" s="812">
        <v>0</v>
      </c>
    </row>
    <row r="341" spans="1:13" ht="18" customHeight="1">
      <c r="A341" s="803"/>
      <c r="B341" s="804"/>
      <c r="C341" s="804"/>
      <c r="D341" s="804" t="s">
        <v>1681</v>
      </c>
      <c r="E341" s="804"/>
      <c r="F341" s="805"/>
      <c r="G341" s="806"/>
      <c r="H341" s="810" t="s">
        <v>692</v>
      </c>
      <c r="I341" s="811">
        <f>75000</f>
        <v>75000</v>
      </c>
      <c r="J341" s="812">
        <v>0</v>
      </c>
      <c r="K341" s="812">
        <f>0-J341</f>
        <v>0</v>
      </c>
      <c r="L341" s="812">
        <f t="shared" si="12"/>
        <v>0</v>
      </c>
      <c r="M341" s="812">
        <v>0</v>
      </c>
    </row>
    <row r="342" spans="1:13" s="820" customFormat="1" ht="18" customHeight="1">
      <c r="A342" s="815"/>
      <c r="B342" s="816"/>
      <c r="C342" s="816"/>
      <c r="D342" s="816" t="s">
        <v>737</v>
      </c>
      <c r="E342" s="816"/>
      <c r="F342" s="817"/>
      <c r="G342" s="818"/>
      <c r="H342" s="847"/>
      <c r="I342" s="819">
        <f>SUM(I335:I341)</f>
        <v>199176.7</v>
      </c>
      <c r="J342" s="819">
        <f>SUM(J335:J341)</f>
        <v>130881.39</v>
      </c>
      <c r="K342" s="819">
        <f>SUM(K335:K341)</f>
        <v>197118.61</v>
      </c>
      <c r="L342" s="819">
        <f>SUM(L335:L341)</f>
        <v>328000</v>
      </c>
      <c r="M342" s="819">
        <f>SUM(M335:M341)</f>
        <v>328000</v>
      </c>
    </row>
    <row r="343" spans="1:13" ht="18" customHeight="1">
      <c r="A343" s="803"/>
      <c r="B343" s="804" t="s">
        <v>553</v>
      </c>
      <c r="C343" s="804"/>
      <c r="D343" s="804"/>
      <c r="E343" s="804"/>
      <c r="F343" s="805"/>
      <c r="G343" s="806"/>
      <c r="H343" s="844"/>
      <c r="I343" s="811"/>
      <c r="J343" s="812"/>
      <c r="K343" s="812"/>
      <c r="L343" s="812"/>
      <c r="M343" s="812"/>
    </row>
    <row r="344" spans="1:13" ht="18" hidden="1" customHeight="1">
      <c r="A344" s="803"/>
      <c r="B344" s="804"/>
      <c r="C344" s="804"/>
      <c r="D344" s="804" t="s">
        <v>671</v>
      </c>
      <c r="E344" s="804"/>
      <c r="F344" s="805"/>
      <c r="G344" s="806" t="s">
        <v>830</v>
      </c>
      <c r="H344" s="810" t="s">
        <v>831</v>
      </c>
      <c r="I344" s="811">
        <v>0</v>
      </c>
      <c r="J344" s="812">
        <v>0</v>
      </c>
      <c r="K344" s="812">
        <f>0-J344</f>
        <v>0</v>
      </c>
      <c r="L344" s="812">
        <f>SUM(K344+J344)</f>
        <v>0</v>
      </c>
      <c r="M344" s="812">
        <v>0</v>
      </c>
    </row>
    <row r="345" spans="1:13" ht="18" hidden="1" customHeight="1">
      <c r="A345" s="803"/>
      <c r="B345" s="804"/>
      <c r="C345" s="804"/>
      <c r="D345" s="804" t="s">
        <v>887</v>
      </c>
      <c r="E345" s="804"/>
      <c r="F345" s="805"/>
      <c r="G345" s="806" t="s">
        <v>832</v>
      </c>
      <c r="H345" s="810" t="s">
        <v>1527</v>
      </c>
      <c r="I345" s="811">
        <v>0</v>
      </c>
      <c r="J345" s="812">
        <v>0</v>
      </c>
      <c r="K345" s="812">
        <v>0</v>
      </c>
      <c r="L345" s="812">
        <f>SUM(K345+J345)</f>
        <v>0</v>
      </c>
      <c r="M345" s="812">
        <v>0</v>
      </c>
    </row>
    <row r="346" spans="1:13" ht="18" customHeight="1">
      <c r="A346" s="803"/>
      <c r="B346" s="804"/>
      <c r="C346" s="804"/>
      <c r="D346" s="804" t="s">
        <v>839</v>
      </c>
      <c r="E346" s="804"/>
      <c r="F346" s="805"/>
      <c r="G346" s="806" t="s">
        <v>890</v>
      </c>
      <c r="H346" s="810" t="s">
        <v>840</v>
      </c>
      <c r="I346" s="811">
        <f>18990</f>
        <v>18990</v>
      </c>
      <c r="J346" s="812">
        <v>0</v>
      </c>
      <c r="K346" s="812">
        <f>0-J346</f>
        <v>0</v>
      </c>
      <c r="L346" s="812">
        <f>SUM(K346+J346)</f>
        <v>0</v>
      </c>
      <c r="M346" s="812">
        <v>0</v>
      </c>
    </row>
    <row r="347" spans="1:13" s="820" customFormat="1" ht="18" customHeight="1">
      <c r="A347" s="815"/>
      <c r="B347" s="816"/>
      <c r="C347" s="816"/>
      <c r="D347" s="816" t="s">
        <v>782</v>
      </c>
      <c r="E347" s="816"/>
      <c r="F347" s="817"/>
      <c r="G347" s="806"/>
      <c r="H347" s="810"/>
      <c r="I347" s="819">
        <f>SUM(I344:I346)</f>
        <v>18990</v>
      </c>
      <c r="J347" s="819">
        <f>SUM(J344:J346)</f>
        <v>0</v>
      </c>
      <c r="K347" s="819">
        <f>SUM(K344:K346)</f>
        <v>0</v>
      </c>
      <c r="L347" s="819">
        <f>SUM(L344:L346)</f>
        <v>0</v>
      </c>
      <c r="M347" s="819">
        <f>SUM(M344:M346)</f>
        <v>0</v>
      </c>
    </row>
    <row r="348" spans="1:13" ht="18" customHeight="1">
      <c r="A348" s="803"/>
      <c r="B348" s="804"/>
      <c r="C348" s="804"/>
      <c r="D348" s="816"/>
      <c r="E348" s="804"/>
      <c r="F348" s="805"/>
      <c r="G348" s="806"/>
      <c r="H348" s="844"/>
      <c r="I348" s="811"/>
      <c r="J348" s="812"/>
      <c r="K348" s="812"/>
      <c r="L348" s="812"/>
      <c r="M348" s="812"/>
    </row>
    <row r="349" spans="1:13" ht="18" customHeight="1">
      <c r="A349" s="823" t="s">
        <v>613</v>
      </c>
      <c r="B349" s="824"/>
      <c r="C349" s="824"/>
      <c r="D349" s="824"/>
      <c r="E349" s="824"/>
      <c r="F349" s="825"/>
      <c r="G349" s="826"/>
      <c r="H349" s="848"/>
      <c r="I349" s="828">
        <f>SUM(I347+I342+I333)</f>
        <v>2562454.7300000004</v>
      </c>
      <c r="J349" s="828">
        <f>SUM(J347+J342+J333)</f>
        <v>1198063.7899999998</v>
      </c>
      <c r="K349" s="828">
        <f>SUM(K347+K342+K333)</f>
        <v>1344456.21</v>
      </c>
      <c r="L349" s="828">
        <f>SUM(L347+L342+L333)</f>
        <v>2542520</v>
      </c>
      <c r="M349" s="828">
        <f>SUM(M347+M342+M333)</f>
        <v>2610789</v>
      </c>
    </row>
    <row r="350" spans="1:13" ht="18" customHeight="1">
      <c r="A350" s="791"/>
      <c r="B350" s="829"/>
      <c r="C350" s="791"/>
      <c r="D350" s="791"/>
      <c r="E350" s="791"/>
      <c r="F350" s="791"/>
      <c r="G350" s="791"/>
      <c r="H350" s="830"/>
      <c r="I350" s="967"/>
      <c r="J350" s="831"/>
      <c r="K350" s="831"/>
      <c r="L350" s="831"/>
      <c r="M350" s="831"/>
    </row>
    <row r="351" spans="1:13" s="1329" customFormat="1" ht="18" customHeight="1">
      <c r="A351" s="1484" t="s">
        <v>1796</v>
      </c>
      <c r="B351" s="1484"/>
      <c r="C351" s="1484"/>
      <c r="D351" s="1484"/>
      <c r="E351" s="1484"/>
      <c r="F351" s="1484"/>
      <c r="G351" s="1484"/>
      <c r="H351" s="1484"/>
      <c r="I351" s="1484"/>
      <c r="J351" s="1484"/>
      <c r="K351" s="1484"/>
      <c r="L351" s="1484"/>
      <c r="M351" s="1484"/>
    </row>
    <row r="352" spans="1:13" s="1329" customFormat="1" ht="18" customHeight="1">
      <c r="A352" s="1330"/>
      <c r="B352" s="1330"/>
      <c r="C352" s="1330"/>
      <c r="D352" s="1330"/>
      <c r="E352" s="1330"/>
      <c r="F352" s="1330"/>
      <c r="G352" s="1330"/>
      <c r="H352" s="1330"/>
      <c r="I352" s="1330"/>
      <c r="J352" s="1330"/>
      <c r="K352" s="1330"/>
      <c r="L352" s="1330"/>
      <c r="M352" s="1330"/>
    </row>
    <row r="353" spans="1:14" s="1329" customFormat="1" ht="18" customHeight="1">
      <c r="A353" s="1330"/>
      <c r="B353" s="1330"/>
      <c r="C353" s="1330"/>
      <c r="D353" s="1330"/>
      <c r="E353" s="1330"/>
      <c r="F353" s="1330"/>
      <c r="G353" s="1330"/>
      <c r="H353" s="1330"/>
      <c r="I353" s="1330"/>
      <c r="J353" s="1330"/>
      <c r="K353" s="1330"/>
      <c r="L353" s="1330"/>
      <c r="M353" s="1330"/>
    </row>
    <row r="354" spans="1:14" s="1329" customFormat="1" ht="18" customHeight="1">
      <c r="A354" s="1330"/>
      <c r="B354" s="1330"/>
      <c r="C354" s="1330"/>
      <c r="D354" s="1330"/>
      <c r="E354" s="1330"/>
      <c r="F354" s="1330"/>
      <c r="G354" s="1330"/>
      <c r="H354" s="1330"/>
      <c r="I354" s="1330"/>
      <c r="J354" s="1330"/>
      <c r="K354" s="1330"/>
      <c r="L354" s="1330"/>
      <c r="M354" s="1330"/>
    </row>
    <row r="355" spans="1:14" s="1329" customFormat="1" ht="18" customHeight="1">
      <c r="A355" s="1330"/>
      <c r="B355" s="1330"/>
      <c r="C355" s="1330"/>
      <c r="D355" s="1330"/>
      <c r="E355" s="1330"/>
      <c r="F355" s="1330"/>
      <c r="G355" s="1330"/>
      <c r="H355" s="1330"/>
      <c r="I355" s="1330"/>
      <c r="J355" s="1330"/>
      <c r="K355" s="1330"/>
      <c r="L355" s="1330"/>
      <c r="M355" s="1330"/>
    </row>
    <row r="356" spans="1:14" s="1329" customFormat="1" ht="18" customHeight="1">
      <c r="A356" s="1330"/>
      <c r="B356" s="1330"/>
      <c r="C356" s="1330"/>
      <c r="D356" s="1330"/>
      <c r="E356" s="1330"/>
      <c r="F356" s="1330"/>
      <c r="G356" s="1330"/>
      <c r="H356" s="1330"/>
      <c r="I356" s="1330"/>
      <c r="J356" s="1330"/>
      <c r="K356" s="1330"/>
      <c r="L356" s="1330"/>
      <c r="M356" s="1330"/>
    </row>
    <row r="357" spans="1:14" s="1336" customFormat="1" ht="20.100000000000001" customHeight="1">
      <c r="A357" s="1485" t="s">
        <v>948</v>
      </c>
      <c r="B357" s="1485"/>
      <c r="C357" s="1485"/>
      <c r="D357" s="1485"/>
      <c r="E357" s="1485"/>
      <c r="F357" s="1485"/>
      <c r="G357" s="1485"/>
      <c r="H357" s="1485"/>
      <c r="I357" s="1485"/>
      <c r="J357" s="1485"/>
      <c r="K357" s="1485"/>
      <c r="L357" s="1485"/>
      <c r="M357" s="1485"/>
    </row>
    <row r="358" spans="1:14" s="778" customFormat="1" ht="18" customHeight="1">
      <c r="A358" s="777"/>
      <c r="B358" s="776"/>
      <c r="C358" s="777"/>
      <c r="D358" s="777"/>
      <c r="E358" s="777"/>
      <c r="F358" s="777"/>
      <c r="G358" s="838"/>
      <c r="H358" s="830"/>
      <c r="I358" s="967"/>
      <c r="K358" s="840"/>
      <c r="L358" s="840"/>
      <c r="M358" s="831"/>
    </row>
    <row r="359" spans="1:14" s="668" customFormat="1" ht="15" customHeight="1">
      <c r="A359" s="676"/>
      <c r="B359" s="677"/>
      <c r="C359" s="677"/>
      <c r="D359" s="677"/>
      <c r="E359" s="677"/>
      <c r="F359" s="677"/>
      <c r="G359" s="677"/>
      <c r="H359" s="677"/>
      <c r="I359" s="677"/>
      <c r="J359" s="677"/>
      <c r="K359" s="677"/>
      <c r="L359" s="677"/>
      <c r="M359" s="678"/>
    </row>
    <row r="360" spans="1:14" s="1253" customFormat="1" ht="15" customHeight="1">
      <c r="A360" s="1467" t="s">
        <v>861</v>
      </c>
      <c r="B360" s="1467"/>
      <c r="C360" s="1467"/>
      <c r="D360" s="1467"/>
      <c r="E360" s="1467"/>
      <c r="F360" s="1467"/>
      <c r="G360" s="1467"/>
      <c r="H360" s="1467"/>
      <c r="I360" s="1467"/>
      <c r="J360" s="1467"/>
      <c r="K360" s="1467"/>
      <c r="L360" s="1467"/>
      <c r="M360" s="1467"/>
      <c r="N360" s="1319"/>
    </row>
    <row r="361" spans="1:14" s="1253" customFormat="1" ht="15" customHeight="1">
      <c r="A361" s="1467" t="s">
        <v>174</v>
      </c>
      <c r="B361" s="1467"/>
      <c r="C361" s="1467"/>
      <c r="D361" s="1467"/>
      <c r="E361" s="1467"/>
      <c r="F361" s="1467"/>
      <c r="G361" s="1467"/>
      <c r="H361" s="1467"/>
      <c r="I361" s="1467"/>
      <c r="J361" s="1467"/>
      <c r="K361" s="1467"/>
      <c r="L361" s="1467"/>
      <c r="M361" s="1467"/>
      <c r="N361" s="1319"/>
    </row>
    <row r="362" spans="1:14" s="1253" customFormat="1" ht="15" customHeight="1">
      <c r="A362" s="1467" t="s">
        <v>1780</v>
      </c>
      <c r="B362" s="1467"/>
      <c r="C362" s="1467"/>
      <c r="D362" s="1467"/>
      <c r="E362" s="1467"/>
      <c r="F362" s="1467"/>
      <c r="G362" s="1467"/>
      <c r="H362" s="1467"/>
      <c r="I362" s="1467"/>
      <c r="J362" s="1467"/>
      <c r="K362" s="1467"/>
      <c r="L362" s="1467"/>
      <c r="M362" s="1467"/>
      <c r="N362" s="1319"/>
    </row>
    <row r="363" spans="1:14" s="1253" customFormat="1" ht="15" customHeight="1">
      <c r="A363" s="1467"/>
      <c r="B363" s="1467"/>
      <c r="C363" s="1467"/>
      <c r="D363" s="1467"/>
      <c r="E363" s="1467"/>
      <c r="F363" s="1467"/>
      <c r="G363" s="1467"/>
      <c r="H363" s="1467"/>
      <c r="I363" s="1467"/>
      <c r="J363" s="1467"/>
      <c r="K363" s="1467"/>
      <c r="L363" s="1467"/>
      <c r="M363" s="1467"/>
      <c r="N363" s="1319"/>
    </row>
    <row r="364" spans="1:14" s="1253" customFormat="1" ht="15" customHeight="1">
      <c r="A364" s="1254"/>
      <c r="B364" s="1254"/>
      <c r="C364" s="1254"/>
      <c r="D364" s="1254"/>
      <c r="E364" s="1254"/>
      <c r="F364" s="1254"/>
      <c r="G364" s="1254"/>
      <c r="H364" s="1254"/>
      <c r="I364" s="1254"/>
      <c r="J364" s="1254"/>
      <c r="K364" s="1254"/>
      <c r="L364" s="1254"/>
      <c r="M364" s="1254"/>
      <c r="N364" s="1319"/>
    </row>
    <row r="365" spans="1:14" s="1253" customFormat="1" ht="15" customHeight="1">
      <c r="A365" s="1254"/>
      <c r="B365" s="1254"/>
      <c r="C365" s="1254"/>
      <c r="D365" s="1254"/>
      <c r="E365" s="1254"/>
      <c r="F365" s="1254"/>
      <c r="G365" s="1254"/>
      <c r="H365" s="1254"/>
      <c r="I365" s="1254"/>
      <c r="J365" s="1254"/>
      <c r="K365" s="1254"/>
      <c r="L365" s="1254"/>
      <c r="M365" s="1254"/>
      <c r="N365" s="1319"/>
    </row>
    <row r="366" spans="1:14" s="1253" customFormat="1" ht="18" customHeight="1">
      <c r="A366" s="1468" t="s">
        <v>1781</v>
      </c>
      <c r="B366" s="1468"/>
      <c r="C366" s="1468"/>
      <c r="D366" s="1468"/>
      <c r="E366" s="1468"/>
      <c r="F366" s="1468"/>
      <c r="G366" s="1468"/>
      <c r="H366" s="1468"/>
      <c r="I366" s="1468"/>
      <c r="J366" s="1468"/>
      <c r="K366" s="1468"/>
      <c r="L366" s="1468"/>
      <c r="M366" s="1468"/>
      <c r="N366" s="1320"/>
    </row>
    <row r="367" spans="1:14" s="1253" customFormat="1">
      <c r="A367" s="1469" t="s">
        <v>1817</v>
      </c>
      <c r="B367" s="1469"/>
      <c r="C367" s="1469"/>
      <c r="D367" s="1469"/>
      <c r="E367" s="1469"/>
      <c r="F367" s="1469"/>
      <c r="G367" s="1469"/>
      <c r="H367" s="1469"/>
      <c r="I367" s="1469"/>
      <c r="J367" s="1469"/>
      <c r="K367" s="1469"/>
      <c r="L367" s="1469"/>
      <c r="M367" s="1469"/>
      <c r="N367" s="1321"/>
    </row>
    <row r="368" spans="1:14" s="1253" customFormat="1" ht="15.75">
      <c r="A368" s="1253" t="s">
        <v>1831</v>
      </c>
      <c r="G368" s="1254"/>
      <c r="I368" s="1255"/>
      <c r="L368" s="1256"/>
      <c r="M368" s="1256"/>
    </row>
    <row r="369" spans="1:14" s="1253" customFormat="1" ht="15.75">
      <c r="A369" s="1253" t="s">
        <v>1811</v>
      </c>
      <c r="G369" s="1254"/>
      <c r="I369" s="1255"/>
      <c r="L369" s="1256"/>
      <c r="M369" s="1256"/>
    </row>
    <row r="370" spans="1:14" s="1253" customFormat="1" ht="8.1" customHeight="1">
      <c r="A370" s="1257" t="s">
        <v>1812</v>
      </c>
      <c r="G370" s="1254"/>
      <c r="I370" s="1255"/>
      <c r="L370" s="1256"/>
      <c r="M370" s="1256"/>
    </row>
    <row r="371" spans="1:14" s="1394" customFormat="1" ht="15.75" customHeight="1">
      <c r="A371" s="1394" t="s">
        <v>1832</v>
      </c>
      <c r="C371" s="1507" t="s">
        <v>1833</v>
      </c>
      <c r="D371" s="1507"/>
      <c r="E371" s="1507"/>
      <c r="F371" s="1507"/>
      <c r="G371" s="1507"/>
      <c r="H371" s="1507"/>
      <c r="I371" s="1507"/>
      <c r="J371" s="1507"/>
      <c r="K371" s="1507"/>
      <c r="L371" s="1507"/>
      <c r="M371" s="1507"/>
      <c r="N371" s="1396"/>
    </row>
    <row r="372" spans="1:14" s="1253" customFormat="1" ht="15.75" customHeight="1">
      <c r="C372" s="1507"/>
      <c r="D372" s="1507"/>
      <c r="E372" s="1507"/>
      <c r="F372" s="1507"/>
      <c r="G372" s="1507"/>
      <c r="H372" s="1507"/>
      <c r="I372" s="1507"/>
      <c r="J372" s="1507"/>
      <c r="K372" s="1507"/>
      <c r="L372" s="1507"/>
      <c r="M372" s="1507"/>
      <c r="N372" s="1322"/>
    </row>
    <row r="373" spans="1:14" s="778" customFormat="1" ht="18" customHeight="1" thickBot="1">
      <c r="A373" s="1506"/>
      <c r="B373" s="1506"/>
      <c r="C373" s="1506"/>
      <c r="D373" s="1506"/>
      <c r="E373" s="1506"/>
      <c r="F373" s="1506"/>
      <c r="G373" s="1506"/>
      <c r="H373" s="1506"/>
      <c r="I373" s="1506"/>
      <c r="J373" s="1506"/>
      <c r="K373" s="1506"/>
      <c r="L373" s="1506"/>
      <c r="M373" s="1506"/>
    </row>
    <row r="374" spans="1:14" ht="18" customHeight="1">
      <c r="A374" s="780"/>
      <c r="B374" s="781"/>
      <c r="C374" s="781"/>
      <c r="D374" s="781"/>
      <c r="E374" s="781"/>
      <c r="F374" s="782"/>
      <c r="G374" s="783"/>
      <c r="H374" s="784"/>
      <c r="I374" s="784" t="s">
        <v>6</v>
      </c>
      <c r="J374" s="1488" t="s">
        <v>1914</v>
      </c>
      <c r="K374" s="1489"/>
      <c r="L374" s="1490"/>
      <c r="M374" s="785" t="s">
        <v>7</v>
      </c>
    </row>
    <row r="375" spans="1:14" ht="18" customHeight="1">
      <c r="A375" s="1491"/>
      <c r="B375" s="1492"/>
      <c r="C375" s="1492"/>
      <c r="D375" s="1492"/>
      <c r="E375" s="1492"/>
      <c r="F375" s="1493"/>
      <c r="G375" s="1371"/>
      <c r="H375" s="786"/>
      <c r="I375" s="786">
        <v>2021</v>
      </c>
      <c r="J375" s="786" t="s">
        <v>560</v>
      </c>
      <c r="K375" s="786" t="s">
        <v>561</v>
      </c>
      <c r="L375" s="786">
        <v>2022</v>
      </c>
      <c r="M375" s="787">
        <v>2023</v>
      </c>
    </row>
    <row r="376" spans="1:14" ht="18" customHeight="1">
      <c r="A376" s="1491" t="s">
        <v>21</v>
      </c>
      <c r="B376" s="1492"/>
      <c r="C376" s="1492"/>
      <c r="D376" s="1492"/>
      <c r="E376" s="1492"/>
      <c r="F376" s="1493"/>
      <c r="G376" s="788"/>
      <c r="H376" s="789" t="s">
        <v>612</v>
      </c>
      <c r="I376" s="786" t="s">
        <v>909</v>
      </c>
      <c r="J376" s="786" t="s">
        <v>559</v>
      </c>
      <c r="K376" s="786" t="s">
        <v>562</v>
      </c>
      <c r="L376" s="786" t="s">
        <v>909</v>
      </c>
      <c r="M376" s="787" t="s">
        <v>909</v>
      </c>
    </row>
    <row r="377" spans="1:14" ht="18" customHeight="1">
      <c r="A377" s="790"/>
      <c r="B377" s="791"/>
      <c r="C377" s="791"/>
      <c r="D377" s="791"/>
      <c r="E377" s="791"/>
      <c r="F377" s="792"/>
      <c r="G377" s="788"/>
      <c r="H377" s="786"/>
      <c r="I377" s="786" t="s">
        <v>559</v>
      </c>
      <c r="J377" s="786">
        <v>2022</v>
      </c>
      <c r="K377" s="786">
        <v>2022</v>
      </c>
      <c r="L377" s="786" t="s">
        <v>910</v>
      </c>
      <c r="M377" s="787" t="s">
        <v>564</v>
      </c>
    </row>
    <row r="378" spans="1:14" ht="18" customHeight="1" thickBot="1">
      <c r="A378" s="1497"/>
      <c r="B378" s="1498"/>
      <c r="C378" s="1498"/>
      <c r="D378" s="1498"/>
      <c r="E378" s="1498"/>
      <c r="F378" s="1499"/>
      <c r="G378" s="1372"/>
      <c r="H378" s="793"/>
      <c r="I378" s="1393"/>
      <c r="J378" s="793"/>
      <c r="K378" s="793"/>
      <c r="L378" s="793"/>
      <c r="M378" s="794"/>
    </row>
    <row r="379" spans="1:14" ht="18" customHeight="1">
      <c r="A379" s="795"/>
      <c r="B379" s="796" t="s">
        <v>359</v>
      </c>
      <c r="C379" s="797"/>
      <c r="D379" s="796"/>
      <c r="E379" s="796"/>
      <c r="F379" s="798"/>
      <c r="G379" s="799"/>
      <c r="H379" s="841"/>
      <c r="I379" s="842"/>
      <c r="J379" s="843"/>
      <c r="K379" s="843"/>
      <c r="L379" s="843"/>
      <c r="M379" s="843"/>
    </row>
    <row r="380" spans="1:14" ht="18" customHeight="1">
      <c r="A380" s="803"/>
      <c r="B380" s="804"/>
      <c r="C380" s="804" t="s">
        <v>515</v>
      </c>
      <c r="D380" s="804"/>
      <c r="E380" s="804"/>
      <c r="F380" s="805"/>
      <c r="G380" s="806"/>
      <c r="H380" s="844"/>
      <c r="I380" s="845"/>
      <c r="J380" s="846"/>
      <c r="K380" s="846"/>
      <c r="L380" s="846"/>
      <c r="M380" s="846"/>
    </row>
    <row r="381" spans="1:14" ht="18" customHeight="1">
      <c r="A381" s="803"/>
      <c r="B381" s="804"/>
      <c r="C381" s="804"/>
      <c r="D381" s="804" t="s">
        <v>516</v>
      </c>
      <c r="E381" s="804"/>
      <c r="F381" s="805"/>
      <c r="G381" s="806" t="s">
        <v>582</v>
      </c>
      <c r="H381" s="810" t="s">
        <v>672</v>
      </c>
      <c r="I381" s="811">
        <v>1694855</v>
      </c>
      <c r="J381" s="812">
        <v>911221.51</v>
      </c>
      <c r="K381" s="812">
        <f>2148852-J381</f>
        <v>1237630.49</v>
      </c>
      <c r="L381" s="812">
        <f t="shared" ref="L381:L401" si="13">SUM(K381+J381)</f>
        <v>2148852</v>
      </c>
      <c r="M381" s="812">
        <v>2220180</v>
      </c>
    </row>
    <row r="382" spans="1:14" ht="18" customHeight="1">
      <c r="A382" s="803"/>
      <c r="B382" s="804"/>
      <c r="C382" s="804" t="s">
        <v>517</v>
      </c>
      <c r="D382" s="804"/>
      <c r="E382" s="804"/>
      <c r="F382" s="805"/>
      <c r="G382" s="806"/>
      <c r="H382" s="844"/>
      <c r="I382" s="811"/>
      <c r="J382" s="812"/>
      <c r="K382" s="812"/>
      <c r="L382" s="812"/>
      <c r="M382" s="812"/>
    </row>
    <row r="383" spans="1:14" ht="18" customHeight="1">
      <c r="A383" s="803"/>
      <c r="B383" s="804"/>
      <c r="C383" s="804"/>
      <c r="D383" s="804" t="s">
        <v>518</v>
      </c>
      <c r="E383" s="804"/>
      <c r="F383" s="805"/>
      <c r="G383" s="806" t="s">
        <v>583</v>
      </c>
      <c r="H383" s="810" t="s">
        <v>673</v>
      </c>
      <c r="I383" s="811">
        <f>120000</f>
        <v>120000</v>
      </c>
      <c r="J383" s="812">
        <v>60000</v>
      </c>
      <c r="K383" s="812">
        <f>144000-J383</f>
        <v>84000</v>
      </c>
      <c r="L383" s="812">
        <f t="shared" si="13"/>
        <v>144000</v>
      </c>
      <c r="M383" s="812">
        <v>144000</v>
      </c>
    </row>
    <row r="384" spans="1:14" ht="18" customHeight="1">
      <c r="A384" s="803"/>
      <c r="B384" s="804"/>
      <c r="C384" s="804"/>
      <c r="D384" s="804" t="s">
        <v>528</v>
      </c>
      <c r="E384" s="804"/>
      <c r="F384" s="805"/>
      <c r="G384" s="806" t="s">
        <v>584</v>
      </c>
      <c r="H384" s="810" t="s">
        <v>674</v>
      </c>
      <c r="I384" s="811">
        <v>76500</v>
      </c>
      <c r="J384" s="812">
        <v>38250</v>
      </c>
      <c r="K384" s="812">
        <f>76500-J384</f>
        <v>38250</v>
      </c>
      <c r="L384" s="812">
        <f t="shared" si="13"/>
        <v>76500</v>
      </c>
      <c r="M384" s="812">
        <v>76500</v>
      </c>
    </row>
    <row r="385" spans="1:13" ht="18" customHeight="1">
      <c r="A385" s="803"/>
      <c r="B385" s="804"/>
      <c r="C385" s="804"/>
      <c r="D385" s="804" t="s">
        <v>527</v>
      </c>
      <c r="E385" s="804"/>
      <c r="F385" s="805"/>
      <c r="G385" s="806" t="s">
        <v>585</v>
      </c>
      <c r="H385" s="810" t="s">
        <v>675</v>
      </c>
      <c r="I385" s="811">
        <v>76500</v>
      </c>
      <c r="J385" s="812">
        <v>38250</v>
      </c>
      <c r="K385" s="812">
        <f>76500-J385</f>
        <v>38250</v>
      </c>
      <c r="L385" s="812">
        <f t="shared" si="13"/>
        <v>76500</v>
      </c>
      <c r="M385" s="812">
        <v>76500</v>
      </c>
    </row>
    <row r="386" spans="1:13" ht="18" customHeight="1">
      <c r="A386" s="803"/>
      <c r="B386" s="804"/>
      <c r="C386" s="804"/>
      <c r="D386" s="804" t="s">
        <v>529</v>
      </c>
      <c r="E386" s="804"/>
      <c r="F386" s="805"/>
      <c r="G386" s="806" t="s">
        <v>586</v>
      </c>
      <c r="H386" s="810" t="s">
        <v>676</v>
      </c>
      <c r="I386" s="811">
        <f>30000</f>
        <v>30000</v>
      </c>
      <c r="J386" s="812">
        <v>30000</v>
      </c>
      <c r="K386" s="812">
        <f>36000-J386</f>
        <v>6000</v>
      </c>
      <c r="L386" s="812">
        <f t="shared" si="13"/>
        <v>36000</v>
      </c>
      <c r="M386" s="812">
        <v>36000</v>
      </c>
    </row>
    <row r="387" spans="1:13" ht="18" customHeight="1">
      <c r="A387" s="803"/>
      <c r="B387" s="804"/>
      <c r="C387" s="804"/>
      <c r="D387" s="804" t="s">
        <v>670</v>
      </c>
      <c r="E387" s="804"/>
      <c r="F387" s="805"/>
      <c r="G387" s="806" t="s">
        <v>588</v>
      </c>
      <c r="H387" s="810" t="s">
        <v>677</v>
      </c>
      <c r="I387" s="811">
        <f>25000</f>
        <v>25000</v>
      </c>
      <c r="J387" s="812">
        <v>0</v>
      </c>
      <c r="K387" s="812">
        <f>30000-J387</f>
        <v>30000</v>
      </c>
      <c r="L387" s="812">
        <f t="shared" si="13"/>
        <v>30000</v>
      </c>
      <c r="M387" s="812">
        <v>30000</v>
      </c>
    </row>
    <row r="388" spans="1:13" ht="18" customHeight="1">
      <c r="A388" s="803"/>
      <c r="B388" s="804"/>
      <c r="C388" s="804"/>
      <c r="D388" s="804" t="s">
        <v>531</v>
      </c>
      <c r="E388" s="804"/>
      <c r="F388" s="805"/>
      <c r="G388" s="806" t="s">
        <v>425</v>
      </c>
      <c r="H388" s="810" t="s">
        <v>678</v>
      </c>
      <c r="I388" s="811">
        <v>0</v>
      </c>
      <c r="J388" s="812">
        <v>0</v>
      </c>
      <c r="K388" s="812">
        <f>10000-J388</f>
        <v>10000</v>
      </c>
      <c r="L388" s="812">
        <f t="shared" si="13"/>
        <v>10000</v>
      </c>
      <c r="M388" s="812">
        <v>5000</v>
      </c>
    </row>
    <row r="389" spans="1:13" ht="18" customHeight="1">
      <c r="A389" s="803"/>
      <c r="B389" s="804"/>
      <c r="C389" s="804"/>
      <c r="D389" s="804" t="s">
        <v>1580</v>
      </c>
      <c r="E389" s="804"/>
      <c r="F389" s="805"/>
      <c r="G389" s="806" t="s">
        <v>425</v>
      </c>
      <c r="H389" s="810" t="s">
        <v>678</v>
      </c>
      <c r="I389" s="811">
        <f>9000</f>
        <v>9000</v>
      </c>
      <c r="J389" s="812">
        <v>0</v>
      </c>
      <c r="K389" s="812">
        <f>0-J389</f>
        <v>0</v>
      </c>
      <c r="L389" s="812">
        <f t="shared" si="13"/>
        <v>0</v>
      </c>
      <c r="M389" s="812">
        <v>0</v>
      </c>
    </row>
    <row r="390" spans="1:13" ht="18" hidden="1" customHeight="1">
      <c r="A390" s="803"/>
      <c r="B390" s="804"/>
      <c r="C390" s="804"/>
      <c r="D390" s="804" t="s">
        <v>1492</v>
      </c>
      <c r="E390" s="804"/>
      <c r="F390" s="805"/>
      <c r="G390" s="806"/>
      <c r="H390" s="810" t="s">
        <v>678</v>
      </c>
      <c r="I390" s="811">
        <v>0</v>
      </c>
      <c r="J390" s="812">
        <v>0</v>
      </c>
      <c r="K390" s="812">
        <v>0</v>
      </c>
      <c r="L390" s="812">
        <f t="shared" si="13"/>
        <v>0</v>
      </c>
      <c r="M390" s="812">
        <v>0</v>
      </c>
    </row>
    <row r="391" spans="1:13" ht="18" customHeight="1">
      <c r="A391" s="803"/>
      <c r="B391" s="804"/>
      <c r="C391" s="804"/>
      <c r="D391" s="804" t="s">
        <v>360</v>
      </c>
      <c r="E391" s="804"/>
      <c r="F391" s="805"/>
      <c r="G391" s="806" t="s">
        <v>590</v>
      </c>
      <c r="H391" s="810" t="s">
        <v>695</v>
      </c>
      <c r="I391" s="811">
        <f>8058.88+6387.06</f>
        <v>14445.94</v>
      </c>
      <c r="J391" s="812">
        <v>7848.77</v>
      </c>
      <c r="K391" s="812">
        <f>22000-J391</f>
        <v>14151.23</v>
      </c>
      <c r="L391" s="812">
        <f t="shared" si="13"/>
        <v>22000</v>
      </c>
      <c r="M391" s="812">
        <v>25000</v>
      </c>
    </row>
    <row r="392" spans="1:13" ht="18" customHeight="1">
      <c r="A392" s="803"/>
      <c r="B392" s="804"/>
      <c r="C392" s="804"/>
      <c r="D392" s="804" t="s">
        <v>533</v>
      </c>
      <c r="E392" s="804"/>
      <c r="F392" s="805"/>
      <c r="G392" s="806" t="s">
        <v>591</v>
      </c>
      <c r="H392" s="810" t="s">
        <v>679</v>
      </c>
      <c r="I392" s="811">
        <f>25000</f>
        <v>25000</v>
      </c>
      <c r="J392" s="812">
        <v>0</v>
      </c>
      <c r="K392" s="812">
        <f>30000-J392</f>
        <v>30000</v>
      </c>
      <c r="L392" s="812">
        <f t="shared" si="13"/>
        <v>30000</v>
      </c>
      <c r="M392" s="812">
        <v>30000</v>
      </c>
    </row>
    <row r="393" spans="1:13" ht="18" customHeight="1">
      <c r="A393" s="803"/>
      <c r="B393" s="804"/>
      <c r="C393" s="804"/>
      <c r="D393" s="804" t="s">
        <v>790</v>
      </c>
      <c r="E393" s="804"/>
      <c r="F393" s="804"/>
      <c r="G393" s="814" t="s">
        <v>425</v>
      </c>
      <c r="H393" s="810" t="s">
        <v>678</v>
      </c>
      <c r="I393" s="811">
        <f>140833</f>
        <v>140833</v>
      </c>
      <c r="J393" s="812">
        <v>155604</v>
      </c>
      <c r="K393" s="812">
        <f>179071-J393</f>
        <v>23467</v>
      </c>
      <c r="L393" s="812">
        <f t="shared" si="13"/>
        <v>179071</v>
      </c>
      <c r="M393" s="812">
        <v>184932</v>
      </c>
    </row>
    <row r="394" spans="1:13" ht="18" customHeight="1">
      <c r="A394" s="803"/>
      <c r="B394" s="804"/>
      <c r="C394" s="804"/>
      <c r="D394" s="804" t="s">
        <v>534</v>
      </c>
      <c r="E394" s="804"/>
      <c r="F394" s="805"/>
      <c r="G394" s="806" t="s">
        <v>592</v>
      </c>
      <c r="H394" s="810" t="s">
        <v>680</v>
      </c>
      <c r="I394" s="811">
        <f>142076</f>
        <v>142076</v>
      </c>
      <c r="J394" s="812">
        <v>0</v>
      </c>
      <c r="K394" s="812">
        <f>179071-J394</f>
        <v>179071</v>
      </c>
      <c r="L394" s="812">
        <f t="shared" si="13"/>
        <v>179071</v>
      </c>
      <c r="M394" s="812">
        <v>185149</v>
      </c>
    </row>
    <row r="395" spans="1:13" ht="18" customHeight="1">
      <c r="A395" s="803"/>
      <c r="B395" s="804"/>
      <c r="C395" s="804"/>
      <c r="D395" s="804" t="s">
        <v>646</v>
      </c>
      <c r="E395" s="804"/>
      <c r="F395" s="805"/>
      <c r="G395" s="806" t="s">
        <v>593</v>
      </c>
      <c r="H395" s="810" t="s">
        <v>681</v>
      </c>
      <c r="I395" s="811">
        <f>199583.52</f>
        <v>199583.52</v>
      </c>
      <c r="J395" s="812">
        <v>84501</v>
      </c>
      <c r="K395" s="812">
        <f>258800-J395</f>
        <v>174299</v>
      </c>
      <c r="L395" s="812">
        <f t="shared" si="13"/>
        <v>258800</v>
      </c>
      <c r="M395" s="812">
        <v>267000</v>
      </c>
    </row>
    <row r="396" spans="1:13" ht="18" customHeight="1">
      <c r="A396" s="803"/>
      <c r="B396" s="804"/>
      <c r="C396" s="804"/>
      <c r="D396" s="804" t="s">
        <v>535</v>
      </c>
      <c r="E396" s="804"/>
      <c r="F396" s="805"/>
      <c r="G396" s="806" t="s">
        <v>594</v>
      </c>
      <c r="H396" s="810" t="s">
        <v>682</v>
      </c>
      <c r="I396" s="811">
        <f>6000</f>
        <v>6000</v>
      </c>
      <c r="J396" s="812">
        <v>2500</v>
      </c>
      <c r="K396" s="812">
        <f>10800-J396</f>
        <v>8300</v>
      </c>
      <c r="L396" s="812">
        <f t="shared" si="13"/>
        <v>10800</v>
      </c>
      <c r="M396" s="812">
        <v>10800</v>
      </c>
    </row>
    <row r="397" spans="1:13" ht="18" customHeight="1">
      <c r="A397" s="803"/>
      <c r="B397" s="804"/>
      <c r="C397" s="804"/>
      <c r="D397" s="804" t="s">
        <v>536</v>
      </c>
      <c r="E397" s="804"/>
      <c r="F397" s="805"/>
      <c r="G397" s="806" t="s">
        <v>595</v>
      </c>
      <c r="H397" s="810" t="s">
        <v>683</v>
      </c>
      <c r="I397" s="811">
        <f>22080</f>
        <v>22080</v>
      </c>
      <c r="J397" s="812">
        <v>9675</v>
      </c>
      <c r="K397" s="812">
        <f>43800-J397</f>
        <v>34125</v>
      </c>
      <c r="L397" s="812">
        <f t="shared" si="13"/>
        <v>43800</v>
      </c>
      <c r="M397" s="812">
        <v>50000</v>
      </c>
    </row>
    <row r="398" spans="1:13" ht="18" customHeight="1">
      <c r="A398" s="803"/>
      <c r="B398" s="804"/>
      <c r="C398" s="804"/>
      <c r="D398" s="804" t="s">
        <v>642</v>
      </c>
      <c r="E398" s="804"/>
      <c r="F398" s="805"/>
      <c r="G398" s="806" t="s">
        <v>596</v>
      </c>
      <c r="H398" s="810" t="s">
        <v>684</v>
      </c>
      <c r="I398" s="811">
        <f>5900</f>
        <v>5900</v>
      </c>
      <c r="J398" s="812">
        <v>2500</v>
      </c>
      <c r="K398" s="812">
        <f>7200-J398</f>
        <v>4700</v>
      </c>
      <c r="L398" s="812">
        <f t="shared" si="13"/>
        <v>7200</v>
      </c>
      <c r="M398" s="812">
        <v>7200</v>
      </c>
    </row>
    <row r="399" spans="1:13" ht="18" customHeight="1">
      <c r="A399" s="803"/>
      <c r="B399" s="804"/>
      <c r="C399" s="804"/>
      <c r="D399" s="804" t="s">
        <v>365</v>
      </c>
      <c r="E399" s="804"/>
      <c r="F399" s="805"/>
      <c r="G399" s="806"/>
      <c r="H399" s="810" t="s">
        <v>685</v>
      </c>
      <c r="I399" s="811">
        <v>0</v>
      </c>
      <c r="J399" s="812">
        <v>0</v>
      </c>
      <c r="K399" s="812">
        <f>0-J399</f>
        <v>0</v>
      </c>
      <c r="L399" s="812">
        <f t="shared" si="13"/>
        <v>0</v>
      </c>
      <c r="M399" s="812">
        <v>79000</v>
      </c>
    </row>
    <row r="400" spans="1:13" ht="18" customHeight="1">
      <c r="A400" s="803"/>
      <c r="B400" s="804"/>
      <c r="C400" s="804"/>
      <c r="D400" s="804" t="s">
        <v>538</v>
      </c>
      <c r="E400" s="804"/>
      <c r="F400" s="805"/>
      <c r="G400" s="806" t="s">
        <v>388</v>
      </c>
      <c r="H400" s="810" t="s">
        <v>696</v>
      </c>
      <c r="I400" s="811">
        <f>138422.45</f>
        <v>138422.45000000001</v>
      </c>
      <c r="J400" s="812">
        <v>0</v>
      </c>
      <c r="K400" s="812">
        <f>0-J400</f>
        <v>0</v>
      </c>
      <c r="L400" s="812">
        <f t="shared" si="13"/>
        <v>0</v>
      </c>
      <c r="M400" s="812">
        <v>0</v>
      </c>
    </row>
    <row r="401" spans="1:13" ht="18" customHeight="1">
      <c r="A401" s="803"/>
      <c r="B401" s="804"/>
      <c r="C401" s="804"/>
      <c r="D401" s="804" t="s">
        <v>1493</v>
      </c>
      <c r="E401" s="804"/>
      <c r="F401" s="805"/>
      <c r="G401" s="806"/>
      <c r="H401" s="810" t="s">
        <v>696</v>
      </c>
      <c r="I401" s="811">
        <f>50000</f>
        <v>50000</v>
      </c>
      <c r="J401" s="812">
        <v>0</v>
      </c>
      <c r="K401" s="812">
        <f>0-J401</f>
        <v>0</v>
      </c>
      <c r="L401" s="812">
        <f t="shared" si="13"/>
        <v>0</v>
      </c>
      <c r="M401" s="812">
        <v>0</v>
      </c>
    </row>
    <row r="402" spans="1:13" s="820" customFormat="1" ht="18" customHeight="1">
      <c r="A402" s="815"/>
      <c r="B402" s="816"/>
      <c r="C402" s="816"/>
      <c r="D402" s="816" t="s">
        <v>364</v>
      </c>
      <c r="E402" s="816"/>
      <c r="F402" s="817"/>
      <c r="G402" s="818"/>
      <c r="H402" s="847"/>
      <c r="I402" s="819">
        <f>SUM(I381:I401)</f>
        <v>2776195.91</v>
      </c>
      <c r="J402" s="819">
        <f>SUM(J381:J401)</f>
        <v>1340350.28</v>
      </c>
      <c r="K402" s="819">
        <f>SUM(K381:K401)</f>
        <v>1912243.72</v>
      </c>
      <c r="L402" s="819">
        <f>SUM(L381:L401)</f>
        <v>3252594</v>
      </c>
      <c r="M402" s="819">
        <f>SUM(M381:M401)</f>
        <v>3427261</v>
      </c>
    </row>
    <row r="403" spans="1:13" ht="18" customHeight="1">
      <c r="A403" s="803"/>
      <c r="B403" s="804" t="s">
        <v>539</v>
      </c>
      <c r="C403" s="804"/>
      <c r="D403" s="804"/>
      <c r="E403" s="804"/>
      <c r="F403" s="805"/>
      <c r="G403" s="806"/>
      <c r="H403" s="844"/>
      <c r="I403" s="811"/>
      <c r="J403" s="812"/>
      <c r="K403" s="812"/>
      <c r="L403" s="812"/>
      <c r="M403" s="812"/>
    </row>
    <row r="404" spans="1:13" ht="18" customHeight="1">
      <c r="A404" s="803"/>
      <c r="B404" s="804"/>
      <c r="C404" s="804"/>
      <c r="D404" s="804" t="s">
        <v>540</v>
      </c>
      <c r="E404" s="804"/>
      <c r="F404" s="805"/>
      <c r="G404" s="806" t="s">
        <v>376</v>
      </c>
      <c r="H404" s="810" t="s">
        <v>686</v>
      </c>
      <c r="I404" s="811">
        <f>1200</f>
        <v>1200</v>
      </c>
      <c r="J404" s="812">
        <v>95081.71</v>
      </c>
      <c r="K404" s="812">
        <f>110000-J404</f>
        <v>14918.289999999994</v>
      </c>
      <c r="L404" s="812">
        <f t="shared" ref="L404:L410" si="14">SUM(K404+J404)</f>
        <v>110000</v>
      </c>
      <c r="M404" s="812">
        <v>110000</v>
      </c>
    </row>
    <row r="405" spans="1:13" ht="18" customHeight="1">
      <c r="A405" s="803"/>
      <c r="B405" s="804"/>
      <c r="C405" s="804"/>
      <c r="D405" s="804" t="s">
        <v>421</v>
      </c>
      <c r="E405" s="804"/>
      <c r="F405" s="805"/>
      <c r="G405" s="806" t="s">
        <v>377</v>
      </c>
      <c r="H405" s="810" t="s">
        <v>687</v>
      </c>
      <c r="I405" s="811">
        <v>0</v>
      </c>
      <c r="J405" s="812">
        <v>124334.88</v>
      </c>
      <c r="K405" s="812">
        <f>130000-J405</f>
        <v>5665.1199999999953</v>
      </c>
      <c r="L405" s="812">
        <f t="shared" si="14"/>
        <v>130000</v>
      </c>
      <c r="M405" s="812">
        <v>130000</v>
      </c>
    </row>
    <row r="406" spans="1:13" ht="18" customHeight="1">
      <c r="A406" s="803"/>
      <c r="B406" s="804"/>
      <c r="C406" s="804"/>
      <c r="D406" s="804" t="s">
        <v>371</v>
      </c>
      <c r="E406" s="804"/>
      <c r="F406" s="805"/>
      <c r="G406" s="806" t="s">
        <v>379</v>
      </c>
      <c r="H406" s="810" t="s">
        <v>688</v>
      </c>
      <c r="I406" s="811">
        <f>162561.75</f>
        <v>162561.75</v>
      </c>
      <c r="J406" s="812">
        <v>57224</v>
      </c>
      <c r="K406" s="812">
        <f>250815-J406</f>
        <v>193591</v>
      </c>
      <c r="L406" s="812">
        <f t="shared" si="14"/>
        <v>250815</v>
      </c>
      <c r="M406" s="812">
        <v>250815</v>
      </c>
    </row>
    <row r="407" spans="1:13" ht="18" customHeight="1">
      <c r="A407" s="803"/>
      <c r="B407" s="804"/>
      <c r="C407" s="804"/>
      <c r="D407" s="804" t="s">
        <v>546</v>
      </c>
      <c r="E407" s="804"/>
      <c r="F407" s="805"/>
      <c r="G407" s="806" t="s">
        <v>380</v>
      </c>
      <c r="H407" s="810" t="s">
        <v>690</v>
      </c>
      <c r="I407" s="811">
        <f>42000</f>
        <v>42000</v>
      </c>
      <c r="J407" s="812">
        <v>24000</v>
      </c>
      <c r="K407" s="812">
        <f>48000-J407</f>
        <v>24000</v>
      </c>
      <c r="L407" s="812">
        <f t="shared" si="14"/>
        <v>48000</v>
      </c>
      <c r="M407" s="812">
        <v>48000</v>
      </c>
    </row>
    <row r="408" spans="1:13" ht="18" customHeight="1">
      <c r="A408" s="803"/>
      <c r="B408" s="804"/>
      <c r="C408" s="804"/>
      <c r="D408" s="804" t="s">
        <v>902</v>
      </c>
      <c r="E408" s="804"/>
      <c r="F408" s="805"/>
      <c r="G408" s="806" t="s">
        <v>381</v>
      </c>
      <c r="H408" s="810" t="s">
        <v>691</v>
      </c>
      <c r="I408" s="811">
        <f>34750</f>
        <v>34750</v>
      </c>
      <c r="J408" s="812">
        <v>13350</v>
      </c>
      <c r="K408" s="812">
        <f>35000-J408</f>
        <v>21650</v>
      </c>
      <c r="L408" s="812">
        <f t="shared" si="14"/>
        <v>35000</v>
      </c>
      <c r="M408" s="812">
        <v>35000</v>
      </c>
    </row>
    <row r="409" spans="1:13" ht="18" hidden="1" customHeight="1">
      <c r="A409" s="803"/>
      <c r="B409" s="804"/>
      <c r="C409" s="804"/>
      <c r="D409" s="804" t="s">
        <v>552</v>
      </c>
      <c r="E409" s="804"/>
      <c r="F409" s="805"/>
      <c r="G409" s="806" t="s">
        <v>382</v>
      </c>
      <c r="H409" s="810" t="s">
        <v>692</v>
      </c>
      <c r="I409" s="811">
        <v>0</v>
      </c>
      <c r="J409" s="812">
        <v>0</v>
      </c>
      <c r="K409" s="812">
        <f>0-J409</f>
        <v>0</v>
      </c>
      <c r="L409" s="812">
        <f t="shared" si="14"/>
        <v>0</v>
      </c>
      <c r="M409" s="812"/>
    </row>
    <row r="410" spans="1:13" ht="18" customHeight="1">
      <c r="A410" s="803"/>
      <c r="B410" s="804"/>
      <c r="C410" s="804"/>
      <c r="D410" s="804" t="s">
        <v>1681</v>
      </c>
      <c r="E410" s="804"/>
      <c r="F410" s="805"/>
      <c r="G410" s="806"/>
      <c r="H410" s="810" t="s">
        <v>692</v>
      </c>
      <c r="I410" s="811">
        <f>125000</f>
        <v>125000</v>
      </c>
      <c r="J410" s="812">
        <v>0</v>
      </c>
      <c r="K410" s="812">
        <f>0-J410</f>
        <v>0</v>
      </c>
      <c r="L410" s="812">
        <f t="shared" si="14"/>
        <v>0</v>
      </c>
      <c r="M410" s="812"/>
    </row>
    <row r="411" spans="1:13" s="820" customFormat="1" ht="18" customHeight="1">
      <c r="A411" s="815"/>
      <c r="B411" s="816"/>
      <c r="C411" s="816"/>
      <c r="D411" s="816" t="s">
        <v>737</v>
      </c>
      <c r="E411" s="816"/>
      <c r="F411" s="817"/>
      <c r="G411" s="818"/>
      <c r="H411" s="847"/>
      <c r="I411" s="819">
        <f>SUM(I404:I410)</f>
        <v>365511.75</v>
      </c>
      <c r="J411" s="819">
        <f>SUM(J404:J410)</f>
        <v>313990.59000000003</v>
      </c>
      <c r="K411" s="819">
        <f>SUM(K404:K410)</f>
        <v>259824.40999999997</v>
      </c>
      <c r="L411" s="819">
        <f>SUM(L404:L410)</f>
        <v>573815</v>
      </c>
      <c r="M411" s="819">
        <f>SUM(M404:M410)</f>
        <v>573815</v>
      </c>
    </row>
    <row r="412" spans="1:13" ht="18" customHeight="1">
      <c r="A412" s="803"/>
      <c r="B412" s="804" t="s">
        <v>553</v>
      </c>
      <c r="C412" s="804"/>
      <c r="D412" s="804"/>
      <c r="E412" s="804"/>
      <c r="F412" s="805"/>
      <c r="G412" s="806"/>
      <c r="H412" s="844"/>
      <c r="I412" s="811"/>
      <c r="J412" s="812"/>
      <c r="K412" s="812"/>
      <c r="L412" s="812"/>
      <c r="M412" s="812"/>
    </row>
    <row r="413" spans="1:13" ht="18" customHeight="1">
      <c r="A413" s="803"/>
      <c r="B413" s="804"/>
      <c r="C413" s="804"/>
      <c r="D413" s="804" t="s">
        <v>671</v>
      </c>
      <c r="E413" s="804"/>
      <c r="F413" s="805"/>
      <c r="G413" s="806" t="s">
        <v>830</v>
      </c>
      <c r="H413" s="810" t="s">
        <v>831</v>
      </c>
      <c r="I413" s="811">
        <f>42500</f>
        <v>42500</v>
      </c>
      <c r="J413" s="812">
        <v>30005</v>
      </c>
      <c r="K413" s="812">
        <f>80000-J413</f>
        <v>49995</v>
      </c>
      <c r="L413" s="812">
        <f>SUM(K413+J413)</f>
        <v>80000</v>
      </c>
      <c r="M413" s="812">
        <v>0</v>
      </c>
    </row>
    <row r="414" spans="1:13" ht="18" customHeight="1">
      <c r="A414" s="803"/>
      <c r="B414" s="804"/>
      <c r="C414" s="804"/>
      <c r="D414" s="804" t="s">
        <v>829</v>
      </c>
      <c r="E414" s="804"/>
      <c r="F414" s="805"/>
      <c r="G414" s="806" t="s">
        <v>832</v>
      </c>
      <c r="H414" s="810" t="s">
        <v>1527</v>
      </c>
      <c r="I414" s="811">
        <f>42500</f>
        <v>42500</v>
      </c>
      <c r="J414" s="812">
        <v>29876</v>
      </c>
      <c r="K414" s="812">
        <f>100000-J414</f>
        <v>70124</v>
      </c>
      <c r="L414" s="812">
        <f>SUM(K414+J414)</f>
        <v>100000</v>
      </c>
      <c r="M414" s="812">
        <v>0</v>
      </c>
    </row>
    <row r="415" spans="1:13" ht="18" customHeight="1">
      <c r="A415" s="803"/>
      <c r="B415" s="804"/>
      <c r="C415" s="804"/>
      <c r="D415" s="804" t="s">
        <v>839</v>
      </c>
      <c r="E415" s="804"/>
      <c r="F415" s="805"/>
      <c r="G415" s="806" t="s">
        <v>890</v>
      </c>
      <c r="H415" s="810" t="s">
        <v>840</v>
      </c>
      <c r="I415" s="811">
        <f>18990</f>
        <v>18990</v>
      </c>
      <c r="J415" s="812">
        <v>0</v>
      </c>
      <c r="K415" s="812">
        <f>0-J415</f>
        <v>0</v>
      </c>
      <c r="L415" s="812">
        <f>SUM(K415+J415)</f>
        <v>0</v>
      </c>
      <c r="M415" s="812">
        <v>0</v>
      </c>
    </row>
    <row r="416" spans="1:13" ht="18" hidden="1" customHeight="1">
      <c r="A416" s="803"/>
      <c r="B416" s="804"/>
      <c r="C416" s="804"/>
      <c r="D416" s="804" t="s">
        <v>833</v>
      </c>
      <c r="E416" s="804"/>
      <c r="F416" s="805"/>
      <c r="G416" s="806" t="s">
        <v>834</v>
      </c>
      <c r="H416" s="810" t="s">
        <v>835</v>
      </c>
      <c r="I416" s="811">
        <v>0</v>
      </c>
      <c r="J416" s="812"/>
      <c r="K416" s="812">
        <f>0-J416</f>
        <v>0</v>
      </c>
      <c r="L416" s="812">
        <f>SUM(K416+J416)</f>
        <v>0</v>
      </c>
      <c r="M416" s="812">
        <v>0</v>
      </c>
    </row>
    <row r="417" spans="1:14" s="820" customFormat="1" ht="18" customHeight="1">
      <c r="A417" s="815"/>
      <c r="B417" s="816"/>
      <c r="C417" s="816"/>
      <c r="D417" s="816" t="s">
        <v>782</v>
      </c>
      <c r="E417" s="816"/>
      <c r="F417" s="817"/>
      <c r="G417" s="818"/>
      <c r="H417" s="847"/>
      <c r="I417" s="819">
        <f>SUM(I413:I416)</f>
        <v>103990</v>
      </c>
      <c r="J417" s="819">
        <f>SUM(J413:J416)</f>
        <v>59881</v>
      </c>
      <c r="K417" s="822">
        <f>SUM(K413:K416)</f>
        <v>120119</v>
      </c>
      <c r="L417" s="822">
        <f>SUM(L413:L416)</f>
        <v>180000</v>
      </c>
      <c r="M417" s="822">
        <f>SUM(M413:M416)</f>
        <v>0</v>
      </c>
    </row>
    <row r="418" spans="1:14" s="820" customFormat="1" ht="18" customHeight="1">
      <c r="A418" s="815"/>
      <c r="B418" s="816"/>
      <c r="C418" s="816"/>
      <c r="D418" s="816"/>
      <c r="E418" s="816"/>
      <c r="F418" s="817"/>
      <c r="G418" s="818"/>
      <c r="H418" s="847"/>
      <c r="I418" s="819"/>
      <c r="J418" s="822"/>
      <c r="K418" s="822"/>
      <c r="L418" s="822"/>
      <c r="M418" s="822"/>
    </row>
    <row r="419" spans="1:14" ht="18" customHeight="1">
      <c r="A419" s="823" t="s">
        <v>613</v>
      </c>
      <c r="B419" s="824"/>
      <c r="C419" s="824"/>
      <c r="D419" s="824"/>
      <c r="E419" s="824"/>
      <c r="F419" s="825"/>
      <c r="G419" s="826"/>
      <c r="H419" s="848"/>
      <c r="I419" s="828">
        <f>SUM(I417+I411+I402)</f>
        <v>3245697.66</v>
      </c>
      <c r="J419" s="828">
        <f>SUM(J417+J411+J402)</f>
        <v>1714221.87</v>
      </c>
      <c r="K419" s="828">
        <f>SUM(K417+K411+K402)</f>
        <v>2292187.13</v>
      </c>
      <c r="L419" s="828">
        <f>SUM(L417+L411+L402)</f>
        <v>4006409</v>
      </c>
      <c r="M419" s="828">
        <f>SUM(M417+M411+M402)</f>
        <v>4001076</v>
      </c>
    </row>
    <row r="420" spans="1:14" ht="18" customHeight="1">
      <c r="A420" s="791"/>
      <c r="B420" s="829"/>
      <c r="C420" s="791"/>
      <c r="D420" s="791"/>
      <c r="E420" s="791"/>
      <c r="F420" s="791"/>
      <c r="G420" s="791"/>
      <c r="H420" s="830"/>
      <c r="I420" s="967"/>
      <c r="J420" s="831"/>
      <c r="K420" s="831"/>
      <c r="L420" s="831"/>
      <c r="M420" s="831"/>
    </row>
    <row r="421" spans="1:14" s="1329" customFormat="1" ht="18" customHeight="1">
      <c r="A421" s="1484" t="s">
        <v>1796</v>
      </c>
      <c r="B421" s="1484"/>
      <c r="C421" s="1484"/>
      <c r="D421" s="1484"/>
      <c r="E421" s="1484"/>
      <c r="F421" s="1484"/>
      <c r="G421" s="1484"/>
      <c r="H421" s="1484"/>
      <c r="I421" s="1484"/>
      <c r="J421" s="1484"/>
      <c r="K421" s="1484"/>
      <c r="L421" s="1484"/>
      <c r="M421" s="1484"/>
    </row>
    <row r="422" spans="1:14" s="1329" customFormat="1" ht="18" customHeight="1">
      <c r="A422" s="1330"/>
      <c r="B422" s="1330"/>
      <c r="C422" s="1330"/>
      <c r="D422" s="1330"/>
      <c r="E422" s="1330"/>
      <c r="F422" s="1330"/>
      <c r="G422" s="1330"/>
      <c r="H422" s="1330"/>
      <c r="I422" s="1330"/>
      <c r="J422" s="1330"/>
      <c r="K422" s="1330"/>
      <c r="L422" s="1330"/>
      <c r="M422" s="1330"/>
    </row>
    <row r="423" spans="1:14" s="1329" customFormat="1" ht="18" customHeight="1">
      <c r="A423" s="1330"/>
      <c r="B423" s="1330"/>
      <c r="C423" s="1330"/>
      <c r="D423" s="1330"/>
      <c r="E423" s="1330"/>
      <c r="F423" s="1330"/>
      <c r="G423" s="1330"/>
      <c r="H423" s="1330"/>
      <c r="I423" s="1330"/>
      <c r="J423" s="1330"/>
      <c r="K423" s="1330"/>
      <c r="L423" s="1330"/>
      <c r="M423" s="1330"/>
    </row>
    <row r="424" spans="1:14" s="1329" customFormat="1" ht="18" customHeight="1">
      <c r="A424" s="1331"/>
      <c r="B424" s="1332"/>
      <c r="C424" s="1331"/>
      <c r="D424" s="1331"/>
      <c r="E424" s="1331"/>
      <c r="F424" s="1331"/>
      <c r="G424" s="1331"/>
      <c r="H424" s="1328"/>
      <c r="I424" s="1328"/>
      <c r="J424" s="831"/>
      <c r="K424" s="831"/>
      <c r="L424" s="831"/>
      <c r="M424" s="831"/>
    </row>
    <row r="425" spans="1:14" s="1336" customFormat="1" ht="20.100000000000001" customHeight="1">
      <c r="A425" s="1485" t="s">
        <v>1573</v>
      </c>
      <c r="B425" s="1485"/>
      <c r="C425" s="1485"/>
      <c r="D425" s="1485"/>
      <c r="E425" s="1485"/>
      <c r="F425" s="1485"/>
      <c r="G425" s="1485"/>
      <c r="H425" s="1485"/>
      <c r="I425" s="1485"/>
      <c r="J425" s="1485"/>
      <c r="K425" s="1485"/>
      <c r="L425" s="1485"/>
      <c r="M425" s="1485"/>
    </row>
    <row r="426" spans="1:14" s="778" customFormat="1" ht="18" customHeight="1">
      <c r="A426" s="777"/>
      <c r="B426" s="776"/>
      <c r="C426" s="777"/>
      <c r="D426" s="777"/>
      <c r="E426" s="777"/>
      <c r="F426" s="777"/>
      <c r="G426" s="838"/>
      <c r="H426" s="830"/>
      <c r="I426" s="967"/>
      <c r="K426" s="840"/>
      <c r="L426" s="840"/>
      <c r="M426" s="831"/>
    </row>
    <row r="427" spans="1:14" s="1323" customFormat="1" ht="18" customHeight="1">
      <c r="A427" s="1325"/>
      <c r="B427" s="1324"/>
      <c r="C427" s="1324"/>
      <c r="D427" s="1324"/>
      <c r="E427" s="1324"/>
      <c r="F427" s="1324"/>
      <c r="G427" s="1324"/>
      <c r="H427" s="1324"/>
      <c r="I427" s="1324"/>
      <c r="J427" s="1324"/>
      <c r="K427" s="1324"/>
      <c r="L427" s="1324"/>
      <c r="M427" s="1337"/>
    </row>
    <row r="428" spans="1:14" s="1253" customFormat="1" ht="15" customHeight="1">
      <c r="A428" s="1467" t="s">
        <v>861</v>
      </c>
      <c r="B428" s="1467"/>
      <c r="C428" s="1467"/>
      <c r="D428" s="1467"/>
      <c r="E428" s="1467"/>
      <c r="F428" s="1467"/>
      <c r="G428" s="1467"/>
      <c r="H428" s="1467"/>
      <c r="I428" s="1467"/>
      <c r="J428" s="1467"/>
      <c r="K428" s="1467"/>
      <c r="L428" s="1467"/>
      <c r="M428" s="1467"/>
      <c r="N428" s="1319"/>
    </row>
    <row r="429" spans="1:14" s="1253" customFormat="1" ht="15" customHeight="1">
      <c r="A429" s="1467" t="s">
        <v>174</v>
      </c>
      <c r="B429" s="1467"/>
      <c r="C429" s="1467"/>
      <c r="D429" s="1467"/>
      <c r="E429" s="1467"/>
      <c r="F429" s="1467"/>
      <c r="G429" s="1467"/>
      <c r="H429" s="1467"/>
      <c r="I429" s="1467"/>
      <c r="J429" s="1467"/>
      <c r="K429" s="1467"/>
      <c r="L429" s="1467"/>
      <c r="M429" s="1467"/>
      <c r="N429" s="1319"/>
    </row>
    <row r="430" spans="1:14" s="1253" customFormat="1" ht="15" customHeight="1">
      <c r="A430" s="1467" t="s">
        <v>1780</v>
      </c>
      <c r="B430" s="1467"/>
      <c r="C430" s="1467"/>
      <c r="D430" s="1467"/>
      <c r="E430" s="1467"/>
      <c r="F430" s="1467"/>
      <c r="G430" s="1467"/>
      <c r="H430" s="1467"/>
      <c r="I430" s="1467"/>
      <c r="J430" s="1467"/>
      <c r="K430" s="1467"/>
      <c r="L430" s="1467"/>
      <c r="M430" s="1467"/>
      <c r="N430" s="1319"/>
    </row>
    <row r="431" spans="1:14" s="1253" customFormat="1" ht="15" customHeight="1">
      <c r="A431" s="1467"/>
      <c r="B431" s="1467"/>
      <c r="C431" s="1467"/>
      <c r="D431" s="1467"/>
      <c r="E431" s="1467"/>
      <c r="F431" s="1467"/>
      <c r="G431" s="1467"/>
      <c r="H431" s="1467"/>
      <c r="I431" s="1467"/>
      <c r="J431" s="1467"/>
      <c r="K431" s="1467"/>
      <c r="L431" s="1467"/>
      <c r="M431" s="1467"/>
      <c r="N431" s="1319"/>
    </row>
    <row r="432" spans="1:14" s="1253" customFormat="1" ht="15" customHeight="1">
      <c r="A432" s="1254"/>
      <c r="B432" s="1254"/>
      <c r="C432" s="1254"/>
      <c r="D432" s="1254"/>
      <c r="E432" s="1254"/>
      <c r="F432" s="1254"/>
      <c r="G432" s="1254"/>
      <c r="H432" s="1254"/>
      <c r="I432" s="1254"/>
      <c r="J432" s="1254"/>
      <c r="K432" s="1254"/>
      <c r="L432" s="1254"/>
      <c r="M432" s="1254"/>
      <c r="N432" s="1319"/>
    </row>
    <row r="433" spans="1:14" s="1253" customFormat="1" ht="15" customHeight="1">
      <c r="A433" s="1254"/>
      <c r="B433" s="1254"/>
      <c r="C433" s="1254"/>
      <c r="D433" s="1254"/>
      <c r="E433" s="1254"/>
      <c r="F433" s="1254"/>
      <c r="G433" s="1254"/>
      <c r="H433" s="1254"/>
      <c r="I433" s="1254"/>
      <c r="J433" s="1254"/>
      <c r="K433" s="1254"/>
      <c r="L433" s="1254"/>
      <c r="M433" s="1254"/>
      <c r="N433" s="1319"/>
    </row>
    <row r="434" spans="1:14" s="1253" customFormat="1" ht="15" customHeight="1">
      <c r="A434" s="1468" t="s">
        <v>1781</v>
      </c>
      <c r="B434" s="1468"/>
      <c r="C434" s="1468"/>
      <c r="D434" s="1468"/>
      <c r="E434" s="1468"/>
      <c r="F434" s="1468"/>
      <c r="G434" s="1468"/>
      <c r="H434" s="1468"/>
      <c r="I434" s="1468"/>
      <c r="J434" s="1468"/>
      <c r="K434" s="1468"/>
      <c r="L434" s="1468"/>
      <c r="M434" s="1468"/>
      <c r="N434" s="1319"/>
    </row>
    <row r="435" spans="1:14" s="1253" customFormat="1" ht="18" customHeight="1">
      <c r="A435" s="1469" t="s">
        <v>1817</v>
      </c>
      <c r="B435" s="1469"/>
      <c r="C435" s="1469"/>
      <c r="D435" s="1469"/>
      <c r="E435" s="1469"/>
      <c r="F435" s="1469"/>
      <c r="G435" s="1469"/>
      <c r="H435" s="1469"/>
      <c r="I435" s="1469"/>
      <c r="J435" s="1469"/>
      <c r="K435" s="1469"/>
      <c r="L435" s="1469"/>
      <c r="M435" s="1469"/>
      <c r="N435" s="1320"/>
    </row>
    <row r="436" spans="1:14" s="1253" customFormat="1" ht="15.75">
      <c r="A436" s="1253" t="s">
        <v>1834</v>
      </c>
      <c r="G436" s="1254"/>
      <c r="I436" s="1255"/>
      <c r="L436" s="1256"/>
      <c r="M436" s="1256"/>
    </row>
    <row r="437" spans="1:14" s="1253" customFormat="1" ht="15.75">
      <c r="A437" s="1253" t="s">
        <v>1811</v>
      </c>
      <c r="G437" s="1254"/>
      <c r="I437" s="1255"/>
      <c r="L437" s="1256"/>
      <c r="M437" s="1256"/>
    </row>
    <row r="438" spans="1:14" s="1253" customFormat="1" ht="8.1" customHeight="1">
      <c r="A438" s="1257" t="s">
        <v>1812</v>
      </c>
      <c r="G438" s="1254"/>
      <c r="I438" s="1255"/>
      <c r="L438" s="1256"/>
      <c r="M438" s="1256"/>
    </row>
    <row r="439" spans="1:14" s="1394" customFormat="1" ht="35.25" customHeight="1">
      <c r="A439" s="1394" t="s">
        <v>1835</v>
      </c>
      <c r="C439" s="1486" t="s">
        <v>1836</v>
      </c>
      <c r="D439" s="1486"/>
      <c r="E439" s="1486"/>
      <c r="F439" s="1486"/>
      <c r="G439" s="1486"/>
      <c r="H439" s="1486"/>
      <c r="I439" s="1486"/>
      <c r="J439" s="1486"/>
      <c r="K439" s="1486"/>
      <c r="L439" s="1486"/>
      <c r="M439" s="1486"/>
      <c r="N439" s="1396"/>
    </row>
    <row r="440" spans="1:14" s="778" customFormat="1" ht="18" customHeight="1" thickBot="1">
      <c r="A440" s="1506"/>
      <c r="B440" s="1506"/>
      <c r="C440" s="1506"/>
      <c r="D440" s="1506"/>
      <c r="E440" s="1506"/>
      <c r="F440" s="1506"/>
      <c r="G440" s="1506"/>
      <c r="H440" s="1506"/>
      <c r="I440" s="1506"/>
      <c r="J440" s="1506"/>
      <c r="K440" s="1506"/>
      <c r="L440" s="1506"/>
      <c r="M440" s="1506"/>
    </row>
    <row r="441" spans="1:14" ht="18" customHeight="1">
      <c r="A441" s="780"/>
      <c r="B441" s="781"/>
      <c r="C441" s="781"/>
      <c r="D441" s="781"/>
      <c r="E441" s="781"/>
      <c r="F441" s="782"/>
      <c r="G441" s="783"/>
      <c r="H441" s="784"/>
      <c r="I441" s="784" t="s">
        <v>6</v>
      </c>
      <c r="J441" s="1488" t="s">
        <v>1914</v>
      </c>
      <c r="K441" s="1489"/>
      <c r="L441" s="1490"/>
      <c r="M441" s="785" t="s">
        <v>7</v>
      </c>
    </row>
    <row r="442" spans="1:14" ht="18" customHeight="1">
      <c r="A442" s="1491"/>
      <c r="B442" s="1492"/>
      <c r="C442" s="1492"/>
      <c r="D442" s="1492"/>
      <c r="E442" s="1492"/>
      <c r="F442" s="1493"/>
      <c r="G442" s="1371"/>
      <c r="H442" s="786"/>
      <c r="I442" s="786">
        <v>2021</v>
      </c>
      <c r="J442" s="786" t="s">
        <v>560</v>
      </c>
      <c r="K442" s="786" t="s">
        <v>561</v>
      </c>
      <c r="L442" s="786">
        <v>2022</v>
      </c>
      <c r="M442" s="787">
        <v>2023</v>
      </c>
    </row>
    <row r="443" spans="1:14" ht="18" customHeight="1">
      <c r="A443" s="1491" t="s">
        <v>21</v>
      </c>
      <c r="B443" s="1492"/>
      <c r="C443" s="1492"/>
      <c r="D443" s="1492"/>
      <c r="E443" s="1492"/>
      <c r="F443" s="1493"/>
      <c r="G443" s="788"/>
      <c r="H443" s="789" t="s">
        <v>612</v>
      </c>
      <c r="I443" s="786" t="s">
        <v>909</v>
      </c>
      <c r="J443" s="786" t="s">
        <v>559</v>
      </c>
      <c r="K443" s="786" t="s">
        <v>562</v>
      </c>
      <c r="L443" s="786" t="s">
        <v>909</v>
      </c>
      <c r="M443" s="787" t="s">
        <v>909</v>
      </c>
    </row>
    <row r="444" spans="1:14" ht="18" customHeight="1">
      <c r="A444" s="790"/>
      <c r="B444" s="791"/>
      <c r="C444" s="791"/>
      <c r="D444" s="791"/>
      <c r="E444" s="791"/>
      <c r="F444" s="792"/>
      <c r="G444" s="788"/>
      <c r="H444" s="786"/>
      <c r="I444" s="786" t="s">
        <v>559</v>
      </c>
      <c r="J444" s="786">
        <v>2022</v>
      </c>
      <c r="K444" s="786">
        <v>2022</v>
      </c>
      <c r="L444" s="786" t="s">
        <v>910</v>
      </c>
      <c r="M444" s="787" t="s">
        <v>564</v>
      </c>
    </row>
    <row r="445" spans="1:14" ht="18" customHeight="1" thickBot="1">
      <c r="A445" s="1497"/>
      <c r="B445" s="1498"/>
      <c r="C445" s="1498"/>
      <c r="D445" s="1498"/>
      <c r="E445" s="1498"/>
      <c r="F445" s="1499"/>
      <c r="G445" s="1372"/>
      <c r="H445" s="793"/>
      <c r="I445" s="1393"/>
      <c r="J445" s="793"/>
      <c r="K445" s="793"/>
      <c r="L445" s="793"/>
      <c r="M445" s="794"/>
    </row>
    <row r="446" spans="1:14" ht="18" customHeight="1">
      <c r="A446" s="795"/>
      <c r="B446" s="796" t="s">
        <v>359</v>
      </c>
      <c r="C446" s="797"/>
      <c r="D446" s="796"/>
      <c r="E446" s="796"/>
      <c r="F446" s="798"/>
      <c r="G446" s="799"/>
      <c r="H446" s="841"/>
      <c r="I446" s="842"/>
      <c r="J446" s="843"/>
      <c r="K446" s="843"/>
      <c r="L446" s="843"/>
      <c r="M446" s="843"/>
    </row>
    <row r="447" spans="1:14" ht="18" customHeight="1">
      <c r="A447" s="803"/>
      <c r="B447" s="804"/>
      <c r="C447" s="804" t="s">
        <v>515</v>
      </c>
      <c r="D447" s="804"/>
      <c r="E447" s="804"/>
      <c r="F447" s="805"/>
      <c r="G447" s="806"/>
      <c r="H447" s="844"/>
      <c r="I447" s="845"/>
      <c r="J447" s="846"/>
      <c r="K447" s="846"/>
      <c r="L447" s="846"/>
      <c r="M447" s="846"/>
    </row>
    <row r="448" spans="1:14" ht="18" customHeight="1">
      <c r="A448" s="803"/>
      <c r="B448" s="804"/>
      <c r="C448" s="804"/>
      <c r="D448" s="804" t="s">
        <v>516</v>
      </c>
      <c r="E448" s="804"/>
      <c r="F448" s="805"/>
      <c r="G448" s="806" t="s">
        <v>582</v>
      </c>
      <c r="H448" s="810" t="s">
        <v>672</v>
      </c>
      <c r="I448" s="811">
        <f>2788609.5</f>
        <v>2788609.5</v>
      </c>
      <c r="J448" s="812">
        <v>1375380.51</v>
      </c>
      <c r="K448" s="812">
        <f>3303761-J448</f>
        <v>1928380.49</v>
      </c>
      <c r="L448" s="812">
        <f>SUM(K448+J448)</f>
        <v>3303761</v>
      </c>
      <c r="M448" s="812">
        <v>3418163</v>
      </c>
    </row>
    <row r="449" spans="1:13" ht="18" customHeight="1">
      <c r="A449" s="803"/>
      <c r="B449" s="804"/>
      <c r="C449" s="804" t="s">
        <v>517</v>
      </c>
      <c r="D449" s="804"/>
      <c r="E449" s="804"/>
      <c r="F449" s="805"/>
      <c r="G449" s="806"/>
      <c r="H449" s="844"/>
      <c r="I449" s="811"/>
      <c r="J449" s="812"/>
      <c r="K449" s="812"/>
      <c r="L449" s="812"/>
      <c r="M449" s="812"/>
    </row>
    <row r="450" spans="1:13" ht="18" customHeight="1">
      <c r="A450" s="803"/>
      <c r="B450" s="804"/>
      <c r="C450" s="804"/>
      <c r="D450" s="804" t="s">
        <v>518</v>
      </c>
      <c r="E450" s="804"/>
      <c r="F450" s="805"/>
      <c r="G450" s="806" t="s">
        <v>583</v>
      </c>
      <c r="H450" s="810" t="s">
        <v>673</v>
      </c>
      <c r="I450" s="811">
        <f>274000</f>
        <v>274000</v>
      </c>
      <c r="J450" s="812">
        <v>132000</v>
      </c>
      <c r="K450" s="812">
        <f>312000-J450</f>
        <v>180000</v>
      </c>
      <c r="L450" s="812">
        <f t="shared" ref="L450:L468" si="15">SUM(K450+J450)</f>
        <v>312000</v>
      </c>
      <c r="M450" s="812">
        <v>312000</v>
      </c>
    </row>
    <row r="451" spans="1:13" ht="18" customHeight="1">
      <c r="A451" s="803"/>
      <c r="B451" s="804"/>
      <c r="C451" s="804"/>
      <c r="D451" s="804" t="s">
        <v>528</v>
      </c>
      <c r="E451" s="804"/>
      <c r="F451" s="805"/>
      <c r="G451" s="806" t="s">
        <v>584</v>
      </c>
      <c r="H451" s="810" t="s">
        <v>674</v>
      </c>
      <c r="I451" s="811">
        <v>76500</v>
      </c>
      <c r="J451" s="812">
        <v>38250</v>
      </c>
      <c r="K451" s="812">
        <f>76500-J451</f>
        <v>38250</v>
      </c>
      <c r="L451" s="812">
        <f t="shared" si="15"/>
        <v>76500</v>
      </c>
      <c r="M451" s="812">
        <v>76500</v>
      </c>
    </row>
    <row r="452" spans="1:13" ht="18" customHeight="1">
      <c r="A452" s="803"/>
      <c r="B452" s="804"/>
      <c r="C452" s="804"/>
      <c r="D452" s="804" t="s">
        <v>527</v>
      </c>
      <c r="E452" s="804"/>
      <c r="F452" s="805"/>
      <c r="G452" s="806" t="s">
        <v>585</v>
      </c>
      <c r="H452" s="810" t="s">
        <v>675</v>
      </c>
      <c r="I452" s="811">
        <v>76500</v>
      </c>
      <c r="J452" s="812">
        <v>38250</v>
      </c>
      <c r="K452" s="812">
        <f>76500-J452</f>
        <v>38250</v>
      </c>
      <c r="L452" s="812">
        <f t="shared" si="15"/>
        <v>76500</v>
      </c>
      <c r="M452" s="812">
        <v>76500</v>
      </c>
    </row>
    <row r="453" spans="1:13" ht="18" customHeight="1">
      <c r="A453" s="803"/>
      <c r="B453" s="804"/>
      <c r="C453" s="804"/>
      <c r="D453" s="804" t="s">
        <v>529</v>
      </c>
      <c r="E453" s="804"/>
      <c r="F453" s="805"/>
      <c r="G453" s="806" t="s">
        <v>586</v>
      </c>
      <c r="H453" s="810" t="s">
        <v>676</v>
      </c>
      <c r="I453" s="811">
        <f>66000</f>
        <v>66000</v>
      </c>
      <c r="J453" s="812">
        <v>66000</v>
      </c>
      <c r="K453" s="812">
        <f>78000-J453</f>
        <v>12000</v>
      </c>
      <c r="L453" s="812">
        <f t="shared" si="15"/>
        <v>78000</v>
      </c>
      <c r="M453" s="812">
        <v>78000</v>
      </c>
    </row>
    <row r="454" spans="1:13" ht="18" customHeight="1">
      <c r="A454" s="803"/>
      <c r="B454" s="804"/>
      <c r="C454" s="804"/>
      <c r="D454" s="804" t="s">
        <v>670</v>
      </c>
      <c r="E454" s="804"/>
      <c r="F454" s="805"/>
      <c r="G454" s="806" t="s">
        <v>588</v>
      </c>
      <c r="H454" s="810" t="s">
        <v>677</v>
      </c>
      <c r="I454" s="811">
        <f>55000</f>
        <v>55000</v>
      </c>
      <c r="J454" s="812">
        <v>0</v>
      </c>
      <c r="K454" s="812">
        <f>65000-J454</f>
        <v>65000</v>
      </c>
      <c r="L454" s="812">
        <f t="shared" si="15"/>
        <v>65000</v>
      </c>
      <c r="M454" s="812">
        <v>65000</v>
      </c>
    </row>
    <row r="455" spans="1:13" ht="18" customHeight="1">
      <c r="A455" s="803"/>
      <c r="B455" s="804"/>
      <c r="C455" s="804"/>
      <c r="D455" s="804" t="s">
        <v>531</v>
      </c>
      <c r="E455" s="804"/>
      <c r="F455" s="805"/>
      <c r="G455" s="806" t="s">
        <v>425</v>
      </c>
      <c r="H455" s="810" t="s">
        <v>678</v>
      </c>
      <c r="I455" s="811">
        <f>5000</f>
        <v>5000</v>
      </c>
      <c r="J455" s="812">
        <v>0</v>
      </c>
      <c r="K455" s="812">
        <f>5000-J455</f>
        <v>5000</v>
      </c>
      <c r="L455" s="812">
        <f t="shared" si="15"/>
        <v>5000</v>
      </c>
      <c r="M455" s="812">
        <v>15000</v>
      </c>
    </row>
    <row r="456" spans="1:13" ht="18" customHeight="1">
      <c r="A456" s="803"/>
      <c r="B456" s="804"/>
      <c r="C456" s="804"/>
      <c r="D456" s="804" t="s">
        <v>1580</v>
      </c>
      <c r="E456" s="804"/>
      <c r="F456" s="805"/>
      <c r="G456" s="806" t="s">
        <v>425</v>
      </c>
      <c r="H456" s="810" t="s">
        <v>678</v>
      </c>
      <c r="I456" s="811">
        <f>33000</f>
        <v>33000</v>
      </c>
      <c r="J456" s="812">
        <v>0</v>
      </c>
      <c r="K456" s="812">
        <f>0-J456</f>
        <v>0</v>
      </c>
      <c r="L456" s="812">
        <f t="shared" si="15"/>
        <v>0</v>
      </c>
      <c r="M456" s="812">
        <v>0</v>
      </c>
    </row>
    <row r="457" spans="1:13" ht="18" hidden="1" customHeight="1">
      <c r="A457" s="803"/>
      <c r="B457" s="804"/>
      <c r="C457" s="804"/>
      <c r="D457" s="804" t="s">
        <v>1492</v>
      </c>
      <c r="E457" s="804"/>
      <c r="F457" s="805"/>
      <c r="G457" s="806"/>
      <c r="H457" s="810" t="s">
        <v>678</v>
      </c>
      <c r="I457" s="811">
        <v>0</v>
      </c>
      <c r="J457" s="812">
        <v>0</v>
      </c>
      <c r="K457" s="812">
        <v>0</v>
      </c>
      <c r="L457" s="812">
        <f t="shared" si="15"/>
        <v>0</v>
      </c>
      <c r="M457" s="812">
        <v>0</v>
      </c>
    </row>
    <row r="458" spans="1:13" ht="18" customHeight="1">
      <c r="A458" s="803"/>
      <c r="B458" s="804"/>
      <c r="C458" s="804"/>
      <c r="D458" s="804" t="s">
        <v>360</v>
      </c>
      <c r="E458" s="804"/>
      <c r="F458" s="805"/>
      <c r="G458" s="806" t="s">
        <v>590</v>
      </c>
      <c r="H458" s="810" t="s">
        <v>695</v>
      </c>
      <c r="I458" s="811">
        <v>0</v>
      </c>
      <c r="J458" s="812">
        <v>89125.15</v>
      </c>
      <c r="K458" s="812">
        <f>100000-J458</f>
        <v>10874.850000000006</v>
      </c>
      <c r="L458" s="812">
        <f t="shared" si="15"/>
        <v>100000</v>
      </c>
      <c r="M458" s="812">
        <v>100000</v>
      </c>
    </row>
    <row r="459" spans="1:13" ht="18" customHeight="1">
      <c r="A459" s="803"/>
      <c r="B459" s="804"/>
      <c r="C459" s="804"/>
      <c r="D459" s="804" t="s">
        <v>533</v>
      </c>
      <c r="E459" s="804"/>
      <c r="F459" s="805"/>
      <c r="G459" s="806" t="s">
        <v>591</v>
      </c>
      <c r="H459" s="810" t="s">
        <v>679</v>
      </c>
      <c r="I459" s="811">
        <f>59500</f>
        <v>59500</v>
      </c>
      <c r="J459" s="812">
        <v>0</v>
      </c>
      <c r="K459" s="812">
        <f>65000-J459</f>
        <v>65000</v>
      </c>
      <c r="L459" s="812">
        <f t="shared" si="15"/>
        <v>65000</v>
      </c>
      <c r="M459" s="812">
        <v>65000</v>
      </c>
    </row>
    <row r="460" spans="1:13" ht="18" customHeight="1">
      <c r="A460" s="803"/>
      <c r="B460" s="804"/>
      <c r="C460" s="804"/>
      <c r="D460" s="804" t="s">
        <v>790</v>
      </c>
      <c r="E460" s="804"/>
      <c r="F460" s="804"/>
      <c r="G460" s="814" t="s">
        <v>425</v>
      </c>
      <c r="H460" s="810" t="s">
        <v>678</v>
      </c>
      <c r="I460" s="811">
        <f>242863</f>
        <v>242863</v>
      </c>
      <c r="J460" s="812">
        <v>232518</v>
      </c>
      <c r="K460" s="812">
        <f>275221-J460</f>
        <v>42703</v>
      </c>
      <c r="L460" s="812">
        <f t="shared" si="15"/>
        <v>275221</v>
      </c>
      <c r="M460" s="812">
        <v>284855</v>
      </c>
    </row>
    <row r="461" spans="1:13" ht="18" customHeight="1">
      <c r="A461" s="803"/>
      <c r="B461" s="804"/>
      <c r="C461" s="804"/>
      <c r="D461" s="804" t="s">
        <v>534</v>
      </c>
      <c r="E461" s="804"/>
      <c r="F461" s="805"/>
      <c r="G461" s="806" t="s">
        <v>592</v>
      </c>
      <c r="H461" s="810" t="s">
        <v>680</v>
      </c>
      <c r="I461" s="811">
        <f>241444</f>
        <v>241444</v>
      </c>
      <c r="J461" s="812">
        <v>0</v>
      </c>
      <c r="K461" s="812">
        <f>275325-J461</f>
        <v>275325</v>
      </c>
      <c r="L461" s="812">
        <f t="shared" si="15"/>
        <v>275325</v>
      </c>
      <c r="M461" s="812">
        <v>284855</v>
      </c>
    </row>
    <row r="462" spans="1:13" ht="18" customHeight="1">
      <c r="A462" s="803"/>
      <c r="B462" s="804"/>
      <c r="C462" s="804"/>
      <c r="D462" s="804" t="s">
        <v>646</v>
      </c>
      <c r="E462" s="804"/>
      <c r="F462" s="805"/>
      <c r="G462" s="806" t="s">
        <v>593</v>
      </c>
      <c r="H462" s="810" t="s">
        <v>681</v>
      </c>
      <c r="I462" s="811">
        <f>329776.32</f>
        <v>329776.32</v>
      </c>
      <c r="J462" s="812">
        <v>128480.4</v>
      </c>
      <c r="K462" s="812">
        <f>397150-J462</f>
        <v>268669.59999999998</v>
      </c>
      <c r="L462" s="812">
        <f t="shared" si="15"/>
        <v>397150</v>
      </c>
      <c r="M462" s="812">
        <v>410500</v>
      </c>
    </row>
    <row r="463" spans="1:13" ht="18" customHeight="1">
      <c r="A463" s="803"/>
      <c r="B463" s="804"/>
      <c r="C463" s="804"/>
      <c r="D463" s="804" t="s">
        <v>535</v>
      </c>
      <c r="E463" s="804"/>
      <c r="F463" s="805"/>
      <c r="G463" s="806" t="s">
        <v>594</v>
      </c>
      <c r="H463" s="810" t="s">
        <v>682</v>
      </c>
      <c r="I463" s="811">
        <f>13700</f>
        <v>13700</v>
      </c>
      <c r="J463" s="812">
        <v>5500</v>
      </c>
      <c r="K463" s="812">
        <f>23400-J463</f>
        <v>17900</v>
      </c>
      <c r="L463" s="812">
        <f t="shared" si="15"/>
        <v>23400</v>
      </c>
      <c r="M463" s="812">
        <v>23400</v>
      </c>
    </row>
    <row r="464" spans="1:13" ht="18" customHeight="1">
      <c r="A464" s="803"/>
      <c r="B464" s="804"/>
      <c r="C464" s="804"/>
      <c r="D464" s="804" t="s">
        <v>536</v>
      </c>
      <c r="E464" s="804"/>
      <c r="F464" s="805"/>
      <c r="G464" s="806" t="s">
        <v>595</v>
      </c>
      <c r="H464" s="810" t="s">
        <v>683</v>
      </c>
      <c r="I464" s="811">
        <f>38145</f>
        <v>38145</v>
      </c>
      <c r="J464" s="812">
        <v>15135</v>
      </c>
      <c r="K464" s="812">
        <f>67200-J464</f>
        <v>52065</v>
      </c>
      <c r="L464" s="812">
        <f t="shared" si="15"/>
        <v>67200</v>
      </c>
      <c r="M464" s="812">
        <v>77000</v>
      </c>
    </row>
    <row r="465" spans="1:13" ht="18" customHeight="1">
      <c r="A465" s="803"/>
      <c r="B465" s="804"/>
      <c r="C465" s="804"/>
      <c r="D465" s="804" t="s">
        <v>642</v>
      </c>
      <c r="E465" s="804"/>
      <c r="F465" s="805"/>
      <c r="G465" s="806" t="s">
        <v>596</v>
      </c>
      <c r="H465" s="810" t="s">
        <v>684</v>
      </c>
      <c r="I465" s="811">
        <f>13800</f>
        <v>13800</v>
      </c>
      <c r="J465" s="812">
        <v>5500</v>
      </c>
      <c r="K465" s="812">
        <f>15600-J465</f>
        <v>10100</v>
      </c>
      <c r="L465" s="812">
        <f t="shared" si="15"/>
        <v>15600</v>
      </c>
      <c r="M465" s="812">
        <v>15600</v>
      </c>
    </row>
    <row r="466" spans="1:13" ht="18" customHeight="1">
      <c r="A466" s="803"/>
      <c r="B466" s="804"/>
      <c r="C466" s="804"/>
      <c r="D466" s="804" t="s">
        <v>365</v>
      </c>
      <c r="E466" s="804"/>
      <c r="F466" s="805"/>
      <c r="G466" s="806" t="s">
        <v>597</v>
      </c>
      <c r="H466" s="810" t="s">
        <v>685</v>
      </c>
      <c r="I466" s="811">
        <f>280697.07+99</f>
        <v>280796.07</v>
      </c>
      <c r="J466" s="812">
        <v>0</v>
      </c>
      <c r="K466" s="812">
        <f>0-J466</f>
        <v>0</v>
      </c>
      <c r="L466" s="812">
        <f t="shared" si="15"/>
        <v>0</v>
      </c>
      <c r="M466" s="812">
        <v>0</v>
      </c>
    </row>
    <row r="467" spans="1:13" ht="18" customHeight="1">
      <c r="A467" s="803"/>
      <c r="B467" s="804"/>
      <c r="C467" s="804"/>
      <c r="D467" s="804" t="s">
        <v>538</v>
      </c>
      <c r="E467" s="804"/>
      <c r="F467" s="805"/>
      <c r="G467" s="806" t="s">
        <v>388</v>
      </c>
      <c r="H467" s="810" t="s">
        <v>696</v>
      </c>
      <c r="I467" s="811">
        <f>342244.41</f>
        <v>342244.41</v>
      </c>
      <c r="J467" s="812">
        <v>0</v>
      </c>
      <c r="K467" s="812">
        <f>0-J467</f>
        <v>0</v>
      </c>
      <c r="L467" s="812">
        <f t="shared" si="15"/>
        <v>0</v>
      </c>
      <c r="M467" s="812">
        <v>0</v>
      </c>
    </row>
    <row r="468" spans="1:13" ht="18" customHeight="1">
      <c r="A468" s="803"/>
      <c r="B468" s="804"/>
      <c r="C468" s="804"/>
      <c r="D468" s="804" t="s">
        <v>1493</v>
      </c>
      <c r="E468" s="804"/>
      <c r="F468" s="805"/>
      <c r="G468" s="806"/>
      <c r="H468" s="810" t="s">
        <v>696</v>
      </c>
      <c r="I468" s="811">
        <f>110000</f>
        <v>110000</v>
      </c>
      <c r="J468" s="812">
        <v>0</v>
      </c>
      <c r="K468" s="812">
        <f>0-J468</f>
        <v>0</v>
      </c>
      <c r="L468" s="812">
        <f t="shared" si="15"/>
        <v>0</v>
      </c>
      <c r="M468" s="812">
        <v>0</v>
      </c>
    </row>
    <row r="469" spans="1:13" ht="18" customHeight="1">
      <c r="A469" s="815"/>
      <c r="B469" s="816"/>
      <c r="C469" s="816"/>
      <c r="D469" s="816" t="s">
        <v>364</v>
      </c>
      <c r="E469" s="816"/>
      <c r="F469" s="817"/>
      <c r="G469" s="818"/>
      <c r="H469" s="847"/>
      <c r="I469" s="819">
        <f>SUM(I448:I468)</f>
        <v>5046878.3000000007</v>
      </c>
      <c r="J469" s="819">
        <f>SUM(J448:J468)</f>
        <v>2126139.06</v>
      </c>
      <c r="K469" s="819">
        <f>SUM(K448:K468)</f>
        <v>3009517.9400000004</v>
      </c>
      <c r="L469" s="819">
        <f>SUM(L448:L468)</f>
        <v>5135657</v>
      </c>
      <c r="M469" s="819">
        <f>SUM(M448:M468)</f>
        <v>5302373</v>
      </c>
    </row>
    <row r="470" spans="1:13" ht="18" customHeight="1">
      <c r="A470" s="803"/>
      <c r="B470" s="804" t="s">
        <v>539</v>
      </c>
      <c r="C470" s="804"/>
      <c r="D470" s="804"/>
      <c r="E470" s="804"/>
      <c r="F470" s="805"/>
      <c r="G470" s="806"/>
      <c r="H470" s="844"/>
      <c r="I470" s="811"/>
      <c r="J470" s="812"/>
      <c r="K470" s="812"/>
      <c r="L470" s="812"/>
      <c r="M470" s="812"/>
    </row>
    <row r="471" spans="1:13" ht="18" customHeight="1">
      <c r="A471" s="803"/>
      <c r="B471" s="804"/>
      <c r="C471" s="804"/>
      <c r="D471" s="804" t="s">
        <v>540</v>
      </c>
      <c r="E471" s="804"/>
      <c r="F471" s="805"/>
      <c r="G471" s="806" t="s">
        <v>376</v>
      </c>
      <c r="H471" s="810" t="s">
        <v>686</v>
      </c>
      <c r="I471" s="811">
        <f>6000</f>
        <v>6000</v>
      </c>
      <c r="J471" s="812">
        <v>55900</v>
      </c>
      <c r="K471" s="812">
        <f>130000-J471</f>
        <v>74100</v>
      </c>
      <c r="L471" s="812">
        <f t="shared" ref="L471:L480" si="16">SUM(K471+J471)</f>
        <v>130000</v>
      </c>
      <c r="M471" s="812">
        <v>130000</v>
      </c>
    </row>
    <row r="472" spans="1:13" ht="18" customHeight="1">
      <c r="A472" s="803"/>
      <c r="B472" s="804"/>
      <c r="C472" s="804"/>
      <c r="D472" s="804" t="s">
        <v>421</v>
      </c>
      <c r="E472" s="804"/>
      <c r="F472" s="805"/>
      <c r="G472" s="806" t="s">
        <v>377</v>
      </c>
      <c r="H472" s="810" t="s">
        <v>687</v>
      </c>
      <c r="I472" s="811">
        <f>4500+3586</f>
        <v>8086</v>
      </c>
      <c r="J472" s="812">
        <v>13500</v>
      </c>
      <c r="K472" s="812">
        <f>100000-J472</f>
        <v>86500</v>
      </c>
      <c r="L472" s="812">
        <f t="shared" si="16"/>
        <v>100000</v>
      </c>
      <c r="M472" s="812">
        <v>100000</v>
      </c>
    </row>
    <row r="473" spans="1:13" ht="18" customHeight="1">
      <c r="A473" s="803"/>
      <c r="B473" s="804"/>
      <c r="C473" s="804"/>
      <c r="D473" s="804" t="s">
        <v>371</v>
      </c>
      <c r="E473" s="804"/>
      <c r="F473" s="805"/>
      <c r="G473" s="806" t="s">
        <v>379</v>
      </c>
      <c r="H473" s="810" t="s">
        <v>688</v>
      </c>
      <c r="I473" s="811">
        <f>192904</f>
        <v>192904</v>
      </c>
      <c r="J473" s="812">
        <v>88120</v>
      </c>
      <c r="K473" s="812">
        <f>230000-J473</f>
        <v>141880</v>
      </c>
      <c r="L473" s="812">
        <f t="shared" si="16"/>
        <v>230000</v>
      </c>
      <c r="M473" s="812">
        <v>230000</v>
      </c>
    </row>
    <row r="474" spans="1:13" ht="18" customHeight="1">
      <c r="A474" s="803"/>
      <c r="B474" s="804"/>
      <c r="C474" s="804"/>
      <c r="D474" s="804" t="s">
        <v>541</v>
      </c>
      <c r="E474" s="804"/>
      <c r="F474" s="805"/>
      <c r="G474" s="806" t="s">
        <v>599</v>
      </c>
      <c r="H474" s="810" t="s">
        <v>697</v>
      </c>
      <c r="I474" s="811">
        <f>200000</f>
        <v>200000</v>
      </c>
      <c r="J474" s="812">
        <v>119985</v>
      </c>
      <c r="K474" s="812">
        <f>200000-J474</f>
        <v>80015</v>
      </c>
      <c r="L474" s="812">
        <f t="shared" si="16"/>
        <v>200000</v>
      </c>
      <c r="M474" s="812">
        <v>200000</v>
      </c>
    </row>
    <row r="475" spans="1:13" ht="18" customHeight="1">
      <c r="A475" s="803"/>
      <c r="B475" s="804"/>
      <c r="C475" s="804"/>
      <c r="D475" s="804" t="s">
        <v>544</v>
      </c>
      <c r="E475" s="804"/>
      <c r="F475" s="805"/>
      <c r="G475" s="806" t="s">
        <v>601</v>
      </c>
      <c r="H475" s="810" t="s">
        <v>689</v>
      </c>
      <c r="I475" s="811">
        <v>0</v>
      </c>
      <c r="J475" s="812">
        <v>0</v>
      </c>
      <c r="K475" s="812">
        <f>5000-J475</f>
        <v>5000</v>
      </c>
      <c r="L475" s="812">
        <f t="shared" si="16"/>
        <v>5000</v>
      </c>
      <c r="M475" s="812">
        <v>5000</v>
      </c>
    </row>
    <row r="476" spans="1:13" ht="18" customHeight="1">
      <c r="A476" s="803"/>
      <c r="B476" s="804"/>
      <c r="C476" s="804"/>
      <c r="D476" s="804" t="s">
        <v>546</v>
      </c>
      <c r="E476" s="804"/>
      <c r="F476" s="805"/>
      <c r="G476" s="806" t="s">
        <v>380</v>
      </c>
      <c r="H476" s="810" t="s">
        <v>690</v>
      </c>
      <c r="I476" s="811">
        <f>36000</f>
        <v>36000</v>
      </c>
      <c r="J476" s="812">
        <v>18000</v>
      </c>
      <c r="K476" s="812">
        <f>36000-J476</f>
        <v>18000</v>
      </c>
      <c r="L476" s="812">
        <f t="shared" si="16"/>
        <v>36000</v>
      </c>
      <c r="M476" s="812">
        <v>36000</v>
      </c>
    </row>
    <row r="477" spans="1:13" ht="18" customHeight="1">
      <c r="A477" s="803"/>
      <c r="B477" s="804"/>
      <c r="C477" s="804"/>
      <c r="D477" s="804" t="s">
        <v>902</v>
      </c>
      <c r="E477" s="804"/>
      <c r="F477" s="805"/>
      <c r="G477" s="806" t="s">
        <v>381</v>
      </c>
      <c r="H477" s="810" t="s">
        <v>691</v>
      </c>
      <c r="I477" s="811">
        <f>48857.19</f>
        <v>48857.19</v>
      </c>
      <c r="J477" s="812">
        <v>8475</v>
      </c>
      <c r="K477" s="812">
        <f>50000-J477</f>
        <v>41525</v>
      </c>
      <c r="L477" s="812">
        <f t="shared" si="16"/>
        <v>50000</v>
      </c>
      <c r="M477" s="812">
        <v>50000</v>
      </c>
    </row>
    <row r="478" spans="1:13" ht="18" customHeight="1">
      <c r="A478" s="803"/>
      <c r="B478" s="804"/>
      <c r="C478" s="804"/>
      <c r="D478" s="804" t="s">
        <v>551</v>
      </c>
      <c r="E478" s="804"/>
      <c r="F478" s="805"/>
      <c r="G478" s="806" t="s">
        <v>608</v>
      </c>
      <c r="H478" s="810" t="s">
        <v>705</v>
      </c>
      <c r="I478" s="811">
        <f>120000</f>
        <v>120000</v>
      </c>
      <c r="J478" s="812">
        <v>10125</v>
      </c>
      <c r="K478" s="812">
        <f>300000-J478</f>
        <v>289875</v>
      </c>
      <c r="L478" s="812">
        <f t="shared" si="16"/>
        <v>300000</v>
      </c>
      <c r="M478" s="812">
        <v>300000</v>
      </c>
    </row>
    <row r="479" spans="1:13" ht="18" customHeight="1">
      <c r="A479" s="803"/>
      <c r="B479" s="804"/>
      <c r="C479" s="804"/>
      <c r="D479" s="804" t="s">
        <v>552</v>
      </c>
      <c r="E479" s="804"/>
      <c r="F479" s="805"/>
      <c r="G479" s="806" t="s">
        <v>382</v>
      </c>
      <c r="H479" s="810" t="s">
        <v>692</v>
      </c>
      <c r="I479" s="811">
        <f>20500</f>
        <v>20500</v>
      </c>
      <c r="J479" s="812">
        <v>0</v>
      </c>
      <c r="K479" s="812">
        <f>25000-J479</f>
        <v>25000</v>
      </c>
      <c r="L479" s="812">
        <f t="shared" si="16"/>
        <v>25000</v>
      </c>
      <c r="M479" s="812">
        <v>25000</v>
      </c>
    </row>
    <row r="480" spans="1:13" ht="18" customHeight="1">
      <c r="A480" s="803"/>
      <c r="B480" s="804"/>
      <c r="C480" s="804"/>
      <c r="D480" s="804" t="s">
        <v>1681</v>
      </c>
      <c r="E480" s="804"/>
      <c r="F480" s="805"/>
      <c r="G480" s="806"/>
      <c r="H480" s="810" t="s">
        <v>692</v>
      </c>
      <c r="I480" s="811">
        <f>300000</f>
        <v>300000</v>
      </c>
      <c r="J480" s="812">
        <v>0</v>
      </c>
      <c r="K480" s="812">
        <v>0</v>
      </c>
      <c r="L480" s="812">
        <f t="shared" si="16"/>
        <v>0</v>
      </c>
      <c r="M480" s="812">
        <v>0</v>
      </c>
    </row>
    <row r="481" spans="1:14" ht="18" customHeight="1">
      <c r="A481" s="815"/>
      <c r="B481" s="816"/>
      <c r="C481" s="816"/>
      <c r="D481" s="816" t="s">
        <v>737</v>
      </c>
      <c r="E481" s="816"/>
      <c r="F481" s="817"/>
      <c r="G481" s="818"/>
      <c r="H481" s="847"/>
      <c r="I481" s="819">
        <f>SUM(I471:I480)</f>
        <v>932347.19</v>
      </c>
      <c r="J481" s="819">
        <f>SUM(J471:J480)</f>
        <v>314105</v>
      </c>
      <c r="K481" s="819">
        <f>SUM(K471:K480)</f>
        <v>761895</v>
      </c>
      <c r="L481" s="819">
        <f>SUM(L471:L480)</f>
        <v>1076000</v>
      </c>
      <c r="M481" s="819">
        <f>SUM(M471:M480)</f>
        <v>1076000</v>
      </c>
    </row>
    <row r="482" spans="1:14" ht="18" customHeight="1">
      <c r="A482" s="803"/>
      <c r="B482" s="804" t="s">
        <v>553</v>
      </c>
      <c r="C482" s="804"/>
      <c r="D482" s="804"/>
      <c r="E482" s="804"/>
      <c r="F482" s="805"/>
      <c r="G482" s="806"/>
      <c r="H482" s="844"/>
      <c r="I482" s="811"/>
      <c r="J482" s="812"/>
      <c r="K482" s="812"/>
      <c r="L482" s="812"/>
      <c r="M482" s="812"/>
    </row>
    <row r="483" spans="1:14" ht="18" customHeight="1">
      <c r="A483" s="803"/>
      <c r="B483" s="804"/>
      <c r="C483" s="804"/>
      <c r="D483" s="804" t="s">
        <v>671</v>
      </c>
      <c r="E483" s="804"/>
      <c r="F483" s="805"/>
      <c r="G483" s="806" t="s">
        <v>830</v>
      </c>
      <c r="H483" s="810" t="s">
        <v>831</v>
      </c>
      <c r="I483" s="811">
        <f>7500</f>
        <v>7500</v>
      </c>
      <c r="J483" s="812">
        <v>27500</v>
      </c>
      <c r="K483" s="812">
        <f>35000-J483</f>
        <v>7500</v>
      </c>
      <c r="L483" s="812">
        <f>SUM(K483+J483)</f>
        <v>35000</v>
      </c>
      <c r="M483" s="812">
        <v>0</v>
      </c>
    </row>
    <row r="484" spans="1:14" ht="18" customHeight="1">
      <c r="A484" s="803"/>
      <c r="B484" s="804"/>
      <c r="C484" s="804"/>
      <c r="D484" s="804" t="s">
        <v>829</v>
      </c>
      <c r="E484" s="804"/>
      <c r="F484" s="805"/>
      <c r="G484" s="806" t="s">
        <v>832</v>
      </c>
      <c r="H484" s="810" t="s">
        <v>1527</v>
      </c>
      <c r="I484" s="811">
        <f>147300</f>
        <v>147300</v>
      </c>
      <c r="J484" s="812">
        <v>358895</v>
      </c>
      <c r="K484" s="812">
        <f>385000-J484</f>
        <v>26105</v>
      </c>
      <c r="L484" s="812">
        <f t="shared" ref="L484:L485" si="17">SUM(K484+J484)</f>
        <v>385000</v>
      </c>
      <c r="M484" s="812">
        <v>0</v>
      </c>
    </row>
    <row r="485" spans="1:14" ht="18" hidden="1" customHeight="1">
      <c r="A485" s="803"/>
      <c r="B485" s="804"/>
      <c r="C485" s="804"/>
      <c r="D485" s="804" t="s">
        <v>839</v>
      </c>
      <c r="E485" s="804"/>
      <c r="F485" s="805"/>
      <c r="G485" s="806"/>
      <c r="H485" s="810" t="s">
        <v>840</v>
      </c>
      <c r="I485" s="811">
        <v>0</v>
      </c>
      <c r="J485" s="812">
        <v>0</v>
      </c>
      <c r="K485" s="812">
        <f>0-J485</f>
        <v>0</v>
      </c>
      <c r="L485" s="812">
        <f t="shared" si="17"/>
        <v>0</v>
      </c>
      <c r="M485" s="812">
        <v>0</v>
      </c>
    </row>
    <row r="486" spans="1:14" ht="18" customHeight="1">
      <c r="A486" s="803"/>
      <c r="B486" s="804"/>
      <c r="C486" s="804"/>
      <c r="D486" s="804" t="s">
        <v>833</v>
      </c>
      <c r="E486" s="804"/>
      <c r="F486" s="805"/>
      <c r="G486" s="806" t="s">
        <v>834</v>
      </c>
      <c r="H486" s="810" t="s">
        <v>835</v>
      </c>
      <c r="I486" s="811">
        <v>0</v>
      </c>
      <c r="J486" s="812">
        <v>0</v>
      </c>
      <c r="K486" s="812">
        <f>10000-J486</f>
        <v>10000</v>
      </c>
      <c r="L486" s="812">
        <f>SUM(K486+J486)</f>
        <v>10000</v>
      </c>
      <c r="M486" s="812">
        <v>0</v>
      </c>
    </row>
    <row r="487" spans="1:14" ht="18" customHeight="1">
      <c r="A487" s="815"/>
      <c r="B487" s="816"/>
      <c r="C487" s="816"/>
      <c r="D487" s="816" t="s">
        <v>782</v>
      </c>
      <c r="E487" s="816"/>
      <c r="F487" s="817"/>
      <c r="G487" s="818"/>
      <c r="H487" s="847"/>
      <c r="I487" s="819">
        <f>SUM(I483:I486)</f>
        <v>154800</v>
      </c>
      <c r="J487" s="822">
        <f>SUM(J483:J486)</f>
        <v>386395</v>
      </c>
      <c r="K487" s="822">
        <f>SUM(K483:K486)</f>
        <v>43605</v>
      </c>
      <c r="L487" s="822">
        <f>SUM(L483:L486)</f>
        <v>430000</v>
      </c>
      <c r="M487" s="822">
        <f>SUM(M483:M486)</f>
        <v>0</v>
      </c>
    </row>
    <row r="488" spans="1:14" ht="18" customHeight="1">
      <c r="A488" s="815"/>
      <c r="B488" s="816"/>
      <c r="C488" s="816"/>
      <c r="D488" s="816"/>
      <c r="E488" s="816"/>
      <c r="F488" s="817"/>
      <c r="G488" s="818"/>
      <c r="H488" s="847"/>
      <c r="I488" s="819"/>
      <c r="J488" s="822"/>
      <c r="K488" s="822"/>
      <c r="L488" s="822"/>
      <c r="M488" s="822"/>
    </row>
    <row r="489" spans="1:14" ht="18" customHeight="1">
      <c r="A489" s="823" t="s">
        <v>613</v>
      </c>
      <c r="B489" s="824"/>
      <c r="C489" s="824"/>
      <c r="D489" s="824"/>
      <c r="E489" s="824"/>
      <c r="F489" s="825"/>
      <c r="G489" s="826"/>
      <c r="H489" s="848"/>
      <c r="I489" s="828">
        <f>SUM(I487+I481+I469)</f>
        <v>6134025.4900000002</v>
      </c>
      <c r="J489" s="828">
        <f>SUM(J487+J481+J469)</f>
        <v>2826639.06</v>
      </c>
      <c r="K489" s="828">
        <f>SUM(K487+K481+K469)</f>
        <v>3815017.9400000004</v>
      </c>
      <c r="L489" s="828">
        <f>SUM(L487+L481+L469)</f>
        <v>6641657</v>
      </c>
      <c r="M489" s="828">
        <f>SUM(M487+M481+M469)</f>
        <v>6378373</v>
      </c>
    </row>
    <row r="490" spans="1:14" ht="18" customHeight="1">
      <c r="A490" s="791"/>
      <c r="B490" s="829"/>
      <c r="C490" s="791"/>
      <c r="D490" s="791"/>
      <c r="E490" s="791"/>
      <c r="F490" s="791"/>
      <c r="G490" s="791"/>
      <c r="H490" s="830"/>
      <c r="I490" s="967"/>
      <c r="J490" s="831"/>
      <c r="K490" s="831"/>
      <c r="L490" s="831"/>
      <c r="M490" s="831"/>
    </row>
    <row r="491" spans="1:14" s="1323" customFormat="1" ht="18" customHeight="1">
      <c r="A491" s="1484" t="s">
        <v>1796</v>
      </c>
      <c r="B491" s="1484"/>
      <c r="C491" s="1484"/>
      <c r="D491" s="1484"/>
      <c r="E491" s="1484"/>
      <c r="F491" s="1484"/>
      <c r="G491" s="1484"/>
      <c r="H491" s="1484"/>
      <c r="I491" s="1484"/>
      <c r="J491" s="1484"/>
      <c r="K491" s="1484"/>
      <c r="L491" s="1484"/>
      <c r="M491" s="1484"/>
    </row>
    <row r="492" spans="1:14" s="1323" customFormat="1" ht="18" customHeight="1">
      <c r="A492" s="1324"/>
      <c r="B492" s="1325"/>
      <c r="C492" s="1324"/>
      <c r="D492" s="1324"/>
      <c r="E492" s="1324"/>
      <c r="F492" s="1324"/>
      <c r="G492" s="1327"/>
      <c r="H492" s="1328"/>
      <c r="I492" s="1328"/>
      <c r="K492" s="1044"/>
      <c r="L492" s="1044"/>
      <c r="M492" s="831"/>
    </row>
    <row r="493" spans="1:14" s="1336" customFormat="1" ht="20.100000000000001" customHeight="1">
      <c r="A493" s="1485" t="s">
        <v>1574</v>
      </c>
      <c r="B493" s="1485"/>
      <c r="C493" s="1485"/>
      <c r="D493" s="1485"/>
      <c r="E493" s="1485"/>
      <c r="F493" s="1485"/>
      <c r="G493" s="1485"/>
      <c r="H493" s="1485"/>
      <c r="I493" s="1485"/>
      <c r="J493" s="1485"/>
      <c r="K493" s="1485"/>
      <c r="L493" s="1485"/>
      <c r="M493" s="1485"/>
    </row>
    <row r="494" spans="1:14" s="778" customFormat="1" ht="18" customHeight="1">
      <c r="A494" s="777"/>
      <c r="B494" s="776"/>
      <c r="C494" s="777"/>
      <c r="D494" s="777"/>
      <c r="E494" s="777"/>
      <c r="F494" s="830"/>
      <c r="G494" s="838"/>
      <c r="H494" s="838"/>
      <c r="I494" s="1494"/>
      <c r="J494" s="1494"/>
      <c r="K494" s="839"/>
      <c r="L494" s="1495"/>
      <c r="M494" s="1495"/>
    </row>
    <row r="495" spans="1:14" s="1253" customFormat="1" ht="15" customHeight="1">
      <c r="A495" s="1467" t="s">
        <v>861</v>
      </c>
      <c r="B495" s="1467"/>
      <c r="C495" s="1467"/>
      <c r="D495" s="1467"/>
      <c r="E495" s="1467"/>
      <c r="F495" s="1467"/>
      <c r="G495" s="1467"/>
      <c r="H495" s="1467"/>
      <c r="I495" s="1467"/>
      <c r="J495" s="1467"/>
      <c r="K495" s="1467"/>
      <c r="L495" s="1467"/>
      <c r="M495" s="1467"/>
      <c r="N495" s="1319"/>
    </row>
    <row r="496" spans="1:14" s="1253" customFormat="1" ht="15" customHeight="1">
      <c r="A496" s="1467" t="s">
        <v>174</v>
      </c>
      <c r="B496" s="1467"/>
      <c r="C496" s="1467"/>
      <c r="D496" s="1467"/>
      <c r="E496" s="1467"/>
      <c r="F496" s="1467"/>
      <c r="G496" s="1467"/>
      <c r="H496" s="1467"/>
      <c r="I496" s="1467"/>
      <c r="J496" s="1467"/>
      <c r="K496" s="1467"/>
      <c r="L496" s="1467"/>
      <c r="M496" s="1467"/>
      <c r="N496" s="1319"/>
    </row>
    <row r="497" spans="1:14" s="1253" customFormat="1" ht="15" customHeight="1">
      <c r="A497" s="1467" t="s">
        <v>1780</v>
      </c>
      <c r="B497" s="1467"/>
      <c r="C497" s="1467"/>
      <c r="D497" s="1467"/>
      <c r="E497" s="1467"/>
      <c r="F497" s="1467"/>
      <c r="G497" s="1467"/>
      <c r="H497" s="1467"/>
      <c r="I497" s="1467"/>
      <c r="J497" s="1467"/>
      <c r="K497" s="1467"/>
      <c r="L497" s="1467"/>
      <c r="M497" s="1467"/>
      <c r="N497" s="1319"/>
    </row>
    <row r="498" spans="1:14" s="1253" customFormat="1" ht="15" customHeight="1">
      <c r="A498" s="1467"/>
      <c r="B498" s="1467"/>
      <c r="C498" s="1467"/>
      <c r="D498" s="1467"/>
      <c r="E498" s="1467"/>
      <c r="F498" s="1467"/>
      <c r="G498" s="1467"/>
      <c r="H498" s="1467"/>
      <c r="I498" s="1467"/>
      <c r="J498" s="1467"/>
      <c r="K498" s="1467"/>
      <c r="L498" s="1467"/>
      <c r="M498" s="1467"/>
      <c r="N498" s="1319"/>
    </row>
    <row r="499" spans="1:14" s="1253" customFormat="1" ht="15" customHeight="1">
      <c r="A499" s="1254"/>
      <c r="B499" s="1254"/>
      <c r="C499" s="1254"/>
      <c r="D499" s="1254"/>
      <c r="E499" s="1254"/>
      <c r="F499" s="1254"/>
      <c r="G499" s="1254"/>
      <c r="H499" s="1254"/>
      <c r="I499" s="1254"/>
      <c r="J499" s="1254"/>
      <c r="K499" s="1254"/>
      <c r="L499" s="1254"/>
      <c r="M499" s="1254"/>
      <c r="N499" s="1319"/>
    </row>
    <row r="500" spans="1:14" s="1253" customFormat="1" ht="15" customHeight="1">
      <c r="A500" s="1254"/>
      <c r="B500" s="1254"/>
      <c r="C500" s="1254"/>
      <c r="D500" s="1254"/>
      <c r="E500" s="1254"/>
      <c r="F500" s="1254"/>
      <c r="G500" s="1254"/>
      <c r="H500" s="1254"/>
      <c r="I500" s="1254"/>
      <c r="J500" s="1254"/>
      <c r="K500" s="1254"/>
      <c r="L500" s="1254"/>
      <c r="M500" s="1254"/>
      <c r="N500" s="1319"/>
    </row>
    <row r="501" spans="1:14" s="1253" customFormat="1" ht="15" customHeight="1">
      <c r="A501" s="1254"/>
      <c r="B501" s="1254"/>
      <c r="C501" s="1254"/>
      <c r="D501" s="1254"/>
      <c r="E501" s="1254"/>
      <c r="F501" s="1254"/>
      <c r="G501" s="1254"/>
      <c r="H501" s="1254"/>
      <c r="I501" s="1254"/>
      <c r="J501" s="1254"/>
      <c r="K501" s="1254"/>
      <c r="L501" s="1254"/>
      <c r="M501" s="1254"/>
      <c r="N501" s="1319"/>
    </row>
    <row r="502" spans="1:14" s="1253" customFormat="1" ht="18" customHeight="1">
      <c r="A502" s="1468" t="s">
        <v>1781</v>
      </c>
      <c r="B502" s="1468"/>
      <c r="C502" s="1468"/>
      <c r="D502" s="1468"/>
      <c r="E502" s="1468"/>
      <c r="F502" s="1468"/>
      <c r="G502" s="1468"/>
      <c r="H502" s="1468"/>
      <c r="I502" s="1468"/>
      <c r="J502" s="1468"/>
      <c r="K502" s="1468"/>
      <c r="L502" s="1468"/>
      <c r="M502" s="1468"/>
      <c r="N502" s="1320"/>
    </row>
    <row r="503" spans="1:14" s="1253" customFormat="1">
      <c r="A503" s="1469" t="s">
        <v>1817</v>
      </c>
      <c r="B503" s="1469"/>
      <c r="C503" s="1469"/>
      <c r="D503" s="1469"/>
      <c r="E503" s="1469"/>
      <c r="F503" s="1469"/>
      <c r="G503" s="1469"/>
      <c r="H503" s="1469"/>
      <c r="I503" s="1469"/>
      <c r="J503" s="1469"/>
      <c r="K503" s="1469"/>
      <c r="L503" s="1469"/>
      <c r="M503" s="1469"/>
      <c r="N503" s="1321"/>
    </row>
    <row r="504" spans="1:14" s="1253" customFormat="1" ht="15.75">
      <c r="A504" s="1253" t="s">
        <v>1837</v>
      </c>
      <c r="G504" s="1254"/>
      <c r="I504" s="1255"/>
      <c r="L504" s="1256"/>
      <c r="M504" s="1256"/>
    </row>
    <row r="505" spans="1:14" s="1253" customFormat="1" ht="15.75">
      <c r="A505" s="1253" t="s">
        <v>1811</v>
      </c>
      <c r="G505" s="1254"/>
      <c r="I505" s="1255"/>
      <c r="L505" s="1256"/>
      <c r="M505" s="1256"/>
    </row>
    <row r="506" spans="1:14" s="1253" customFormat="1" ht="8.1" customHeight="1">
      <c r="A506" s="1257" t="s">
        <v>1812</v>
      </c>
      <c r="G506" s="1254"/>
      <c r="I506" s="1255"/>
      <c r="L506" s="1256"/>
      <c r="M506" s="1256"/>
    </row>
    <row r="507" spans="1:14" s="1394" customFormat="1" ht="30.75" customHeight="1">
      <c r="A507" s="1394" t="s">
        <v>1838</v>
      </c>
      <c r="C507" s="1486" t="s">
        <v>1839</v>
      </c>
      <c r="D507" s="1486"/>
      <c r="E507" s="1486"/>
      <c r="F507" s="1486"/>
      <c r="G507" s="1486"/>
      <c r="H507" s="1486"/>
      <c r="I507" s="1486"/>
      <c r="J507" s="1486"/>
      <c r="K507" s="1486"/>
      <c r="L507" s="1486"/>
      <c r="M507" s="1486"/>
      <c r="N507" s="1396"/>
    </row>
    <row r="508" spans="1:14" ht="18" customHeight="1" thickBot="1">
      <c r="A508" s="1487"/>
      <c r="B508" s="1487"/>
      <c r="C508" s="1487"/>
      <c r="D508" s="1487"/>
      <c r="E508" s="1487"/>
      <c r="F508" s="1487"/>
      <c r="G508" s="1487"/>
      <c r="H508" s="1487"/>
      <c r="I508" s="1487"/>
      <c r="J508" s="1487"/>
      <c r="K508" s="1487"/>
      <c r="L508" s="1487"/>
      <c r="M508" s="1487"/>
    </row>
    <row r="509" spans="1:14" ht="18" customHeight="1">
      <c r="A509" s="780"/>
      <c r="B509" s="781"/>
      <c r="C509" s="781"/>
      <c r="D509" s="781"/>
      <c r="E509" s="781"/>
      <c r="F509" s="782"/>
      <c r="G509" s="783"/>
      <c r="H509" s="784"/>
      <c r="I509" s="784" t="s">
        <v>6</v>
      </c>
      <c r="J509" s="1488" t="s">
        <v>1914</v>
      </c>
      <c r="K509" s="1489"/>
      <c r="L509" s="1490"/>
      <c r="M509" s="785" t="s">
        <v>7</v>
      </c>
    </row>
    <row r="510" spans="1:14" ht="18" customHeight="1">
      <c r="A510" s="1491"/>
      <c r="B510" s="1492"/>
      <c r="C510" s="1492"/>
      <c r="D510" s="1492"/>
      <c r="E510" s="1492"/>
      <c r="F510" s="1493"/>
      <c r="G510" s="1371"/>
      <c r="H510" s="786"/>
      <c r="I510" s="786">
        <v>2021</v>
      </c>
      <c r="J510" s="786" t="s">
        <v>560</v>
      </c>
      <c r="K510" s="786" t="s">
        <v>561</v>
      </c>
      <c r="L510" s="786">
        <v>2022</v>
      </c>
      <c r="M510" s="787">
        <v>2023</v>
      </c>
    </row>
    <row r="511" spans="1:14" ht="18" customHeight="1">
      <c r="A511" s="1491" t="s">
        <v>21</v>
      </c>
      <c r="B511" s="1492"/>
      <c r="C511" s="1492"/>
      <c r="D511" s="1492"/>
      <c r="E511" s="1492"/>
      <c r="F511" s="1493"/>
      <c r="G511" s="788"/>
      <c r="H511" s="789" t="s">
        <v>612</v>
      </c>
      <c r="I511" s="786" t="s">
        <v>909</v>
      </c>
      <c r="J511" s="786" t="s">
        <v>559</v>
      </c>
      <c r="K511" s="786" t="s">
        <v>562</v>
      </c>
      <c r="L511" s="786" t="s">
        <v>909</v>
      </c>
      <c r="M511" s="787" t="s">
        <v>909</v>
      </c>
    </row>
    <row r="512" spans="1:14" ht="18" customHeight="1">
      <c r="A512" s="790"/>
      <c r="B512" s="791"/>
      <c r="C512" s="791"/>
      <c r="D512" s="791"/>
      <c r="E512" s="791"/>
      <c r="F512" s="792"/>
      <c r="G512" s="788"/>
      <c r="H512" s="786"/>
      <c r="I512" s="786" t="s">
        <v>559</v>
      </c>
      <c r="J512" s="786">
        <v>2022</v>
      </c>
      <c r="K512" s="786">
        <v>2022</v>
      </c>
      <c r="L512" s="786" t="s">
        <v>910</v>
      </c>
      <c r="M512" s="787" t="s">
        <v>564</v>
      </c>
    </row>
    <row r="513" spans="1:13" ht="18" customHeight="1" thickBot="1">
      <c r="A513" s="1497"/>
      <c r="B513" s="1498"/>
      <c r="C513" s="1498"/>
      <c r="D513" s="1498"/>
      <c r="E513" s="1498"/>
      <c r="F513" s="1499"/>
      <c r="G513" s="1372"/>
      <c r="H513" s="793"/>
      <c r="I513" s="1393"/>
      <c r="J513" s="793"/>
      <c r="K513" s="793"/>
      <c r="L513" s="793"/>
      <c r="M513" s="794"/>
    </row>
    <row r="514" spans="1:13" ht="18" customHeight="1">
      <c r="A514" s="795"/>
      <c r="B514" s="796" t="s">
        <v>359</v>
      </c>
      <c r="C514" s="797"/>
      <c r="D514" s="796"/>
      <c r="E514" s="796"/>
      <c r="F514" s="798"/>
      <c r="G514" s="799"/>
      <c r="H514" s="841"/>
      <c r="I514" s="842"/>
      <c r="J514" s="843"/>
      <c r="K514" s="843"/>
      <c r="L514" s="843"/>
      <c r="M514" s="843"/>
    </row>
    <row r="515" spans="1:13" ht="18" customHeight="1">
      <c r="A515" s="803"/>
      <c r="B515" s="804"/>
      <c r="C515" s="804" t="s">
        <v>515</v>
      </c>
      <c r="D515" s="804"/>
      <c r="E515" s="804"/>
      <c r="F515" s="805"/>
      <c r="G515" s="806"/>
      <c r="H515" s="844"/>
      <c r="I515" s="845"/>
      <c r="J515" s="846"/>
      <c r="K515" s="846"/>
      <c r="L515" s="846"/>
      <c r="M515" s="846"/>
    </row>
    <row r="516" spans="1:13" ht="18" customHeight="1">
      <c r="A516" s="803"/>
      <c r="B516" s="804"/>
      <c r="C516" s="804"/>
      <c r="D516" s="804" t="s">
        <v>516</v>
      </c>
      <c r="E516" s="804"/>
      <c r="F516" s="805"/>
      <c r="G516" s="806" t="s">
        <v>582</v>
      </c>
      <c r="H516" s="810" t="s">
        <v>672</v>
      </c>
      <c r="I516" s="811">
        <v>1814037</v>
      </c>
      <c r="J516" s="812">
        <v>942978</v>
      </c>
      <c r="K516" s="812">
        <f>1886924-J516</f>
        <v>943946</v>
      </c>
      <c r="L516" s="812">
        <f>SUM(K516+J516)</f>
        <v>1886924</v>
      </c>
      <c r="M516" s="812">
        <v>1952421</v>
      </c>
    </row>
    <row r="517" spans="1:13" ht="18" customHeight="1">
      <c r="A517" s="803"/>
      <c r="B517" s="804"/>
      <c r="C517" s="804" t="s">
        <v>517</v>
      </c>
      <c r="D517" s="804"/>
      <c r="E517" s="804"/>
      <c r="F517" s="805"/>
      <c r="G517" s="806"/>
      <c r="H517" s="844"/>
      <c r="I517" s="811"/>
      <c r="J517" s="812"/>
      <c r="K517" s="812"/>
      <c r="L517" s="812"/>
      <c r="M517" s="812"/>
    </row>
    <row r="518" spans="1:13" ht="18" customHeight="1">
      <c r="A518" s="803"/>
      <c r="B518" s="804"/>
      <c r="C518" s="804"/>
      <c r="D518" s="804" t="s">
        <v>518</v>
      </c>
      <c r="E518" s="804"/>
      <c r="F518" s="805"/>
      <c r="G518" s="806" t="s">
        <v>583</v>
      </c>
      <c r="H518" s="810" t="s">
        <v>673</v>
      </c>
      <c r="I518" s="811">
        <f>144000</f>
        <v>144000</v>
      </c>
      <c r="J518" s="812">
        <v>72000</v>
      </c>
      <c r="K518" s="812">
        <f>144000-J518</f>
        <v>72000</v>
      </c>
      <c r="L518" s="812">
        <f t="shared" ref="L518:L534" si="18">SUM(K518+J518)</f>
        <v>144000</v>
      </c>
      <c r="M518" s="812">
        <v>144000</v>
      </c>
    </row>
    <row r="519" spans="1:13" ht="18" customHeight="1">
      <c r="A519" s="803"/>
      <c r="B519" s="804"/>
      <c r="C519" s="804"/>
      <c r="D519" s="804" t="s">
        <v>528</v>
      </c>
      <c r="E519" s="804"/>
      <c r="F519" s="805"/>
      <c r="G519" s="806" t="s">
        <v>584</v>
      </c>
      <c r="H519" s="810" t="s">
        <v>674</v>
      </c>
      <c r="I519" s="811">
        <v>76500</v>
      </c>
      <c r="J519" s="812">
        <v>38250</v>
      </c>
      <c r="K519" s="812">
        <f>76500-J519</f>
        <v>38250</v>
      </c>
      <c r="L519" s="812">
        <f t="shared" si="18"/>
        <v>76500</v>
      </c>
      <c r="M519" s="812">
        <v>76500</v>
      </c>
    </row>
    <row r="520" spans="1:13" ht="18" customHeight="1">
      <c r="A520" s="803"/>
      <c r="B520" s="804"/>
      <c r="C520" s="804"/>
      <c r="D520" s="804" t="s">
        <v>527</v>
      </c>
      <c r="E520" s="804"/>
      <c r="F520" s="805"/>
      <c r="G520" s="806" t="s">
        <v>585</v>
      </c>
      <c r="H520" s="810" t="s">
        <v>675</v>
      </c>
      <c r="I520" s="811">
        <v>76500</v>
      </c>
      <c r="J520" s="812">
        <v>38250</v>
      </c>
      <c r="K520" s="812">
        <f>76500-J520</f>
        <v>38250</v>
      </c>
      <c r="L520" s="812">
        <f t="shared" si="18"/>
        <v>76500</v>
      </c>
      <c r="M520" s="812">
        <v>76500</v>
      </c>
    </row>
    <row r="521" spans="1:13" ht="18" customHeight="1">
      <c r="A521" s="803"/>
      <c r="B521" s="804"/>
      <c r="C521" s="804"/>
      <c r="D521" s="804" t="s">
        <v>529</v>
      </c>
      <c r="E521" s="804"/>
      <c r="F521" s="805"/>
      <c r="G521" s="806" t="s">
        <v>586</v>
      </c>
      <c r="H521" s="810" t="s">
        <v>676</v>
      </c>
      <c r="I521" s="811">
        <f>36000</f>
        <v>36000</v>
      </c>
      <c r="J521" s="812">
        <v>36000</v>
      </c>
      <c r="K521" s="812">
        <f>36000-J521</f>
        <v>0</v>
      </c>
      <c r="L521" s="812">
        <f t="shared" si="18"/>
        <v>36000</v>
      </c>
      <c r="M521" s="812">
        <v>36000</v>
      </c>
    </row>
    <row r="522" spans="1:13" ht="18" customHeight="1">
      <c r="A522" s="803"/>
      <c r="B522" s="804"/>
      <c r="C522" s="804"/>
      <c r="D522" s="804" t="s">
        <v>670</v>
      </c>
      <c r="E522" s="804"/>
      <c r="F522" s="805"/>
      <c r="G522" s="806" t="s">
        <v>588</v>
      </c>
      <c r="H522" s="810" t="s">
        <v>677</v>
      </c>
      <c r="I522" s="811">
        <v>30000</v>
      </c>
      <c r="J522" s="812">
        <v>0</v>
      </c>
      <c r="K522" s="812">
        <f>30000-J522</f>
        <v>30000</v>
      </c>
      <c r="L522" s="812">
        <f t="shared" si="18"/>
        <v>30000</v>
      </c>
      <c r="M522" s="812">
        <v>30000</v>
      </c>
    </row>
    <row r="523" spans="1:13" ht="18" customHeight="1">
      <c r="A523" s="803"/>
      <c r="B523" s="804"/>
      <c r="C523" s="804"/>
      <c r="D523" s="804" t="s">
        <v>531</v>
      </c>
      <c r="E523" s="804"/>
      <c r="F523" s="805"/>
      <c r="G523" s="806" t="s">
        <v>425</v>
      </c>
      <c r="H523" s="810" t="s">
        <v>678</v>
      </c>
      <c r="I523" s="811">
        <v>0</v>
      </c>
      <c r="J523" s="812">
        <v>5000</v>
      </c>
      <c r="K523" s="812">
        <f>5000-J523</f>
        <v>0</v>
      </c>
      <c r="L523" s="812">
        <f t="shared" si="18"/>
        <v>5000</v>
      </c>
      <c r="M523" s="812">
        <v>0</v>
      </c>
    </row>
    <row r="524" spans="1:13" ht="18" customHeight="1">
      <c r="A524" s="803"/>
      <c r="B524" s="804"/>
      <c r="C524" s="804"/>
      <c r="D524" s="804" t="s">
        <v>1580</v>
      </c>
      <c r="E524" s="804"/>
      <c r="F524" s="805"/>
      <c r="G524" s="806" t="s">
        <v>425</v>
      </c>
      <c r="H524" s="810" t="s">
        <v>678</v>
      </c>
      <c r="I524" s="811">
        <f>15000</f>
        <v>15000</v>
      </c>
      <c r="J524" s="812">
        <v>0</v>
      </c>
      <c r="K524" s="812">
        <f>0-J524</f>
        <v>0</v>
      </c>
      <c r="L524" s="812">
        <f t="shared" si="18"/>
        <v>0</v>
      </c>
      <c r="M524" s="812">
        <v>0</v>
      </c>
    </row>
    <row r="525" spans="1:13" ht="18" hidden="1" customHeight="1">
      <c r="A525" s="803"/>
      <c r="B525" s="804"/>
      <c r="C525" s="804"/>
      <c r="D525" s="804" t="s">
        <v>1492</v>
      </c>
      <c r="E525" s="804"/>
      <c r="F525" s="805"/>
      <c r="G525" s="806"/>
      <c r="H525" s="810" t="s">
        <v>678</v>
      </c>
      <c r="I525" s="811">
        <v>0</v>
      </c>
      <c r="J525" s="812">
        <v>0</v>
      </c>
      <c r="K525" s="812">
        <v>0</v>
      </c>
      <c r="L525" s="812">
        <f t="shared" si="18"/>
        <v>0</v>
      </c>
      <c r="M525" s="812">
        <v>0</v>
      </c>
    </row>
    <row r="526" spans="1:13" ht="18" customHeight="1">
      <c r="A526" s="803"/>
      <c r="B526" s="804"/>
      <c r="C526" s="804"/>
      <c r="D526" s="804" t="s">
        <v>533</v>
      </c>
      <c r="E526" s="804"/>
      <c r="F526" s="805"/>
      <c r="G526" s="806" t="s">
        <v>591</v>
      </c>
      <c r="H526" s="810" t="s">
        <v>679</v>
      </c>
      <c r="I526" s="811">
        <f>30000</f>
        <v>30000</v>
      </c>
      <c r="J526" s="812">
        <v>0</v>
      </c>
      <c r="K526" s="812">
        <f>30000-J526</f>
        <v>30000</v>
      </c>
      <c r="L526" s="812">
        <f t="shared" si="18"/>
        <v>30000</v>
      </c>
      <c r="M526" s="812">
        <v>30000</v>
      </c>
    </row>
    <row r="527" spans="1:13" ht="18" customHeight="1">
      <c r="A527" s="803"/>
      <c r="B527" s="804"/>
      <c r="C527" s="804"/>
      <c r="D527" s="804" t="s">
        <v>790</v>
      </c>
      <c r="E527" s="804"/>
      <c r="F527" s="804"/>
      <c r="G527" s="814" t="s">
        <v>425</v>
      </c>
      <c r="H527" s="810" t="s">
        <v>678</v>
      </c>
      <c r="I527" s="811">
        <f>150854</f>
        <v>150854</v>
      </c>
      <c r="J527" s="812">
        <v>157163</v>
      </c>
      <c r="K527" s="812">
        <f>157163-J527</f>
        <v>0</v>
      </c>
      <c r="L527" s="812">
        <f t="shared" si="18"/>
        <v>157163</v>
      </c>
      <c r="M527" s="812">
        <v>162669</v>
      </c>
    </row>
    <row r="528" spans="1:13" ht="18" customHeight="1">
      <c r="A528" s="803"/>
      <c r="B528" s="804"/>
      <c r="C528" s="804"/>
      <c r="D528" s="804" t="s">
        <v>534</v>
      </c>
      <c r="E528" s="804"/>
      <c r="F528" s="805"/>
      <c r="G528" s="806" t="s">
        <v>592</v>
      </c>
      <c r="H528" s="810" t="s">
        <v>680</v>
      </c>
      <c r="I528" s="811">
        <f>152117</f>
        <v>152117</v>
      </c>
      <c r="J528" s="812">
        <v>0</v>
      </c>
      <c r="K528" s="812">
        <f>157405-J528</f>
        <v>157405</v>
      </c>
      <c r="L528" s="812">
        <f t="shared" si="18"/>
        <v>157405</v>
      </c>
      <c r="M528" s="812">
        <v>162771</v>
      </c>
    </row>
    <row r="529" spans="1:13" ht="18" customHeight="1">
      <c r="A529" s="803"/>
      <c r="B529" s="804"/>
      <c r="C529" s="804"/>
      <c r="D529" s="804" t="s">
        <v>646</v>
      </c>
      <c r="E529" s="804"/>
      <c r="F529" s="805"/>
      <c r="G529" s="806" t="s">
        <v>593</v>
      </c>
      <c r="H529" s="810" t="s">
        <v>681</v>
      </c>
      <c r="I529" s="811">
        <f>214930.08</f>
        <v>214930.08</v>
      </c>
      <c r="J529" s="812">
        <v>90512.4</v>
      </c>
      <c r="K529" s="812">
        <f>227000-J529</f>
        <v>136487.6</v>
      </c>
      <c r="L529" s="812">
        <f t="shared" si="18"/>
        <v>227000</v>
      </c>
      <c r="M529" s="812">
        <v>235000</v>
      </c>
    </row>
    <row r="530" spans="1:13" ht="18" customHeight="1">
      <c r="A530" s="803"/>
      <c r="B530" s="804"/>
      <c r="C530" s="804"/>
      <c r="D530" s="804" t="s">
        <v>535</v>
      </c>
      <c r="E530" s="804"/>
      <c r="F530" s="805"/>
      <c r="G530" s="806" t="s">
        <v>594</v>
      </c>
      <c r="H530" s="810" t="s">
        <v>682</v>
      </c>
      <c r="I530" s="811">
        <f>7200</f>
        <v>7200</v>
      </c>
      <c r="J530" s="812">
        <v>3000</v>
      </c>
      <c r="K530" s="812">
        <f>10800-J530</f>
        <v>7800</v>
      </c>
      <c r="L530" s="812">
        <f t="shared" si="18"/>
        <v>10800</v>
      </c>
      <c r="M530" s="812">
        <v>10800</v>
      </c>
    </row>
    <row r="531" spans="1:13" ht="18" customHeight="1">
      <c r="A531" s="803"/>
      <c r="B531" s="804"/>
      <c r="C531" s="804"/>
      <c r="D531" s="804" t="s">
        <v>536</v>
      </c>
      <c r="E531" s="804"/>
      <c r="F531" s="805"/>
      <c r="G531" s="806" t="s">
        <v>595</v>
      </c>
      <c r="H531" s="810" t="s">
        <v>683</v>
      </c>
      <c r="I531" s="811">
        <f>23520</f>
        <v>23520</v>
      </c>
      <c r="J531" s="812">
        <v>10065</v>
      </c>
      <c r="K531" s="812">
        <f>39000-J531</f>
        <v>28935</v>
      </c>
      <c r="L531" s="812">
        <f t="shared" si="18"/>
        <v>39000</v>
      </c>
      <c r="M531" s="812">
        <v>44000</v>
      </c>
    </row>
    <row r="532" spans="1:13" ht="18" customHeight="1">
      <c r="A532" s="803"/>
      <c r="B532" s="804"/>
      <c r="C532" s="804"/>
      <c r="D532" s="804" t="s">
        <v>642</v>
      </c>
      <c r="E532" s="804"/>
      <c r="F532" s="805"/>
      <c r="G532" s="806" t="s">
        <v>596</v>
      </c>
      <c r="H532" s="810" t="s">
        <v>684</v>
      </c>
      <c r="I532" s="811">
        <f>7200</f>
        <v>7200</v>
      </c>
      <c r="J532" s="812">
        <v>3000</v>
      </c>
      <c r="K532" s="812">
        <f>7200-J532</f>
        <v>4200</v>
      </c>
      <c r="L532" s="812">
        <f t="shared" si="18"/>
        <v>7200</v>
      </c>
      <c r="M532" s="812">
        <v>7200</v>
      </c>
    </row>
    <row r="533" spans="1:13" ht="18" customHeight="1">
      <c r="A533" s="803"/>
      <c r="B533" s="804"/>
      <c r="C533" s="804"/>
      <c r="D533" s="804" t="s">
        <v>538</v>
      </c>
      <c r="E533" s="804"/>
      <c r="F533" s="805"/>
      <c r="G533" s="806" t="s">
        <v>388</v>
      </c>
      <c r="H533" s="810" t="s">
        <v>696</v>
      </c>
      <c r="I533" s="811">
        <f>24505.02</f>
        <v>24505.02</v>
      </c>
      <c r="J533" s="812">
        <v>0</v>
      </c>
      <c r="K533" s="812">
        <f>0-J533</f>
        <v>0</v>
      </c>
      <c r="L533" s="812">
        <f t="shared" si="18"/>
        <v>0</v>
      </c>
      <c r="M533" s="812">
        <v>0</v>
      </c>
    </row>
    <row r="534" spans="1:13" ht="18" customHeight="1">
      <c r="A534" s="803"/>
      <c r="B534" s="804"/>
      <c r="C534" s="804"/>
      <c r="D534" s="804" t="s">
        <v>1493</v>
      </c>
      <c r="E534" s="804"/>
      <c r="F534" s="805"/>
      <c r="G534" s="806"/>
      <c r="H534" s="810" t="s">
        <v>696</v>
      </c>
      <c r="I534" s="811">
        <f>60000</f>
        <v>60000</v>
      </c>
      <c r="J534" s="812">
        <v>0</v>
      </c>
      <c r="K534" s="812">
        <f>0-J534</f>
        <v>0</v>
      </c>
      <c r="L534" s="812">
        <f t="shared" si="18"/>
        <v>0</v>
      </c>
      <c r="M534" s="812">
        <v>0</v>
      </c>
    </row>
    <row r="535" spans="1:13" ht="18" customHeight="1">
      <c r="A535" s="815"/>
      <c r="B535" s="816"/>
      <c r="C535" s="816"/>
      <c r="D535" s="816" t="s">
        <v>364</v>
      </c>
      <c r="E535" s="816"/>
      <c r="F535" s="817"/>
      <c r="G535" s="818"/>
      <c r="H535" s="847"/>
      <c r="I535" s="819">
        <f>SUM(I516:I534)</f>
        <v>2862363.1</v>
      </c>
      <c r="J535" s="819">
        <f>SUM(J516:J534)</f>
        <v>1396218.4</v>
      </c>
      <c r="K535" s="819">
        <f>SUM(K516:K534)</f>
        <v>1487273.6</v>
      </c>
      <c r="L535" s="819">
        <f>SUM(L516:L534)</f>
        <v>2883492</v>
      </c>
      <c r="M535" s="819">
        <f>SUM(M516:M534)</f>
        <v>2967861</v>
      </c>
    </row>
    <row r="536" spans="1:13" ht="18" customHeight="1">
      <c r="A536" s="803"/>
      <c r="B536" s="804" t="s">
        <v>539</v>
      </c>
      <c r="C536" s="804"/>
      <c r="D536" s="804"/>
      <c r="E536" s="804"/>
      <c r="F536" s="805"/>
      <c r="G536" s="806"/>
      <c r="H536" s="844"/>
      <c r="I536" s="811"/>
      <c r="J536" s="812"/>
      <c r="K536" s="812"/>
      <c r="L536" s="812"/>
      <c r="M536" s="812"/>
    </row>
    <row r="537" spans="1:13" ht="18" customHeight="1">
      <c r="A537" s="803"/>
      <c r="B537" s="804"/>
      <c r="C537" s="804"/>
      <c r="D537" s="804" t="s">
        <v>540</v>
      </c>
      <c r="E537" s="804"/>
      <c r="F537" s="805"/>
      <c r="G537" s="806" t="s">
        <v>376</v>
      </c>
      <c r="H537" s="810" t="s">
        <v>686</v>
      </c>
      <c r="I537" s="811">
        <f>34500</f>
        <v>34500</v>
      </c>
      <c r="J537" s="812">
        <v>41212</v>
      </c>
      <c r="K537" s="812">
        <f>140000-J537</f>
        <v>98788</v>
      </c>
      <c r="L537" s="812">
        <f t="shared" ref="L537:L544" si="19">SUM(K537+J537)</f>
        <v>140000</v>
      </c>
      <c r="M537" s="812">
        <v>140000</v>
      </c>
    </row>
    <row r="538" spans="1:13" ht="18" customHeight="1">
      <c r="A538" s="803"/>
      <c r="B538" s="804"/>
      <c r="C538" s="804"/>
      <c r="D538" s="804" t="s">
        <v>421</v>
      </c>
      <c r="E538" s="804"/>
      <c r="F538" s="805"/>
      <c r="G538" s="806" t="s">
        <v>377</v>
      </c>
      <c r="H538" s="810" t="s">
        <v>687</v>
      </c>
      <c r="I538" s="811">
        <f>14000</f>
        <v>14000</v>
      </c>
      <c r="J538" s="812">
        <v>0</v>
      </c>
      <c r="K538" s="812">
        <f>100000-J538</f>
        <v>100000</v>
      </c>
      <c r="L538" s="812">
        <f t="shared" si="19"/>
        <v>100000</v>
      </c>
      <c r="M538" s="812">
        <v>100000</v>
      </c>
    </row>
    <row r="539" spans="1:13" ht="18" customHeight="1">
      <c r="A539" s="803"/>
      <c r="B539" s="804"/>
      <c r="C539" s="804"/>
      <c r="D539" s="804" t="s">
        <v>371</v>
      </c>
      <c r="E539" s="804"/>
      <c r="F539" s="805"/>
      <c r="G539" s="806" t="s">
        <v>379</v>
      </c>
      <c r="H539" s="810" t="s">
        <v>688</v>
      </c>
      <c r="I539" s="811">
        <f>105368.57</f>
        <v>105368.57</v>
      </c>
      <c r="J539" s="812">
        <v>42223.75</v>
      </c>
      <c r="K539" s="812">
        <f>120000-J539</f>
        <v>77776.25</v>
      </c>
      <c r="L539" s="812">
        <f t="shared" si="19"/>
        <v>120000</v>
      </c>
      <c r="M539" s="812">
        <v>120000</v>
      </c>
    </row>
    <row r="540" spans="1:13" ht="18" customHeight="1">
      <c r="A540" s="803"/>
      <c r="B540" s="804"/>
      <c r="C540" s="804"/>
      <c r="D540" s="804" t="s">
        <v>544</v>
      </c>
      <c r="E540" s="804"/>
      <c r="F540" s="805"/>
      <c r="G540" s="806" t="s">
        <v>601</v>
      </c>
      <c r="H540" s="810" t="s">
        <v>689</v>
      </c>
      <c r="I540" s="811">
        <v>0</v>
      </c>
      <c r="J540" s="812">
        <v>0</v>
      </c>
      <c r="K540" s="812">
        <f>500-J540</f>
        <v>500</v>
      </c>
      <c r="L540" s="812">
        <f t="shared" si="19"/>
        <v>500</v>
      </c>
      <c r="M540" s="812">
        <v>500</v>
      </c>
    </row>
    <row r="541" spans="1:13" ht="18" customHeight="1">
      <c r="A541" s="803"/>
      <c r="B541" s="804"/>
      <c r="C541" s="804"/>
      <c r="D541" s="804" t="s">
        <v>546</v>
      </c>
      <c r="E541" s="804"/>
      <c r="F541" s="805"/>
      <c r="G541" s="806" t="s">
        <v>380</v>
      </c>
      <c r="H541" s="810" t="s">
        <v>690</v>
      </c>
      <c r="I541" s="811">
        <f>36000</f>
        <v>36000</v>
      </c>
      <c r="J541" s="812">
        <v>18000</v>
      </c>
      <c r="K541" s="812">
        <f>36000-J541</f>
        <v>18000</v>
      </c>
      <c r="L541" s="812">
        <f t="shared" si="19"/>
        <v>36000</v>
      </c>
      <c r="M541" s="812">
        <v>36000</v>
      </c>
    </row>
    <row r="542" spans="1:13" ht="18" customHeight="1">
      <c r="A542" s="803"/>
      <c r="B542" s="804"/>
      <c r="C542" s="804"/>
      <c r="D542" s="804" t="s">
        <v>902</v>
      </c>
      <c r="E542" s="804"/>
      <c r="F542" s="805"/>
      <c r="G542" s="806" t="s">
        <v>381</v>
      </c>
      <c r="H542" s="810" t="s">
        <v>691</v>
      </c>
      <c r="I542" s="811">
        <f>6000</f>
        <v>6000</v>
      </c>
      <c r="J542" s="812">
        <v>1500</v>
      </c>
      <c r="K542" s="812">
        <f>25000-J542</f>
        <v>23500</v>
      </c>
      <c r="L542" s="812">
        <f t="shared" si="19"/>
        <v>25000</v>
      </c>
      <c r="M542" s="812">
        <v>25000</v>
      </c>
    </row>
    <row r="543" spans="1:13" ht="18" customHeight="1">
      <c r="A543" s="803"/>
      <c r="B543" s="804"/>
      <c r="C543" s="804"/>
      <c r="D543" s="804" t="s">
        <v>552</v>
      </c>
      <c r="E543" s="804"/>
      <c r="F543" s="805"/>
      <c r="G543" s="806" t="s">
        <v>382</v>
      </c>
      <c r="H543" s="810" t="s">
        <v>692</v>
      </c>
      <c r="I543" s="811">
        <f>2000</f>
        <v>2000</v>
      </c>
      <c r="J543" s="812">
        <v>0</v>
      </c>
      <c r="K543" s="812">
        <f>22000-J543</f>
        <v>22000</v>
      </c>
      <c r="L543" s="812">
        <f t="shared" si="19"/>
        <v>22000</v>
      </c>
      <c r="M543" s="812">
        <v>22000</v>
      </c>
    </row>
    <row r="544" spans="1:13" ht="18" customHeight="1">
      <c r="A544" s="803"/>
      <c r="B544" s="804"/>
      <c r="C544" s="804"/>
      <c r="D544" s="804" t="s">
        <v>1681</v>
      </c>
      <c r="E544" s="804"/>
      <c r="F544" s="805"/>
      <c r="G544" s="806"/>
      <c r="H544" s="810" t="s">
        <v>692</v>
      </c>
      <c r="I544" s="811">
        <f>150000</f>
        <v>150000</v>
      </c>
      <c r="J544" s="812">
        <v>0</v>
      </c>
      <c r="K544" s="812">
        <f>0-J544</f>
        <v>0</v>
      </c>
      <c r="L544" s="812">
        <f t="shared" si="19"/>
        <v>0</v>
      </c>
      <c r="M544" s="812">
        <v>0</v>
      </c>
    </row>
    <row r="545" spans="1:13" ht="18" customHeight="1">
      <c r="A545" s="815"/>
      <c r="B545" s="816"/>
      <c r="C545" s="816"/>
      <c r="D545" s="816" t="s">
        <v>737</v>
      </c>
      <c r="E545" s="816"/>
      <c r="F545" s="817"/>
      <c r="G545" s="818"/>
      <c r="H545" s="847"/>
      <c r="I545" s="819">
        <f>SUM(I537:I544)</f>
        <v>347868.57</v>
      </c>
      <c r="J545" s="819">
        <f>SUM(J537:J544)</f>
        <v>102935.75</v>
      </c>
      <c r="K545" s="819">
        <f>SUM(K537:K544)</f>
        <v>340564.25</v>
      </c>
      <c r="L545" s="819">
        <f>SUM(L537:L544)</f>
        <v>443500</v>
      </c>
      <c r="M545" s="819">
        <f>SUM(M537:M544)</f>
        <v>443500</v>
      </c>
    </row>
    <row r="546" spans="1:13" ht="18" customHeight="1">
      <c r="A546" s="803"/>
      <c r="B546" s="804" t="s">
        <v>553</v>
      </c>
      <c r="C546" s="804"/>
      <c r="D546" s="804"/>
      <c r="E546" s="804"/>
      <c r="F546" s="805"/>
      <c r="G546" s="806"/>
      <c r="H546" s="844"/>
      <c r="I546" s="811"/>
      <c r="J546" s="812"/>
      <c r="K546" s="812"/>
      <c r="L546" s="812"/>
      <c r="M546" s="812"/>
    </row>
    <row r="547" spans="1:13" ht="18" customHeight="1">
      <c r="A547" s="803"/>
      <c r="B547" s="804"/>
      <c r="C547" s="804"/>
      <c r="D547" s="804" t="s">
        <v>671</v>
      </c>
      <c r="E547" s="804"/>
      <c r="F547" s="805"/>
      <c r="G547" s="806" t="s">
        <v>830</v>
      </c>
      <c r="H547" s="810" t="s">
        <v>831</v>
      </c>
      <c r="I547" s="811">
        <f>11100</f>
        <v>11100</v>
      </c>
      <c r="J547" s="812">
        <v>0</v>
      </c>
      <c r="K547" s="812">
        <f>25000-J547</f>
        <v>25000</v>
      </c>
      <c r="L547" s="812">
        <f>K547+J547</f>
        <v>25000</v>
      </c>
      <c r="M547" s="812">
        <v>0</v>
      </c>
    </row>
    <row r="548" spans="1:13" ht="18" customHeight="1">
      <c r="A548" s="803"/>
      <c r="B548" s="804"/>
      <c r="C548" s="804"/>
      <c r="D548" s="804" t="s">
        <v>829</v>
      </c>
      <c r="E548" s="804"/>
      <c r="F548" s="805"/>
      <c r="G548" s="806" t="s">
        <v>832</v>
      </c>
      <c r="H548" s="810" t="s">
        <v>1527</v>
      </c>
      <c r="I548" s="811">
        <v>0</v>
      </c>
      <c r="J548" s="812">
        <v>0</v>
      </c>
      <c r="K548" s="812">
        <f>40000-J548</f>
        <v>40000</v>
      </c>
      <c r="L548" s="812">
        <f>K548+J548</f>
        <v>40000</v>
      </c>
      <c r="M548" s="812">
        <v>0</v>
      </c>
    </row>
    <row r="549" spans="1:13" ht="18" customHeight="1">
      <c r="A549" s="803"/>
      <c r="B549" s="804"/>
      <c r="C549" s="804"/>
      <c r="D549" s="804" t="s">
        <v>839</v>
      </c>
      <c r="E549" s="804"/>
      <c r="F549" s="805"/>
      <c r="G549" s="806"/>
      <c r="H549" s="810" t="s">
        <v>840</v>
      </c>
      <c r="I549" s="811">
        <f>19999</f>
        <v>19999</v>
      </c>
      <c r="J549" s="812">
        <v>0</v>
      </c>
      <c r="K549" s="812">
        <f>0-J549</f>
        <v>0</v>
      </c>
      <c r="L549" s="812">
        <f>K549+J549</f>
        <v>0</v>
      </c>
      <c r="M549" s="812">
        <v>0</v>
      </c>
    </row>
    <row r="550" spans="1:13" ht="18" hidden="1" customHeight="1">
      <c r="A550" s="803"/>
      <c r="B550" s="804"/>
      <c r="C550" s="804"/>
      <c r="D550" s="804" t="s">
        <v>833</v>
      </c>
      <c r="E550" s="804"/>
      <c r="F550" s="805"/>
      <c r="G550" s="806" t="s">
        <v>834</v>
      </c>
      <c r="H550" s="810" t="s">
        <v>835</v>
      </c>
      <c r="I550" s="811">
        <v>0</v>
      </c>
      <c r="J550" s="812">
        <v>0</v>
      </c>
      <c r="K550" s="812">
        <f>0-J550</f>
        <v>0</v>
      </c>
      <c r="L550" s="812">
        <f>K550+J550</f>
        <v>0</v>
      </c>
      <c r="M550" s="812">
        <v>0</v>
      </c>
    </row>
    <row r="551" spans="1:13" ht="18" customHeight="1">
      <c r="A551" s="815"/>
      <c r="B551" s="816"/>
      <c r="C551" s="816"/>
      <c r="D551" s="816" t="s">
        <v>782</v>
      </c>
      <c r="E551" s="816"/>
      <c r="F551" s="817"/>
      <c r="G551" s="818"/>
      <c r="H551" s="847"/>
      <c r="I551" s="819">
        <f>SUM(I547:I550)</f>
        <v>31099</v>
      </c>
      <c r="J551" s="819">
        <f>SUM(J547:J550)</f>
        <v>0</v>
      </c>
      <c r="K551" s="819">
        <f>SUM(K547:K550)</f>
        <v>65000</v>
      </c>
      <c r="L551" s="819">
        <f>SUM(L547:L550)</f>
        <v>65000</v>
      </c>
      <c r="M551" s="819">
        <f>SUM(M547:M550)</f>
        <v>0</v>
      </c>
    </row>
    <row r="552" spans="1:13" ht="18" customHeight="1">
      <c r="A552" s="815"/>
      <c r="B552" s="816"/>
      <c r="C552" s="816"/>
      <c r="D552" s="816"/>
      <c r="E552" s="816"/>
      <c r="F552" s="817"/>
      <c r="G552" s="818"/>
      <c r="H552" s="847"/>
      <c r="I552" s="819"/>
      <c r="J552" s="822"/>
      <c r="K552" s="822"/>
      <c r="L552" s="822"/>
      <c r="M552" s="822"/>
    </row>
    <row r="553" spans="1:13" ht="18" customHeight="1">
      <c r="A553" s="823" t="s">
        <v>613</v>
      </c>
      <c r="B553" s="824"/>
      <c r="C553" s="824"/>
      <c r="D553" s="824"/>
      <c r="E553" s="824"/>
      <c r="F553" s="825"/>
      <c r="G553" s="826"/>
      <c r="H553" s="848"/>
      <c r="I553" s="828">
        <f>SUM(I551+I545+I535)</f>
        <v>3241330.67</v>
      </c>
      <c r="J553" s="828">
        <f>SUM(J551+J545+J535)</f>
        <v>1499154.15</v>
      </c>
      <c r="K553" s="828">
        <f>SUM(K551+K545+K535)</f>
        <v>1892837.85</v>
      </c>
      <c r="L553" s="828">
        <f>SUM(L551+L545+L535)</f>
        <v>3391992</v>
      </c>
      <c r="M553" s="828">
        <f>SUM(M551+M545+M535)</f>
        <v>3411361</v>
      </c>
    </row>
    <row r="554" spans="1:13" ht="18" customHeight="1">
      <c r="A554" s="791"/>
      <c r="B554" s="829"/>
      <c r="C554" s="791"/>
      <c r="D554" s="791"/>
      <c r="E554" s="791"/>
      <c r="F554" s="791"/>
      <c r="G554" s="791"/>
      <c r="H554" s="830"/>
      <c r="I554" s="967"/>
      <c r="J554" s="831"/>
      <c r="K554" s="831"/>
      <c r="L554" s="831"/>
      <c r="M554" s="831"/>
    </row>
    <row r="555" spans="1:13" s="1329" customFormat="1" ht="18" customHeight="1">
      <c r="A555" s="1484" t="s">
        <v>1796</v>
      </c>
      <c r="B555" s="1484"/>
      <c r="C555" s="1484"/>
      <c r="D555" s="1484"/>
      <c r="E555" s="1484"/>
      <c r="F555" s="1484"/>
      <c r="G555" s="1484"/>
      <c r="H555" s="1484"/>
      <c r="I555" s="1484"/>
      <c r="J555" s="1484"/>
      <c r="K555" s="1484"/>
      <c r="L555" s="1484"/>
      <c r="M555" s="1484"/>
    </row>
    <row r="556" spans="1:13" s="1323" customFormat="1" ht="18" customHeight="1">
      <c r="A556" s="1324"/>
      <c r="B556" s="1325"/>
      <c r="C556" s="1324"/>
      <c r="D556" s="1324"/>
      <c r="E556" s="1324"/>
      <c r="F556" s="1324"/>
      <c r="G556" s="1327"/>
      <c r="H556" s="1328"/>
      <c r="I556" s="1328"/>
      <c r="K556" s="1044"/>
      <c r="L556" s="1044"/>
      <c r="M556" s="831"/>
    </row>
    <row r="557" spans="1:13" s="1323" customFormat="1" ht="20.100000000000001" customHeight="1">
      <c r="A557" s="1485" t="s">
        <v>1575</v>
      </c>
      <c r="B557" s="1485"/>
      <c r="C557" s="1485"/>
      <c r="D557" s="1485"/>
      <c r="E557" s="1485"/>
      <c r="F557" s="1485"/>
      <c r="G557" s="1485"/>
      <c r="H557" s="1485"/>
      <c r="I557" s="1485"/>
      <c r="J557" s="1485"/>
      <c r="K557" s="1485"/>
      <c r="L557" s="1485"/>
      <c r="M557" s="1485"/>
    </row>
    <row r="558" spans="1:13" s="778" customFormat="1" ht="18" customHeight="1">
      <c r="A558" s="777"/>
      <c r="B558" s="776"/>
      <c r="C558" s="777"/>
      <c r="D558" s="777"/>
      <c r="E558" s="777"/>
      <c r="F558" s="777"/>
      <c r="G558" s="838"/>
      <c r="H558" s="830"/>
      <c r="I558" s="967"/>
      <c r="K558" s="840"/>
      <c r="L558" s="840"/>
      <c r="M558" s="831"/>
    </row>
    <row r="559" spans="1:13" s="668" customFormat="1" ht="15" customHeight="1">
      <c r="A559" s="1467" t="s">
        <v>861</v>
      </c>
      <c r="B559" s="1467"/>
      <c r="C559" s="1467"/>
      <c r="D559" s="1467"/>
      <c r="E559" s="1467"/>
      <c r="F559" s="1467"/>
      <c r="G559" s="1467"/>
      <c r="H559" s="1467"/>
      <c r="I559" s="1467"/>
      <c r="J559" s="1467"/>
      <c r="K559" s="1467"/>
      <c r="L559" s="1467"/>
      <c r="M559" s="1467"/>
    </row>
    <row r="560" spans="1:13" s="668" customFormat="1" ht="15" customHeight="1">
      <c r="A560" s="1467" t="s">
        <v>174</v>
      </c>
      <c r="B560" s="1467"/>
      <c r="C560" s="1467"/>
      <c r="D560" s="1467"/>
      <c r="E560" s="1467"/>
      <c r="F560" s="1467"/>
      <c r="G560" s="1467"/>
      <c r="H560" s="1467"/>
      <c r="I560" s="1467"/>
      <c r="J560" s="1467"/>
      <c r="K560" s="1467"/>
      <c r="L560" s="1467"/>
      <c r="M560" s="1467"/>
    </row>
    <row r="561" spans="1:14" s="668" customFormat="1" ht="15" customHeight="1">
      <c r="A561" s="1467" t="s">
        <v>1780</v>
      </c>
      <c r="B561" s="1467"/>
      <c r="C561" s="1467"/>
      <c r="D561" s="1467"/>
      <c r="E561" s="1467"/>
      <c r="F561" s="1467"/>
      <c r="G561" s="1467"/>
      <c r="H561" s="1467"/>
      <c r="I561" s="1467"/>
      <c r="J561" s="1467"/>
      <c r="K561" s="1467"/>
      <c r="L561" s="1467"/>
      <c r="M561" s="1467"/>
    </row>
    <row r="562" spans="1:14" s="668" customFormat="1" ht="15" customHeight="1">
      <c r="A562" s="1467"/>
      <c r="B562" s="1467"/>
      <c r="C562" s="1467"/>
      <c r="D562" s="1467"/>
      <c r="E562" s="1467"/>
      <c r="F562" s="1467"/>
      <c r="G562" s="1467"/>
      <c r="H562" s="1467"/>
      <c r="I562" s="1467"/>
      <c r="J562" s="1467"/>
      <c r="K562" s="1467"/>
      <c r="L562" s="1467"/>
      <c r="M562" s="1467"/>
    </row>
    <row r="563" spans="1:14" s="668" customFormat="1" ht="15" customHeight="1">
      <c r="A563" s="1254"/>
      <c r="B563" s="1254"/>
      <c r="C563" s="1254"/>
      <c r="D563" s="1254"/>
      <c r="E563" s="1254"/>
      <c r="F563" s="1254"/>
      <c r="G563" s="1254"/>
      <c r="H563" s="1254"/>
      <c r="I563" s="1254"/>
      <c r="J563" s="1254"/>
      <c r="K563" s="1254"/>
      <c r="L563" s="1254"/>
      <c r="M563" s="1254"/>
    </row>
    <row r="564" spans="1:14" s="668" customFormat="1" ht="15" customHeight="1">
      <c r="A564" s="1254"/>
      <c r="B564" s="1254"/>
      <c r="C564" s="1254"/>
      <c r="D564" s="1254"/>
      <c r="E564" s="1254"/>
      <c r="F564" s="1254"/>
      <c r="G564" s="1254"/>
      <c r="H564" s="1254"/>
      <c r="I564" s="1254"/>
      <c r="J564" s="1254"/>
      <c r="K564" s="1254"/>
      <c r="L564" s="1254"/>
      <c r="M564" s="1254"/>
    </row>
    <row r="565" spans="1:14" s="668" customFormat="1" ht="15" customHeight="1">
      <c r="A565" s="1254"/>
      <c r="B565" s="1254"/>
      <c r="C565" s="1254"/>
      <c r="D565" s="1254"/>
      <c r="E565" s="1254"/>
      <c r="F565" s="1254"/>
      <c r="G565" s="1254"/>
      <c r="H565" s="1254"/>
      <c r="I565" s="1254"/>
      <c r="J565" s="1254"/>
      <c r="K565" s="1254"/>
      <c r="L565" s="1254"/>
      <c r="M565" s="1254"/>
    </row>
    <row r="566" spans="1:14" s="1253" customFormat="1" ht="18" customHeight="1">
      <c r="A566" s="1468" t="s">
        <v>1781</v>
      </c>
      <c r="B566" s="1468"/>
      <c r="C566" s="1468"/>
      <c r="D566" s="1468"/>
      <c r="E566" s="1468"/>
      <c r="F566" s="1468"/>
      <c r="G566" s="1468"/>
      <c r="H566" s="1468"/>
      <c r="I566" s="1468"/>
      <c r="J566" s="1468"/>
      <c r="K566" s="1468"/>
      <c r="L566" s="1468"/>
      <c r="M566" s="1468"/>
      <c r="N566" s="1320"/>
    </row>
    <row r="567" spans="1:14" s="1253" customFormat="1">
      <c r="A567" s="1469" t="s">
        <v>1817</v>
      </c>
      <c r="B567" s="1469"/>
      <c r="C567" s="1469"/>
      <c r="D567" s="1469"/>
      <c r="E567" s="1469"/>
      <c r="F567" s="1469"/>
      <c r="G567" s="1469"/>
      <c r="H567" s="1469"/>
      <c r="I567" s="1469"/>
      <c r="J567" s="1469"/>
      <c r="K567" s="1469"/>
      <c r="L567" s="1469"/>
      <c r="M567" s="1469"/>
      <c r="N567" s="1321"/>
    </row>
    <row r="568" spans="1:14" s="668" customFormat="1" ht="18" customHeight="1">
      <c r="A568" s="1253" t="s">
        <v>1840</v>
      </c>
      <c r="B568" s="1253"/>
      <c r="C568" s="1253"/>
      <c r="D568" s="1253"/>
      <c r="E568" s="1253"/>
      <c r="F568" s="1253"/>
      <c r="G568" s="1254"/>
      <c r="H568" s="1253"/>
      <c r="I568" s="1255"/>
      <c r="J568" s="1253"/>
      <c r="K568" s="1253"/>
      <c r="L568" s="1256"/>
      <c r="M568" s="1256"/>
    </row>
    <row r="569" spans="1:14" s="668" customFormat="1" ht="18" customHeight="1">
      <c r="A569" s="1253" t="s">
        <v>1811</v>
      </c>
      <c r="B569" s="1253"/>
      <c r="C569" s="1253"/>
      <c r="D569" s="1253"/>
      <c r="E569" s="1253"/>
      <c r="F569" s="1253"/>
      <c r="G569" s="1254"/>
      <c r="H569" s="1253"/>
      <c r="I569" s="1255"/>
      <c r="J569" s="1253"/>
      <c r="K569" s="1253"/>
      <c r="L569" s="1256"/>
      <c r="M569" s="1256"/>
    </row>
    <row r="570" spans="1:14" s="668" customFormat="1" ht="8.1" customHeight="1">
      <c r="A570" s="1257" t="s">
        <v>1812</v>
      </c>
      <c r="B570" s="1253"/>
      <c r="C570" s="1253"/>
      <c r="D570" s="1253"/>
      <c r="E570" s="1253"/>
      <c r="F570" s="1253"/>
      <c r="G570" s="1254"/>
      <c r="H570" s="1253"/>
      <c r="I570" s="1255"/>
      <c r="J570" s="1253"/>
      <c r="K570" s="1253"/>
      <c r="L570" s="1256"/>
      <c r="M570" s="1256"/>
    </row>
    <row r="571" spans="1:14" s="1395" customFormat="1" ht="34.5" customHeight="1">
      <c r="A571" s="1394" t="s">
        <v>474</v>
      </c>
      <c r="B571" s="1394"/>
      <c r="C571" s="1486" t="s">
        <v>1841</v>
      </c>
      <c r="D571" s="1486"/>
      <c r="E571" s="1486"/>
      <c r="F571" s="1486"/>
      <c r="G571" s="1486"/>
      <c r="H571" s="1486"/>
      <c r="I571" s="1486"/>
      <c r="J571" s="1486"/>
      <c r="K571" s="1486"/>
      <c r="L571" s="1486"/>
      <c r="M571" s="1486"/>
    </row>
    <row r="572" spans="1:14" s="778" customFormat="1" ht="18" customHeight="1" thickBot="1">
      <c r="A572" s="1506"/>
      <c r="B572" s="1506"/>
      <c r="C572" s="1506"/>
      <c r="D572" s="1506"/>
      <c r="E572" s="1506"/>
      <c r="F572" s="1506"/>
      <c r="G572" s="1506"/>
      <c r="H572" s="1506"/>
      <c r="I572" s="1506"/>
      <c r="J572" s="1506"/>
      <c r="K572" s="1506"/>
      <c r="L572" s="1506"/>
      <c r="M572" s="1506"/>
    </row>
    <row r="573" spans="1:14" ht="18" customHeight="1">
      <c r="A573" s="780"/>
      <c r="B573" s="781"/>
      <c r="C573" s="781"/>
      <c r="D573" s="781"/>
      <c r="E573" s="781"/>
      <c r="F573" s="782"/>
      <c r="G573" s="783"/>
      <c r="H573" s="784"/>
      <c r="I573" s="784" t="s">
        <v>6</v>
      </c>
      <c r="J573" s="1488" t="s">
        <v>1914</v>
      </c>
      <c r="K573" s="1489"/>
      <c r="L573" s="1490"/>
      <c r="M573" s="785" t="s">
        <v>7</v>
      </c>
    </row>
    <row r="574" spans="1:14" ht="18" customHeight="1">
      <c r="A574" s="1491"/>
      <c r="B574" s="1492"/>
      <c r="C574" s="1492"/>
      <c r="D574" s="1492"/>
      <c r="E574" s="1492"/>
      <c r="F574" s="1493"/>
      <c r="G574" s="1371"/>
      <c r="H574" s="786"/>
      <c r="I574" s="786">
        <v>2021</v>
      </c>
      <c r="J574" s="786" t="s">
        <v>560</v>
      </c>
      <c r="K574" s="786" t="s">
        <v>561</v>
      </c>
      <c r="L574" s="786">
        <v>2022</v>
      </c>
      <c r="M574" s="787">
        <v>2023</v>
      </c>
    </row>
    <row r="575" spans="1:14" ht="18" customHeight="1">
      <c r="A575" s="1491" t="s">
        <v>21</v>
      </c>
      <c r="B575" s="1492"/>
      <c r="C575" s="1492"/>
      <c r="D575" s="1492"/>
      <c r="E575" s="1492"/>
      <c r="F575" s="1493"/>
      <c r="G575" s="788"/>
      <c r="H575" s="789" t="s">
        <v>612</v>
      </c>
      <c r="I575" s="786" t="s">
        <v>909</v>
      </c>
      <c r="J575" s="786" t="s">
        <v>559</v>
      </c>
      <c r="K575" s="786" t="s">
        <v>562</v>
      </c>
      <c r="L575" s="786" t="s">
        <v>909</v>
      </c>
      <c r="M575" s="787" t="s">
        <v>909</v>
      </c>
    </row>
    <row r="576" spans="1:14" ht="18" customHeight="1">
      <c r="A576" s="790"/>
      <c r="B576" s="791"/>
      <c r="C576" s="791"/>
      <c r="D576" s="791"/>
      <c r="E576" s="791"/>
      <c r="F576" s="792"/>
      <c r="G576" s="788"/>
      <c r="H576" s="786"/>
      <c r="I576" s="786" t="s">
        <v>559</v>
      </c>
      <c r="J576" s="786">
        <v>2022</v>
      </c>
      <c r="K576" s="786">
        <v>2022</v>
      </c>
      <c r="L576" s="786" t="s">
        <v>910</v>
      </c>
      <c r="M576" s="787" t="s">
        <v>564</v>
      </c>
    </row>
    <row r="577" spans="1:13" ht="18" customHeight="1" thickBot="1">
      <c r="A577" s="1497"/>
      <c r="B577" s="1498"/>
      <c r="C577" s="1498"/>
      <c r="D577" s="1498"/>
      <c r="E577" s="1498"/>
      <c r="F577" s="1499"/>
      <c r="G577" s="1372"/>
      <c r="H577" s="793"/>
      <c r="I577" s="1393"/>
      <c r="J577" s="793"/>
      <c r="K577" s="793"/>
      <c r="L577" s="793"/>
      <c r="M577" s="794"/>
    </row>
    <row r="578" spans="1:13" ht="18" customHeight="1">
      <c r="A578" s="795"/>
      <c r="B578" s="796" t="s">
        <v>359</v>
      </c>
      <c r="C578" s="797"/>
      <c r="D578" s="796"/>
      <c r="E578" s="796"/>
      <c r="F578" s="798"/>
      <c r="G578" s="799"/>
      <c r="H578" s="841"/>
      <c r="I578" s="842"/>
      <c r="J578" s="843"/>
      <c r="K578" s="843"/>
      <c r="L578" s="843"/>
      <c r="M578" s="843"/>
    </row>
    <row r="579" spans="1:13" ht="18" customHeight="1">
      <c r="A579" s="803"/>
      <c r="B579" s="804"/>
      <c r="C579" s="804" t="s">
        <v>515</v>
      </c>
      <c r="D579" s="804"/>
      <c r="E579" s="804"/>
      <c r="F579" s="805"/>
      <c r="G579" s="806"/>
      <c r="H579" s="844"/>
      <c r="I579" s="845"/>
      <c r="J579" s="846"/>
      <c r="K579" s="846"/>
      <c r="L579" s="846"/>
      <c r="M579" s="846"/>
    </row>
    <row r="580" spans="1:13" ht="18" customHeight="1">
      <c r="A580" s="803"/>
      <c r="B580" s="804"/>
      <c r="C580" s="804"/>
      <c r="D580" s="804" t="s">
        <v>516</v>
      </c>
      <c r="E580" s="804"/>
      <c r="F580" s="805"/>
      <c r="G580" s="806" t="s">
        <v>582</v>
      </c>
      <c r="H580" s="810" t="s">
        <v>672</v>
      </c>
      <c r="I580" s="811">
        <f>953386.05</f>
        <v>953386.05</v>
      </c>
      <c r="J580" s="812">
        <v>741300</v>
      </c>
      <c r="K580" s="812">
        <f>1482600-J580</f>
        <v>741300</v>
      </c>
      <c r="L580" s="812">
        <f>SUM(K580+J580)</f>
        <v>1482600</v>
      </c>
      <c r="M580" s="812">
        <v>1531656</v>
      </c>
    </row>
    <row r="581" spans="1:13" ht="18" customHeight="1">
      <c r="A581" s="803"/>
      <c r="B581" s="804"/>
      <c r="C581" s="804" t="s">
        <v>517</v>
      </c>
      <c r="D581" s="804"/>
      <c r="E581" s="804"/>
      <c r="F581" s="805"/>
      <c r="G581" s="806"/>
      <c r="H581" s="844"/>
      <c r="I581" s="811"/>
      <c r="J581" s="812"/>
      <c r="K581" s="812"/>
      <c r="L581" s="812"/>
      <c r="M581" s="812"/>
    </row>
    <row r="582" spans="1:13" ht="18" customHeight="1">
      <c r="A582" s="803"/>
      <c r="B582" s="804"/>
      <c r="C582" s="804"/>
      <c r="D582" s="804" t="s">
        <v>518</v>
      </c>
      <c r="E582" s="804"/>
      <c r="F582" s="805"/>
      <c r="G582" s="806" t="s">
        <v>583</v>
      </c>
      <c r="H582" s="810" t="s">
        <v>673</v>
      </c>
      <c r="I582" s="811">
        <f>59545.45</f>
        <v>59545.45</v>
      </c>
      <c r="J582" s="812">
        <v>36000</v>
      </c>
      <c r="K582" s="812">
        <f>72000-J582</f>
        <v>36000</v>
      </c>
      <c r="L582" s="812">
        <f t="shared" ref="L582:L599" si="20">SUM(K582+J582)</f>
        <v>72000</v>
      </c>
      <c r="M582" s="812">
        <v>72000</v>
      </c>
    </row>
    <row r="583" spans="1:13" ht="18" customHeight="1">
      <c r="A583" s="803"/>
      <c r="B583" s="804"/>
      <c r="C583" s="804"/>
      <c r="D583" s="804" t="s">
        <v>528</v>
      </c>
      <c r="E583" s="804"/>
      <c r="F583" s="805"/>
      <c r="G583" s="806" t="s">
        <v>584</v>
      </c>
      <c r="H583" s="810" t="s">
        <v>674</v>
      </c>
      <c r="I583" s="811">
        <v>76500</v>
      </c>
      <c r="J583" s="812">
        <v>38250</v>
      </c>
      <c r="K583" s="812">
        <f>76500-J583</f>
        <v>38250</v>
      </c>
      <c r="L583" s="812">
        <f t="shared" si="20"/>
        <v>76500</v>
      </c>
      <c r="M583" s="812">
        <v>76500</v>
      </c>
    </row>
    <row r="584" spans="1:13" ht="18" customHeight="1">
      <c r="A584" s="803"/>
      <c r="B584" s="804"/>
      <c r="C584" s="804"/>
      <c r="D584" s="804" t="s">
        <v>527</v>
      </c>
      <c r="E584" s="804"/>
      <c r="F584" s="805"/>
      <c r="G584" s="806" t="s">
        <v>585</v>
      </c>
      <c r="H584" s="810" t="s">
        <v>675</v>
      </c>
      <c r="I584" s="811">
        <v>76500</v>
      </c>
      <c r="J584" s="812">
        <v>38250</v>
      </c>
      <c r="K584" s="812">
        <f>76500-J584</f>
        <v>38250</v>
      </c>
      <c r="L584" s="812">
        <f t="shared" si="20"/>
        <v>76500</v>
      </c>
      <c r="M584" s="812">
        <v>76500</v>
      </c>
    </row>
    <row r="585" spans="1:13" ht="18" customHeight="1">
      <c r="A585" s="803"/>
      <c r="B585" s="804"/>
      <c r="C585" s="804"/>
      <c r="D585" s="804" t="s">
        <v>529</v>
      </c>
      <c r="E585" s="804"/>
      <c r="F585" s="805"/>
      <c r="G585" s="806" t="s">
        <v>586</v>
      </c>
      <c r="H585" s="810" t="s">
        <v>676</v>
      </c>
      <c r="I585" s="811">
        <v>18000</v>
      </c>
      <c r="J585" s="812">
        <v>18000</v>
      </c>
      <c r="K585" s="812">
        <f>18000-J585</f>
        <v>0</v>
      </c>
      <c r="L585" s="812">
        <f t="shared" si="20"/>
        <v>18000</v>
      </c>
      <c r="M585" s="812">
        <v>18000</v>
      </c>
    </row>
    <row r="586" spans="1:13" ht="18" customHeight="1">
      <c r="A586" s="803"/>
      <c r="B586" s="804"/>
      <c r="C586" s="804"/>
      <c r="D586" s="804" t="s">
        <v>670</v>
      </c>
      <c r="E586" s="804"/>
      <c r="F586" s="805"/>
      <c r="G586" s="806" t="s">
        <v>588</v>
      </c>
      <c r="H586" s="810" t="s">
        <v>677</v>
      </c>
      <c r="I586" s="811">
        <v>15000</v>
      </c>
      <c r="J586" s="812">
        <v>0</v>
      </c>
      <c r="K586" s="812">
        <f>15000-J586</f>
        <v>15000</v>
      </c>
      <c r="L586" s="812">
        <f t="shared" si="20"/>
        <v>15000</v>
      </c>
      <c r="M586" s="812">
        <v>15000</v>
      </c>
    </row>
    <row r="587" spans="1:13" ht="18" hidden="1" customHeight="1">
      <c r="A587" s="803"/>
      <c r="B587" s="804"/>
      <c r="C587" s="804"/>
      <c r="D587" s="804" t="s">
        <v>531</v>
      </c>
      <c r="E587" s="804"/>
      <c r="F587" s="805"/>
      <c r="G587" s="806" t="s">
        <v>425</v>
      </c>
      <c r="H587" s="810" t="s">
        <v>678</v>
      </c>
      <c r="I587" s="811">
        <v>0</v>
      </c>
      <c r="J587" s="812">
        <v>0</v>
      </c>
      <c r="K587" s="812">
        <v>0</v>
      </c>
      <c r="L587" s="812">
        <f t="shared" si="20"/>
        <v>0</v>
      </c>
      <c r="M587" s="812">
        <v>0</v>
      </c>
    </row>
    <row r="588" spans="1:13" ht="18" customHeight="1">
      <c r="A588" s="803"/>
      <c r="B588" s="804"/>
      <c r="C588" s="804"/>
      <c r="D588" s="804" t="s">
        <v>1580</v>
      </c>
      <c r="E588" s="804"/>
      <c r="F588" s="805"/>
      <c r="G588" s="806" t="s">
        <v>425</v>
      </c>
      <c r="H588" s="810" t="s">
        <v>678</v>
      </c>
      <c r="I588" s="811">
        <f>6000</f>
        <v>6000</v>
      </c>
      <c r="J588" s="812">
        <v>0</v>
      </c>
      <c r="K588" s="812">
        <f>0-J588</f>
        <v>0</v>
      </c>
      <c r="L588" s="812">
        <f t="shared" si="20"/>
        <v>0</v>
      </c>
      <c r="M588" s="812">
        <v>0</v>
      </c>
    </row>
    <row r="589" spans="1:13" ht="18" hidden="1" customHeight="1">
      <c r="A589" s="803"/>
      <c r="B589" s="804"/>
      <c r="C589" s="804"/>
      <c r="D589" s="804" t="s">
        <v>1492</v>
      </c>
      <c r="E589" s="804"/>
      <c r="F589" s="805"/>
      <c r="G589" s="806"/>
      <c r="H589" s="810" t="s">
        <v>678</v>
      </c>
      <c r="I589" s="811">
        <v>0</v>
      </c>
      <c r="J589" s="812">
        <v>0</v>
      </c>
      <c r="K589" s="812">
        <v>0</v>
      </c>
      <c r="L589" s="812">
        <f t="shared" si="20"/>
        <v>0</v>
      </c>
      <c r="M589" s="812">
        <v>0</v>
      </c>
    </row>
    <row r="590" spans="1:13" ht="18" customHeight="1">
      <c r="A590" s="803"/>
      <c r="B590" s="804"/>
      <c r="C590" s="804"/>
      <c r="D590" s="804" t="s">
        <v>533</v>
      </c>
      <c r="E590" s="804"/>
      <c r="F590" s="805"/>
      <c r="G590" s="806" t="s">
        <v>591</v>
      </c>
      <c r="H590" s="810" t="s">
        <v>679</v>
      </c>
      <c r="I590" s="811">
        <f>15000</f>
        <v>15000</v>
      </c>
      <c r="J590" s="812">
        <v>0</v>
      </c>
      <c r="K590" s="812">
        <f>15000-J590</f>
        <v>15000</v>
      </c>
      <c r="L590" s="812">
        <f t="shared" si="20"/>
        <v>15000</v>
      </c>
      <c r="M590" s="812">
        <v>15000</v>
      </c>
    </row>
    <row r="591" spans="1:13" ht="18" customHeight="1">
      <c r="A591" s="803"/>
      <c r="B591" s="804"/>
      <c r="C591" s="804"/>
      <c r="D591" s="804" t="s">
        <v>790</v>
      </c>
      <c r="E591" s="804"/>
      <c r="F591" s="804"/>
      <c r="G591" s="814" t="s">
        <v>425</v>
      </c>
      <c r="H591" s="810" t="s">
        <v>678</v>
      </c>
      <c r="I591" s="811">
        <f>44288</f>
        <v>44288</v>
      </c>
      <c r="J591" s="812">
        <v>123550</v>
      </c>
      <c r="K591" s="812">
        <f>123550-J591</f>
        <v>0</v>
      </c>
      <c r="L591" s="812">
        <f t="shared" si="20"/>
        <v>123550</v>
      </c>
      <c r="M591" s="812">
        <v>127638</v>
      </c>
    </row>
    <row r="592" spans="1:13" ht="18" customHeight="1">
      <c r="A592" s="803"/>
      <c r="B592" s="804"/>
      <c r="C592" s="804"/>
      <c r="D592" s="804" t="s">
        <v>534</v>
      </c>
      <c r="E592" s="804"/>
      <c r="F592" s="805"/>
      <c r="G592" s="806" t="s">
        <v>592</v>
      </c>
      <c r="H592" s="810" t="s">
        <v>680</v>
      </c>
      <c r="I592" s="811">
        <f>119222</f>
        <v>119222</v>
      </c>
      <c r="J592" s="812">
        <v>0</v>
      </c>
      <c r="K592" s="812">
        <f>123550-J592</f>
        <v>123550</v>
      </c>
      <c r="L592" s="812">
        <f t="shared" si="20"/>
        <v>123550</v>
      </c>
      <c r="M592" s="812">
        <v>127638</v>
      </c>
    </row>
    <row r="593" spans="1:13" ht="18" customHeight="1">
      <c r="A593" s="803"/>
      <c r="B593" s="804"/>
      <c r="C593" s="804"/>
      <c r="D593" s="804" t="s">
        <v>646</v>
      </c>
      <c r="E593" s="804"/>
      <c r="F593" s="805"/>
      <c r="G593" s="806" t="s">
        <v>593</v>
      </c>
      <c r="H593" s="810" t="s">
        <v>681</v>
      </c>
      <c r="I593" s="811">
        <f>88513.68</f>
        <v>88513.68</v>
      </c>
      <c r="J593" s="812">
        <v>66832.800000000003</v>
      </c>
      <c r="K593" s="812">
        <f>179000-J593</f>
        <v>112167.2</v>
      </c>
      <c r="L593" s="812">
        <f t="shared" si="20"/>
        <v>179000</v>
      </c>
      <c r="M593" s="812">
        <v>184000</v>
      </c>
    </row>
    <row r="594" spans="1:13" ht="18" customHeight="1">
      <c r="A594" s="803"/>
      <c r="B594" s="804"/>
      <c r="C594" s="804"/>
      <c r="D594" s="804" t="s">
        <v>535</v>
      </c>
      <c r="E594" s="804"/>
      <c r="F594" s="805"/>
      <c r="G594" s="806" t="s">
        <v>594</v>
      </c>
      <c r="H594" s="810" t="s">
        <v>682</v>
      </c>
      <c r="I594" s="811">
        <f>3000</f>
        <v>3000</v>
      </c>
      <c r="J594" s="812">
        <v>1500</v>
      </c>
      <c r="K594" s="812">
        <f>5400-J594</f>
        <v>3900</v>
      </c>
      <c r="L594" s="812">
        <f t="shared" si="20"/>
        <v>5400</v>
      </c>
      <c r="M594" s="812">
        <v>5400</v>
      </c>
    </row>
    <row r="595" spans="1:13" ht="18" customHeight="1">
      <c r="A595" s="803"/>
      <c r="B595" s="804"/>
      <c r="C595" s="804"/>
      <c r="D595" s="804" t="s">
        <v>536</v>
      </c>
      <c r="E595" s="804"/>
      <c r="F595" s="805"/>
      <c r="G595" s="806" t="s">
        <v>595</v>
      </c>
      <c r="H595" s="810" t="s">
        <v>683</v>
      </c>
      <c r="I595" s="811">
        <f>12855</f>
        <v>12855</v>
      </c>
      <c r="J595" s="812">
        <v>7920</v>
      </c>
      <c r="K595" s="812">
        <f>30000-J595</f>
        <v>22080</v>
      </c>
      <c r="L595" s="812">
        <f t="shared" si="20"/>
        <v>30000</v>
      </c>
      <c r="M595" s="812">
        <v>35000</v>
      </c>
    </row>
    <row r="596" spans="1:13" ht="18" customHeight="1">
      <c r="A596" s="803"/>
      <c r="B596" s="804"/>
      <c r="C596" s="804"/>
      <c r="D596" s="804" t="s">
        <v>642</v>
      </c>
      <c r="E596" s="804"/>
      <c r="F596" s="805"/>
      <c r="G596" s="806" t="s">
        <v>596</v>
      </c>
      <c r="H596" s="810" t="s">
        <v>684</v>
      </c>
      <c r="I596" s="811">
        <f>2800</f>
        <v>2800</v>
      </c>
      <c r="J596" s="812">
        <v>1500</v>
      </c>
      <c r="K596" s="812">
        <f>3600-J596</f>
        <v>2100</v>
      </c>
      <c r="L596" s="812">
        <f t="shared" si="20"/>
        <v>3600</v>
      </c>
      <c r="M596" s="812">
        <v>3600</v>
      </c>
    </row>
    <row r="597" spans="1:13" ht="18" hidden="1" customHeight="1">
      <c r="A597" s="803"/>
      <c r="B597" s="804"/>
      <c r="C597" s="804"/>
      <c r="D597" s="804" t="s">
        <v>365</v>
      </c>
      <c r="E597" s="804"/>
      <c r="F597" s="805"/>
      <c r="G597" s="806" t="s">
        <v>597</v>
      </c>
      <c r="H597" s="810" t="s">
        <v>685</v>
      </c>
      <c r="I597" s="811">
        <v>0</v>
      </c>
      <c r="J597" s="812">
        <v>0</v>
      </c>
      <c r="K597" s="812">
        <v>0</v>
      </c>
      <c r="L597" s="812">
        <f t="shared" si="20"/>
        <v>0</v>
      </c>
      <c r="M597" s="812">
        <v>0</v>
      </c>
    </row>
    <row r="598" spans="1:13" ht="18" customHeight="1">
      <c r="A598" s="803"/>
      <c r="B598" s="804"/>
      <c r="C598" s="804"/>
      <c r="D598" s="804" t="s">
        <v>538</v>
      </c>
      <c r="E598" s="804"/>
      <c r="F598" s="805"/>
      <c r="G598" s="806" t="s">
        <v>388</v>
      </c>
      <c r="H598" s="810" t="s">
        <v>696</v>
      </c>
      <c r="I598" s="811">
        <f>301510.59</f>
        <v>301510.59000000003</v>
      </c>
      <c r="J598" s="812">
        <v>0</v>
      </c>
      <c r="K598" s="812">
        <f>0-J598</f>
        <v>0</v>
      </c>
      <c r="L598" s="812">
        <f t="shared" si="20"/>
        <v>0</v>
      </c>
      <c r="M598" s="812">
        <v>0</v>
      </c>
    </row>
    <row r="599" spans="1:13" ht="18" customHeight="1">
      <c r="A599" s="803"/>
      <c r="B599" s="804"/>
      <c r="C599" s="804"/>
      <c r="D599" s="804" t="s">
        <v>1493</v>
      </c>
      <c r="E599" s="804"/>
      <c r="F599" s="805"/>
      <c r="G599" s="806"/>
      <c r="H599" s="810" t="s">
        <v>696</v>
      </c>
      <c r="I599" s="811">
        <f>30000</f>
        <v>30000</v>
      </c>
      <c r="J599" s="812">
        <v>0</v>
      </c>
      <c r="K599" s="812">
        <f>0-J599</f>
        <v>0</v>
      </c>
      <c r="L599" s="812">
        <f t="shared" si="20"/>
        <v>0</v>
      </c>
      <c r="M599" s="812">
        <v>0</v>
      </c>
    </row>
    <row r="600" spans="1:13" ht="18" customHeight="1">
      <c r="A600" s="815"/>
      <c r="B600" s="816"/>
      <c r="C600" s="816"/>
      <c r="D600" s="816" t="s">
        <v>364</v>
      </c>
      <c r="E600" s="816"/>
      <c r="F600" s="817"/>
      <c r="G600" s="818"/>
      <c r="H600" s="847"/>
      <c r="I600" s="819">
        <f>SUM(I580:I599)</f>
        <v>1822120.77</v>
      </c>
      <c r="J600" s="819">
        <f>SUM(J580:J599)</f>
        <v>1073102.8</v>
      </c>
      <c r="K600" s="819">
        <f>SUM(K580:K599)</f>
        <v>1147597.2</v>
      </c>
      <c r="L600" s="819">
        <f>SUM(L580:L599)</f>
        <v>2220700</v>
      </c>
      <c r="M600" s="819">
        <f>SUM(M580:M599)</f>
        <v>2287932</v>
      </c>
    </row>
    <row r="601" spans="1:13" ht="18" customHeight="1">
      <c r="A601" s="803"/>
      <c r="B601" s="804" t="s">
        <v>539</v>
      </c>
      <c r="C601" s="804"/>
      <c r="D601" s="804"/>
      <c r="E601" s="804"/>
      <c r="F601" s="805"/>
      <c r="G601" s="806"/>
      <c r="H601" s="844"/>
      <c r="I601" s="811"/>
      <c r="J601" s="812"/>
      <c r="K601" s="812"/>
      <c r="L601" s="812"/>
      <c r="M601" s="812"/>
    </row>
    <row r="602" spans="1:13" ht="18" customHeight="1">
      <c r="A602" s="803"/>
      <c r="B602" s="804"/>
      <c r="C602" s="804"/>
      <c r="D602" s="804" t="s">
        <v>540</v>
      </c>
      <c r="E602" s="804"/>
      <c r="F602" s="805"/>
      <c r="G602" s="806" t="s">
        <v>376</v>
      </c>
      <c r="H602" s="810" t="s">
        <v>686</v>
      </c>
      <c r="I602" s="811">
        <v>0</v>
      </c>
      <c r="J602" s="812">
        <v>12250</v>
      </c>
      <c r="K602" s="812">
        <f>38000-J602</f>
        <v>25750</v>
      </c>
      <c r="L602" s="812">
        <f t="shared" ref="L602:L609" si="21">SUM(K602+J602)</f>
        <v>38000</v>
      </c>
      <c r="M602" s="812">
        <v>38000</v>
      </c>
    </row>
    <row r="603" spans="1:13" ht="18" customHeight="1">
      <c r="A603" s="803"/>
      <c r="B603" s="804"/>
      <c r="C603" s="804"/>
      <c r="D603" s="804" t="s">
        <v>421</v>
      </c>
      <c r="E603" s="804"/>
      <c r="F603" s="805"/>
      <c r="G603" s="806" t="s">
        <v>377</v>
      </c>
      <c r="H603" s="810" t="s">
        <v>687</v>
      </c>
      <c r="I603" s="811">
        <f>4200</f>
        <v>4200</v>
      </c>
      <c r="J603" s="812">
        <v>1500</v>
      </c>
      <c r="K603" s="812">
        <f>40000-J603</f>
        <v>38500</v>
      </c>
      <c r="L603" s="812">
        <f t="shared" si="21"/>
        <v>40000</v>
      </c>
      <c r="M603" s="812">
        <v>40000</v>
      </c>
    </row>
    <row r="604" spans="1:13" ht="18" customHeight="1">
      <c r="A604" s="803"/>
      <c r="B604" s="804"/>
      <c r="C604" s="804"/>
      <c r="D604" s="804" t="s">
        <v>371</v>
      </c>
      <c r="E604" s="804"/>
      <c r="F604" s="805"/>
      <c r="G604" s="806" t="s">
        <v>379</v>
      </c>
      <c r="H604" s="810" t="s">
        <v>688</v>
      </c>
      <c r="I604" s="811">
        <f>78644</f>
        <v>78644</v>
      </c>
      <c r="J604" s="812">
        <v>60440</v>
      </c>
      <c r="K604" s="812">
        <f>80000-J604</f>
        <v>19560</v>
      </c>
      <c r="L604" s="812">
        <f t="shared" si="21"/>
        <v>80000</v>
      </c>
      <c r="M604" s="812">
        <v>80000</v>
      </c>
    </row>
    <row r="605" spans="1:13" ht="18" hidden="1" customHeight="1">
      <c r="A605" s="803"/>
      <c r="B605" s="804"/>
      <c r="C605" s="804"/>
      <c r="D605" s="804" t="s">
        <v>544</v>
      </c>
      <c r="E605" s="804"/>
      <c r="F605" s="805"/>
      <c r="G605" s="806" t="s">
        <v>601</v>
      </c>
      <c r="H605" s="810" t="s">
        <v>689</v>
      </c>
      <c r="I605" s="811">
        <v>0</v>
      </c>
      <c r="J605" s="812">
        <v>0</v>
      </c>
      <c r="K605" s="812">
        <v>0</v>
      </c>
      <c r="L605" s="812">
        <f t="shared" si="21"/>
        <v>0</v>
      </c>
      <c r="M605" s="812">
        <v>0</v>
      </c>
    </row>
    <row r="606" spans="1:13" ht="18" customHeight="1">
      <c r="A606" s="803"/>
      <c r="B606" s="804"/>
      <c r="C606" s="804"/>
      <c r="D606" s="804" t="s">
        <v>546</v>
      </c>
      <c r="E606" s="804"/>
      <c r="F606" s="805"/>
      <c r="G606" s="806" t="s">
        <v>380</v>
      </c>
      <c r="H606" s="810" t="s">
        <v>690</v>
      </c>
      <c r="I606" s="811">
        <f>36000</f>
        <v>36000</v>
      </c>
      <c r="J606" s="812">
        <v>18000</v>
      </c>
      <c r="K606" s="812">
        <f>36000-J606</f>
        <v>18000</v>
      </c>
      <c r="L606" s="812">
        <f t="shared" si="21"/>
        <v>36000</v>
      </c>
      <c r="M606" s="812">
        <v>36000</v>
      </c>
    </row>
    <row r="607" spans="1:13" ht="18" customHeight="1">
      <c r="A607" s="803"/>
      <c r="B607" s="804"/>
      <c r="C607" s="804"/>
      <c r="D607" s="804" t="s">
        <v>902</v>
      </c>
      <c r="E607" s="804"/>
      <c r="F607" s="805"/>
      <c r="G607" s="806" t="s">
        <v>381</v>
      </c>
      <c r="H607" s="810" t="s">
        <v>691</v>
      </c>
      <c r="I607" s="811">
        <f>29450</f>
        <v>29450</v>
      </c>
      <c r="J607" s="812">
        <v>5200</v>
      </c>
      <c r="K607" s="812">
        <f>30000-J607</f>
        <v>24800</v>
      </c>
      <c r="L607" s="812">
        <f t="shared" si="21"/>
        <v>30000</v>
      </c>
      <c r="M607" s="812">
        <v>30000</v>
      </c>
    </row>
    <row r="608" spans="1:13" ht="18" customHeight="1">
      <c r="A608" s="803"/>
      <c r="B608" s="804"/>
      <c r="C608" s="804"/>
      <c r="D608" s="804" t="s">
        <v>552</v>
      </c>
      <c r="E608" s="804"/>
      <c r="F608" s="805"/>
      <c r="G608" s="806" t="s">
        <v>382</v>
      </c>
      <c r="H608" s="810" t="s">
        <v>692</v>
      </c>
      <c r="I608" s="811">
        <f>2450</f>
        <v>2450</v>
      </c>
      <c r="J608" s="812">
        <v>0</v>
      </c>
      <c r="K608" s="812">
        <f>10000-J608</f>
        <v>10000</v>
      </c>
      <c r="L608" s="812">
        <f t="shared" si="21"/>
        <v>10000</v>
      </c>
      <c r="M608" s="812">
        <v>10000</v>
      </c>
    </row>
    <row r="609" spans="1:13" ht="18" customHeight="1">
      <c r="A609" s="803"/>
      <c r="B609" s="804"/>
      <c r="C609" s="804"/>
      <c r="D609" s="804" t="s">
        <v>1681</v>
      </c>
      <c r="E609" s="804"/>
      <c r="F609" s="805"/>
      <c r="G609" s="806"/>
      <c r="H609" s="810" t="s">
        <v>692</v>
      </c>
      <c r="I609" s="811">
        <f>70000</f>
        <v>70000</v>
      </c>
      <c r="J609" s="812">
        <v>0</v>
      </c>
      <c r="K609" s="812">
        <f>0-J609</f>
        <v>0</v>
      </c>
      <c r="L609" s="812">
        <f t="shared" si="21"/>
        <v>0</v>
      </c>
      <c r="M609" s="812">
        <v>0</v>
      </c>
    </row>
    <row r="610" spans="1:13" ht="18" customHeight="1">
      <c r="A610" s="815"/>
      <c r="B610" s="816"/>
      <c r="C610" s="816"/>
      <c r="D610" s="816" t="s">
        <v>737</v>
      </c>
      <c r="E610" s="816"/>
      <c r="F610" s="817"/>
      <c r="G610" s="818"/>
      <c r="H610" s="847"/>
      <c r="I610" s="819">
        <f>SUM(I602:I609)</f>
        <v>220744</v>
      </c>
      <c r="J610" s="819">
        <f>SUM(J602:J609)</f>
        <v>97390</v>
      </c>
      <c r="K610" s="819">
        <f>SUM(K602:K609)</f>
        <v>136610</v>
      </c>
      <c r="L610" s="819">
        <f>SUM(L602:L609)</f>
        <v>234000</v>
      </c>
      <c r="M610" s="819">
        <f>SUM(M602:M609)</f>
        <v>234000</v>
      </c>
    </row>
    <row r="611" spans="1:13" ht="18" customHeight="1">
      <c r="A611" s="803"/>
      <c r="B611" s="804" t="s">
        <v>553</v>
      </c>
      <c r="C611" s="804"/>
      <c r="D611" s="804"/>
      <c r="E611" s="804"/>
      <c r="F611" s="805"/>
      <c r="G611" s="806"/>
      <c r="H611" s="844"/>
      <c r="I611" s="811"/>
      <c r="J611" s="812"/>
      <c r="K611" s="812"/>
      <c r="L611" s="812"/>
      <c r="M611" s="812"/>
    </row>
    <row r="612" spans="1:13" ht="18" customHeight="1">
      <c r="A612" s="803"/>
      <c r="B612" s="804"/>
      <c r="C612" s="804"/>
      <c r="D612" s="804" t="s">
        <v>829</v>
      </c>
      <c r="E612" s="804"/>
      <c r="F612" s="805"/>
      <c r="G612" s="806" t="s">
        <v>832</v>
      </c>
      <c r="H612" s="810" t="s">
        <v>1527</v>
      </c>
      <c r="I612" s="811">
        <f>180000</f>
        <v>180000</v>
      </c>
      <c r="J612" s="812">
        <v>0</v>
      </c>
      <c r="K612" s="812">
        <f>200000-J612</f>
        <v>200000</v>
      </c>
      <c r="L612" s="812">
        <f>SUM(K612+J612)</f>
        <v>200000</v>
      </c>
      <c r="M612" s="812">
        <v>0</v>
      </c>
    </row>
    <row r="613" spans="1:13" ht="18" customHeight="1">
      <c r="A613" s="803"/>
      <c r="B613" s="804"/>
      <c r="C613" s="804"/>
      <c r="D613" s="804" t="s">
        <v>839</v>
      </c>
      <c r="E613" s="804"/>
      <c r="F613" s="805"/>
      <c r="G613" s="806"/>
      <c r="H613" s="810" t="s">
        <v>840</v>
      </c>
      <c r="I613" s="811">
        <f>18990</f>
        <v>18990</v>
      </c>
      <c r="J613" s="812">
        <v>0</v>
      </c>
      <c r="K613" s="812">
        <f>20000-J613</f>
        <v>20000</v>
      </c>
      <c r="L613" s="812">
        <f>SUM(K613+J613)</f>
        <v>20000</v>
      </c>
      <c r="M613" s="812">
        <v>0</v>
      </c>
    </row>
    <row r="614" spans="1:13" ht="18" hidden="1" customHeight="1">
      <c r="A614" s="803"/>
      <c r="B614" s="804"/>
      <c r="C614" s="804"/>
      <c r="D614" s="804" t="s">
        <v>933</v>
      </c>
      <c r="E614" s="804"/>
      <c r="F614" s="805"/>
      <c r="G614" s="806"/>
      <c r="H614" s="810" t="s">
        <v>934</v>
      </c>
      <c r="I614" s="811">
        <v>0</v>
      </c>
      <c r="J614" s="812">
        <v>0</v>
      </c>
      <c r="K614" s="812">
        <f>0-J614</f>
        <v>0</v>
      </c>
      <c r="L614" s="812">
        <f>SUM(K614+J614)</f>
        <v>0</v>
      </c>
      <c r="M614" s="812">
        <v>0</v>
      </c>
    </row>
    <row r="615" spans="1:13" ht="18" hidden="1" customHeight="1">
      <c r="A615" s="803"/>
      <c r="B615" s="804"/>
      <c r="C615" s="804"/>
      <c r="D615" s="804" t="s">
        <v>833</v>
      </c>
      <c r="E615" s="804"/>
      <c r="F615" s="805"/>
      <c r="G615" s="806" t="s">
        <v>834</v>
      </c>
      <c r="H615" s="810" t="s">
        <v>835</v>
      </c>
      <c r="I615" s="811">
        <v>0</v>
      </c>
      <c r="J615" s="812">
        <v>0</v>
      </c>
      <c r="K615" s="812">
        <f>0-J615</f>
        <v>0</v>
      </c>
      <c r="L615" s="812">
        <f>SUM(K615+J615)</f>
        <v>0</v>
      </c>
      <c r="M615" s="812">
        <v>0</v>
      </c>
    </row>
    <row r="616" spans="1:13" ht="18" customHeight="1">
      <c r="A616" s="815"/>
      <c r="B616" s="816"/>
      <c r="C616" s="816"/>
      <c r="D616" s="816" t="s">
        <v>782</v>
      </c>
      <c r="E616" s="816"/>
      <c r="F616" s="817"/>
      <c r="G616" s="818"/>
      <c r="H616" s="847"/>
      <c r="I616" s="819">
        <f>SUM(I612:I615)</f>
        <v>198990</v>
      </c>
      <c r="J616" s="819">
        <f>SUM(J612:J615)</f>
        <v>0</v>
      </c>
      <c r="K616" s="819">
        <f>SUM(K612:K615)</f>
        <v>220000</v>
      </c>
      <c r="L616" s="819">
        <f>SUM(L612:L615)</f>
        <v>220000</v>
      </c>
      <c r="M616" s="819">
        <f>SUM(M612:M615)</f>
        <v>0</v>
      </c>
    </row>
    <row r="617" spans="1:13" ht="18" customHeight="1">
      <c r="A617" s="815"/>
      <c r="B617" s="816"/>
      <c r="C617" s="816"/>
      <c r="D617" s="816"/>
      <c r="E617" s="816"/>
      <c r="F617" s="817"/>
      <c r="G617" s="818"/>
      <c r="H617" s="847"/>
      <c r="I617" s="819"/>
      <c r="J617" s="822"/>
      <c r="K617" s="822"/>
      <c r="L617" s="822"/>
      <c r="M617" s="822"/>
    </row>
    <row r="618" spans="1:13" ht="18" customHeight="1">
      <c r="A618" s="823" t="s">
        <v>613</v>
      </c>
      <c r="B618" s="824"/>
      <c r="C618" s="824"/>
      <c r="D618" s="824"/>
      <c r="E618" s="824"/>
      <c r="F618" s="825"/>
      <c r="G618" s="826"/>
      <c r="H618" s="848"/>
      <c r="I618" s="828">
        <f>SUM(I616+I610+I600)</f>
        <v>2241854.77</v>
      </c>
      <c r="J618" s="828">
        <f>SUM(J616+J610+J600)</f>
        <v>1170492.8</v>
      </c>
      <c r="K618" s="828">
        <f>SUM(K616+K610+K600)</f>
        <v>1504207.2</v>
      </c>
      <c r="L618" s="828">
        <f>SUM(L616+L610+L600)</f>
        <v>2674700</v>
      </c>
      <c r="M618" s="828">
        <f>SUM(M616+M610+M600)</f>
        <v>2521932</v>
      </c>
    </row>
    <row r="619" spans="1:13" ht="18" customHeight="1">
      <c r="A619" s="791"/>
      <c r="B619" s="829"/>
      <c r="C619" s="791"/>
      <c r="D619" s="791"/>
      <c r="E619" s="791"/>
      <c r="F619" s="791"/>
      <c r="G619" s="791"/>
      <c r="H619" s="830"/>
      <c r="I619" s="967"/>
      <c r="J619" s="831"/>
      <c r="K619" s="831"/>
      <c r="L619" s="831"/>
      <c r="M619" s="831"/>
    </row>
    <row r="620" spans="1:13" s="1329" customFormat="1" ht="18" customHeight="1">
      <c r="A620" s="1484" t="s">
        <v>1796</v>
      </c>
      <c r="B620" s="1484"/>
      <c r="C620" s="1484"/>
      <c r="D620" s="1484"/>
      <c r="E620" s="1484"/>
      <c r="F620" s="1484"/>
      <c r="G620" s="1484"/>
      <c r="H620" s="1484"/>
      <c r="I620" s="1484"/>
      <c r="J620" s="1484"/>
      <c r="K620" s="1484"/>
      <c r="L620" s="1484"/>
      <c r="M620" s="1484"/>
    </row>
    <row r="621" spans="1:13" s="1329" customFormat="1" ht="18" customHeight="1">
      <c r="A621" s="1331"/>
      <c r="B621" s="1332"/>
      <c r="C621" s="1331"/>
      <c r="D621" s="1331"/>
      <c r="E621" s="1331"/>
      <c r="F621" s="1331"/>
      <c r="G621" s="1331"/>
      <c r="H621" s="1328"/>
      <c r="I621" s="1328"/>
      <c r="J621" s="831"/>
      <c r="K621" s="831"/>
      <c r="L621" s="831"/>
      <c r="M621" s="831"/>
    </row>
    <row r="622" spans="1:13" s="1323" customFormat="1" ht="18" customHeight="1"/>
    <row r="623" spans="1:13" s="1323" customFormat="1" ht="18" customHeight="1"/>
    <row r="624" spans="1:13" s="1323" customFormat="1" ht="18" customHeight="1"/>
    <row r="625" spans="1:14" s="1323" customFormat="1" ht="18" customHeight="1"/>
    <row r="626" spans="1:14" s="1336" customFormat="1" ht="20.100000000000001" customHeight="1">
      <c r="A626" s="1485" t="s">
        <v>1576</v>
      </c>
      <c r="B626" s="1485"/>
      <c r="C626" s="1485"/>
      <c r="D626" s="1485"/>
      <c r="E626" s="1485"/>
      <c r="F626" s="1485"/>
      <c r="G626" s="1485"/>
      <c r="H626" s="1485"/>
      <c r="I626" s="1485"/>
      <c r="J626" s="1485"/>
      <c r="K626" s="1485"/>
      <c r="L626" s="1485"/>
      <c r="M626" s="1485"/>
    </row>
    <row r="627" spans="1:14" s="778" customFormat="1" ht="18" customHeight="1"/>
    <row r="628" spans="1:14" s="1253" customFormat="1" ht="15" customHeight="1">
      <c r="A628" s="1467" t="s">
        <v>861</v>
      </c>
      <c r="B628" s="1467"/>
      <c r="C628" s="1467"/>
      <c r="D628" s="1467"/>
      <c r="E628" s="1467"/>
      <c r="F628" s="1467"/>
      <c r="G628" s="1467"/>
      <c r="H628" s="1467"/>
      <c r="I628" s="1467"/>
      <c r="J628" s="1467"/>
      <c r="K628" s="1467"/>
      <c r="L628" s="1467"/>
      <c r="M628" s="1467"/>
      <c r="N628" s="1319"/>
    </row>
    <row r="629" spans="1:14" s="1253" customFormat="1" ht="15" customHeight="1">
      <c r="A629" s="1467" t="s">
        <v>174</v>
      </c>
      <c r="B629" s="1467"/>
      <c r="C629" s="1467"/>
      <c r="D629" s="1467"/>
      <c r="E629" s="1467"/>
      <c r="F629" s="1467"/>
      <c r="G629" s="1467"/>
      <c r="H629" s="1467"/>
      <c r="I629" s="1467"/>
      <c r="J629" s="1467"/>
      <c r="K629" s="1467"/>
      <c r="L629" s="1467"/>
      <c r="M629" s="1467"/>
      <c r="N629" s="1319"/>
    </row>
    <row r="630" spans="1:14" s="1253" customFormat="1" ht="15" customHeight="1">
      <c r="A630" s="1467" t="s">
        <v>1780</v>
      </c>
      <c r="B630" s="1467"/>
      <c r="C630" s="1467"/>
      <c r="D630" s="1467"/>
      <c r="E630" s="1467"/>
      <c r="F630" s="1467"/>
      <c r="G630" s="1467"/>
      <c r="H630" s="1467"/>
      <c r="I630" s="1467"/>
      <c r="J630" s="1467"/>
      <c r="K630" s="1467"/>
      <c r="L630" s="1467"/>
      <c r="M630" s="1467"/>
      <c r="N630" s="1319"/>
    </row>
    <row r="631" spans="1:14" s="1253" customFormat="1" ht="15" customHeight="1">
      <c r="A631" s="1467"/>
      <c r="B631" s="1467"/>
      <c r="C631" s="1467"/>
      <c r="D631" s="1467"/>
      <c r="E631" s="1467"/>
      <c r="F631" s="1467"/>
      <c r="G631" s="1467"/>
      <c r="H631" s="1467"/>
      <c r="I631" s="1467"/>
      <c r="J631" s="1467"/>
      <c r="K631" s="1467"/>
      <c r="L631" s="1467"/>
      <c r="M631" s="1467"/>
      <c r="N631" s="1319"/>
    </row>
    <row r="632" spans="1:14" s="1253" customFormat="1" ht="15" customHeight="1">
      <c r="A632" s="1254"/>
      <c r="B632" s="1254"/>
      <c r="C632" s="1254"/>
      <c r="D632" s="1254"/>
      <c r="E632" s="1254"/>
      <c r="F632" s="1254"/>
      <c r="G632" s="1254"/>
      <c r="H632" s="1254"/>
      <c r="I632" s="1254"/>
      <c r="J632" s="1254"/>
      <c r="K632" s="1254"/>
      <c r="L632" s="1254"/>
      <c r="M632" s="1254"/>
      <c r="N632" s="1319"/>
    </row>
    <row r="633" spans="1:14" s="1253" customFormat="1" ht="15" customHeight="1">
      <c r="A633" s="1254"/>
      <c r="B633" s="1254"/>
      <c r="C633" s="1254"/>
      <c r="D633" s="1254"/>
      <c r="E633" s="1254"/>
      <c r="F633" s="1254"/>
      <c r="G633" s="1254"/>
      <c r="H633" s="1254"/>
      <c r="I633" s="1254"/>
      <c r="J633" s="1254"/>
      <c r="K633" s="1254"/>
      <c r="L633" s="1254"/>
      <c r="M633" s="1254"/>
      <c r="N633" s="1319"/>
    </row>
    <row r="634" spans="1:14" s="1253" customFormat="1" ht="15" customHeight="1">
      <c r="A634" s="1254"/>
      <c r="B634" s="1254"/>
      <c r="C634" s="1254"/>
      <c r="D634" s="1254"/>
      <c r="E634" s="1254"/>
      <c r="F634" s="1254"/>
      <c r="G634" s="1254"/>
      <c r="H634" s="1254"/>
      <c r="I634" s="1254"/>
      <c r="J634" s="1254"/>
      <c r="K634" s="1254"/>
      <c r="L634" s="1254"/>
      <c r="M634" s="1254"/>
      <c r="N634" s="1319"/>
    </row>
    <row r="635" spans="1:14" s="1253" customFormat="1" ht="18" customHeight="1">
      <c r="A635" s="1468" t="s">
        <v>1781</v>
      </c>
      <c r="B635" s="1468"/>
      <c r="C635" s="1468"/>
      <c r="D635" s="1468"/>
      <c r="E635" s="1468"/>
      <c r="F635" s="1468"/>
      <c r="G635" s="1468"/>
      <c r="H635" s="1468"/>
      <c r="I635" s="1468"/>
      <c r="J635" s="1468"/>
      <c r="K635" s="1468"/>
      <c r="L635" s="1468"/>
      <c r="M635" s="1468"/>
      <c r="N635" s="1320"/>
    </row>
    <row r="636" spans="1:14" s="1253" customFormat="1">
      <c r="A636" s="1469" t="s">
        <v>1817</v>
      </c>
      <c r="B636" s="1469"/>
      <c r="C636" s="1469"/>
      <c r="D636" s="1469"/>
      <c r="E636" s="1469"/>
      <c r="F636" s="1469"/>
      <c r="G636" s="1469"/>
      <c r="H636" s="1469"/>
      <c r="I636" s="1469"/>
      <c r="J636" s="1469"/>
      <c r="K636" s="1469"/>
      <c r="L636" s="1469"/>
      <c r="M636" s="1469"/>
      <c r="N636" s="1321"/>
    </row>
    <row r="637" spans="1:14" s="1253" customFormat="1" ht="15.75">
      <c r="A637" s="1253" t="s">
        <v>1842</v>
      </c>
      <c r="G637" s="1254"/>
      <c r="I637" s="1255"/>
      <c r="L637" s="1256"/>
      <c r="M637" s="1256"/>
    </row>
    <row r="638" spans="1:14" s="1253" customFormat="1" ht="15.75">
      <c r="A638" s="1253" t="s">
        <v>1811</v>
      </c>
      <c r="G638" s="1254"/>
      <c r="I638" s="1255"/>
      <c r="L638" s="1256"/>
      <c r="M638" s="1256"/>
    </row>
    <row r="639" spans="1:14" s="1253" customFormat="1" ht="8.1" customHeight="1">
      <c r="A639" s="1257" t="s">
        <v>1812</v>
      </c>
      <c r="G639" s="1254"/>
      <c r="I639" s="1255"/>
      <c r="L639" s="1256"/>
      <c r="M639" s="1256"/>
    </row>
    <row r="640" spans="1:14" s="1394" customFormat="1" ht="15.75" customHeight="1">
      <c r="A640" s="1394" t="s">
        <v>1843</v>
      </c>
      <c r="C640" s="1483" t="s">
        <v>1844</v>
      </c>
      <c r="D640" s="1483"/>
      <c r="E640" s="1483"/>
      <c r="F640" s="1483"/>
      <c r="G640" s="1483"/>
      <c r="H640" s="1483"/>
      <c r="I640" s="1483"/>
      <c r="J640" s="1483"/>
      <c r="K640" s="1483"/>
      <c r="L640" s="1483"/>
      <c r="M640" s="1483"/>
      <c r="N640" s="1396"/>
    </row>
    <row r="641" spans="1:14" s="1253" customFormat="1" ht="15.75" customHeight="1">
      <c r="C641" s="1483"/>
      <c r="D641" s="1483"/>
      <c r="E641" s="1483"/>
      <c r="F641" s="1483"/>
      <c r="G641" s="1483"/>
      <c r="H641" s="1483"/>
      <c r="I641" s="1483"/>
      <c r="J641" s="1483"/>
      <c r="K641" s="1483"/>
      <c r="L641" s="1483"/>
      <c r="M641" s="1483"/>
      <c r="N641" s="1322"/>
    </row>
    <row r="642" spans="1:14" s="778" customFormat="1" ht="18" customHeight="1" thickBot="1">
      <c r="A642" s="1506"/>
      <c r="B642" s="1506"/>
      <c r="C642" s="1506"/>
      <c r="D642" s="1506"/>
      <c r="E642" s="1506"/>
      <c r="F642" s="1506"/>
      <c r="G642" s="1506"/>
      <c r="H642" s="1506"/>
      <c r="I642" s="1506"/>
      <c r="J642" s="1506"/>
      <c r="K642" s="1506"/>
      <c r="L642" s="1506"/>
      <c r="M642" s="1506"/>
    </row>
    <row r="643" spans="1:14" ht="18" customHeight="1">
      <c r="A643" s="780"/>
      <c r="B643" s="781"/>
      <c r="C643" s="781"/>
      <c r="D643" s="781"/>
      <c r="E643" s="781"/>
      <c r="F643" s="782"/>
      <c r="G643" s="783"/>
      <c r="H643" s="784"/>
      <c r="I643" s="784" t="s">
        <v>6</v>
      </c>
      <c r="J643" s="1488" t="s">
        <v>1914</v>
      </c>
      <c r="K643" s="1489"/>
      <c r="L643" s="1490"/>
      <c r="M643" s="785" t="s">
        <v>7</v>
      </c>
    </row>
    <row r="644" spans="1:14" ht="18" customHeight="1">
      <c r="A644" s="1491"/>
      <c r="B644" s="1492"/>
      <c r="C644" s="1492"/>
      <c r="D644" s="1492"/>
      <c r="E644" s="1492"/>
      <c r="F644" s="1493"/>
      <c r="G644" s="1371"/>
      <c r="H644" s="786"/>
      <c r="I644" s="786">
        <v>2021</v>
      </c>
      <c r="J644" s="786" t="s">
        <v>560</v>
      </c>
      <c r="K644" s="786" t="s">
        <v>561</v>
      </c>
      <c r="L644" s="786">
        <v>2022</v>
      </c>
      <c r="M644" s="787">
        <v>2023</v>
      </c>
    </row>
    <row r="645" spans="1:14" ht="18" customHeight="1">
      <c r="A645" s="1491" t="s">
        <v>21</v>
      </c>
      <c r="B645" s="1492"/>
      <c r="C645" s="1492"/>
      <c r="D645" s="1492"/>
      <c r="E645" s="1492"/>
      <c r="F645" s="1493"/>
      <c r="G645" s="788"/>
      <c r="H645" s="789" t="s">
        <v>612</v>
      </c>
      <c r="I645" s="786" t="s">
        <v>909</v>
      </c>
      <c r="J645" s="786" t="s">
        <v>559</v>
      </c>
      <c r="K645" s="786" t="s">
        <v>562</v>
      </c>
      <c r="L645" s="786" t="s">
        <v>909</v>
      </c>
      <c r="M645" s="787" t="s">
        <v>909</v>
      </c>
    </row>
    <row r="646" spans="1:14" ht="18" customHeight="1">
      <c r="A646" s="790"/>
      <c r="B646" s="791"/>
      <c r="C646" s="791"/>
      <c r="D646" s="791"/>
      <c r="E646" s="791"/>
      <c r="F646" s="792"/>
      <c r="G646" s="788"/>
      <c r="H646" s="786"/>
      <c r="I646" s="786" t="s">
        <v>559</v>
      </c>
      <c r="J646" s="786">
        <v>2022</v>
      </c>
      <c r="K646" s="786">
        <v>2022</v>
      </c>
      <c r="L646" s="786" t="s">
        <v>910</v>
      </c>
      <c r="M646" s="787" t="s">
        <v>564</v>
      </c>
    </row>
    <row r="647" spans="1:14" ht="18" customHeight="1" thickBot="1">
      <c r="A647" s="1497"/>
      <c r="B647" s="1498"/>
      <c r="C647" s="1498"/>
      <c r="D647" s="1498"/>
      <c r="E647" s="1498"/>
      <c r="F647" s="1499"/>
      <c r="G647" s="1372"/>
      <c r="H647" s="793"/>
      <c r="I647" s="1393"/>
      <c r="J647" s="793"/>
      <c r="K647" s="793"/>
      <c r="L647" s="793"/>
      <c r="M647" s="794"/>
    </row>
    <row r="648" spans="1:14" ht="18" customHeight="1">
      <c r="A648" s="795"/>
      <c r="B648" s="796" t="s">
        <v>359</v>
      </c>
      <c r="C648" s="797"/>
      <c r="D648" s="796"/>
      <c r="E648" s="796"/>
      <c r="F648" s="798"/>
      <c r="G648" s="799"/>
      <c r="H648" s="841"/>
      <c r="I648" s="842"/>
      <c r="J648" s="843"/>
      <c r="K648" s="843"/>
      <c r="L648" s="843"/>
      <c r="M648" s="843"/>
    </row>
    <row r="649" spans="1:14" ht="18" customHeight="1">
      <c r="A649" s="803"/>
      <c r="B649" s="804"/>
      <c r="C649" s="804" t="s">
        <v>515</v>
      </c>
      <c r="D649" s="804"/>
      <c r="E649" s="804"/>
      <c r="F649" s="805"/>
      <c r="G649" s="806"/>
      <c r="H649" s="844"/>
      <c r="I649" s="845"/>
      <c r="J649" s="846"/>
      <c r="K649" s="846"/>
      <c r="L649" s="846"/>
      <c r="M649" s="846"/>
    </row>
    <row r="650" spans="1:14" ht="18" customHeight="1">
      <c r="A650" s="803"/>
      <c r="B650" s="804"/>
      <c r="C650" s="804"/>
      <c r="D650" s="804" t="s">
        <v>516</v>
      </c>
      <c r="E650" s="804"/>
      <c r="F650" s="805"/>
      <c r="G650" s="806" t="s">
        <v>582</v>
      </c>
      <c r="H650" s="810" t="s">
        <v>672</v>
      </c>
      <c r="I650" s="811">
        <f>1666991.51</f>
        <v>1666991.51</v>
      </c>
      <c r="J650" s="812">
        <v>1007186.02</v>
      </c>
      <c r="K650" s="812">
        <f>2952912-J650</f>
        <v>1945725.98</v>
      </c>
      <c r="L650" s="812">
        <f>SUM(K650+J650)</f>
        <v>2952912</v>
      </c>
      <c r="M650" s="812">
        <v>3059352</v>
      </c>
    </row>
    <row r="651" spans="1:14" ht="18" customHeight="1">
      <c r="A651" s="803"/>
      <c r="B651" s="804"/>
      <c r="C651" s="804" t="s">
        <v>517</v>
      </c>
      <c r="D651" s="804"/>
      <c r="E651" s="804"/>
      <c r="F651" s="805"/>
      <c r="G651" s="806"/>
      <c r="H651" s="844"/>
      <c r="I651" s="811"/>
      <c r="J651" s="812"/>
      <c r="K651" s="812"/>
      <c r="L651" s="812"/>
      <c r="M651" s="812"/>
    </row>
    <row r="652" spans="1:14" ht="18" customHeight="1">
      <c r="A652" s="803"/>
      <c r="B652" s="804"/>
      <c r="C652" s="804"/>
      <c r="D652" s="804" t="s">
        <v>518</v>
      </c>
      <c r="E652" s="804"/>
      <c r="F652" s="805"/>
      <c r="G652" s="806" t="s">
        <v>583</v>
      </c>
      <c r="H652" s="810" t="s">
        <v>673</v>
      </c>
      <c r="I652" s="811">
        <f>96000</f>
        <v>96000</v>
      </c>
      <c r="J652" s="812">
        <v>54000</v>
      </c>
      <c r="K652" s="812">
        <f>192000-J652</f>
        <v>138000</v>
      </c>
      <c r="L652" s="812">
        <f t="shared" ref="L652:L670" si="22">SUM(K652+J652)</f>
        <v>192000</v>
      </c>
      <c r="M652" s="812">
        <v>192000</v>
      </c>
    </row>
    <row r="653" spans="1:14" ht="18" customHeight="1">
      <c r="A653" s="803"/>
      <c r="B653" s="804"/>
      <c r="C653" s="804"/>
      <c r="D653" s="804" t="s">
        <v>528</v>
      </c>
      <c r="E653" s="804"/>
      <c r="F653" s="805"/>
      <c r="G653" s="806" t="s">
        <v>584</v>
      </c>
      <c r="H653" s="810" t="s">
        <v>674</v>
      </c>
      <c r="I653" s="811">
        <v>76500</v>
      </c>
      <c r="J653" s="812">
        <v>38250</v>
      </c>
      <c r="K653" s="812">
        <f>76500-J653</f>
        <v>38250</v>
      </c>
      <c r="L653" s="812">
        <f t="shared" si="22"/>
        <v>76500</v>
      </c>
      <c r="M653" s="812">
        <v>76500</v>
      </c>
    </row>
    <row r="654" spans="1:14" ht="18" customHeight="1">
      <c r="A654" s="803"/>
      <c r="B654" s="804"/>
      <c r="C654" s="804"/>
      <c r="D654" s="804" t="s">
        <v>527</v>
      </c>
      <c r="E654" s="804"/>
      <c r="F654" s="805"/>
      <c r="G654" s="806" t="s">
        <v>585</v>
      </c>
      <c r="H654" s="810" t="s">
        <v>675</v>
      </c>
      <c r="I654" s="811">
        <v>76500</v>
      </c>
      <c r="J654" s="812">
        <v>38250</v>
      </c>
      <c r="K654" s="812">
        <f>76500-J654</f>
        <v>38250</v>
      </c>
      <c r="L654" s="812">
        <f t="shared" si="22"/>
        <v>76500</v>
      </c>
      <c r="M654" s="812">
        <v>76500</v>
      </c>
    </row>
    <row r="655" spans="1:14" ht="18" customHeight="1">
      <c r="A655" s="803"/>
      <c r="B655" s="804"/>
      <c r="C655" s="804"/>
      <c r="D655" s="804" t="s">
        <v>529</v>
      </c>
      <c r="E655" s="804"/>
      <c r="F655" s="805"/>
      <c r="G655" s="806" t="s">
        <v>586</v>
      </c>
      <c r="H655" s="810" t="s">
        <v>676</v>
      </c>
      <c r="I655" s="811">
        <v>24000</v>
      </c>
      <c r="J655" s="812">
        <v>24000</v>
      </c>
      <c r="K655" s="812">
        <f>48000-J655</f>
        <v>24000</v>
      </c>
      <c r="L655" s="812">
        <f t="shared" si="22"/>
        <v>48000</v>
      </c>
      <c r="M655" s="812">
        <v>48000</v>
      </c>
    </row>
    <row r="656" spans="1:14" ht="18" customHeight="1">
      <c r="A656" s="803"/>
      <c r="B656" s="804"/>
      <c r="C656" s="804"/>
      <c r="D656" s="804" t="s">
        <v>1495</v>
      </c>
      <c r="E656" s="804"/>
      <c r="F656" s="805"/>
      <c r="G656" s="806" t="s">
        <v>587</v>
      </c>
      <c r="H656" s="810" t="s">
        <v>693</v>
      </c>
      <c r="I656" s="811">
        <f>44425</f>
        <v>44425</v>
      </c>
      <c r="J656" s="812">
        <v>18450</v>
      </c>
      <c r="K656" s="812">
        <f>108000-J656</f>
        <v>89550</v>
      </c>
      <c r="L656" s="812">
        <f t="shared" si="22"/>
        <v>108000</v>
      </c>
      <c r="M656" s="812">
        <v>108000</v>
      </c>
    </row>
    <row r="657" spans="1:13" ht="18" customHeight="1">
      <c r="A657" s="803"/>
      <c r="B657" s="804"/>
      <c r="C657" s="804"/>
      <c r="D657" s="804" t="s">
        <v>670</v>
      </c>
      <c r="E657" s="804"/>
      <c r="F657" s="805"/>
      <c r="G657" s="806" t="s">
        <v>588</v>
      </c>
      <c r="H657" s="810" t="s">
        <v>677</v>
      </c>
      <c r="I657" s="811">
        <v>20000</v>
      </c>
      <c r="J657" s="812">
        <v>0</v>
      </c>
      <c r="K657" s="812">
        <f>40000-J657</f>
        <v>40000</v>
      </c>
      <c r="L657" s="812">
        <f t="shared" si="22"/>
        <v>40000</v>
      </c>
      <c r="M657" s="812">
        <v>40000</v>
      </c>
    </row>
    <row r="658" spans="1:13" ht="18" customHeight="1">
      <c r="A658" s="803"/>
      <c r="B658" s="804"/>
      <c r="C658" s="804"/>
      <c r="D658" s="804" t="s">
        <v>531</v>
      </c>
      <c r="E658" s="804"/>
      <c r="F658" s="805"/>
      <c r="G658" s="806" t="s">
        <v>425</v>
      </c>
      <c r="H658" s="810" t="s">
        <v>678</v>
      </c>
      <c r="I658" s="811">
        <f>5000</f>
        <v>5000</v>
      </c>
      <c r="J658" s="812">
        <v>0</v>
      </c>
      <c r="K658" s="812">
        <f>0-J658</f>
        <v>0</v>
      </c>
      <c r="L658" s="812">
        <f t="shared" si="22"/>
        <v>0</v>
      </c>
      <c r="M658" s="812">
        <v>0</v>
      </c>
    </row>
    <row r="659" spans="1:13" ht="18" customHeight="1">
      <c r="A659" s="803"/>
      <c r="B659" s="804"/>
      <c r="C659" s="804"/>
      <c r="D659" s="804" t="s">
        <v>1580</v>
      </c>
      <c r="E659" s="804"/>
      <c r="F659" s="805"/>
      <c r="G659" s="806" t="s">
        <v>425</v>
      </c>
      <c r="H659" s="810" t="s">
        <v>678</v>
      </c>
      <c r="I659" s="811">
        <f>12000</f>
        <v>12000</v>
      </c>
      <c r="J659" s="812">
        <v>0</v>
      </c>
      <c r="K659" s="812">
        <f>0-J659</f>
        <v>0</v>
      </c>
      <c r="L659" s="812">
        <f t="shared" si="22"/>
        <v>0</v>
      </c>
      <c r="M659" s="812">
        <v>0</v>
      </c>
    </row>
    <row r="660" spans="1:13" ht="18" hidden="1" customHeight="1">
      <c r="A660" s="803"/>
      <c r="B660" s="804"/>
      <c r="C660" s="804"/>
      <c r="D660" s="804" t="s">
        <v>1492</v>
      </c>
      <c r="E660" s="804"/>
      <c r="F660" s="805"/>
      <c r="G660" s="806"/>
      <c r="H660" s="810" t="s">
        <v>678</v>
      </c>
      <c r="I660" s="811">
        <v>0</v>
      </c>
      <c r="J660" s="812">
        <v>0</v>
      </c>
      <c r="K660" s="812">
        <v>0</v>
      </c>
      <c r="L660" s="812">
        <f t="shared" si="22"/>
        <v>0</v>
      </c>
      <c r="M660" s="812">
        <v>0</v>
      </c>
    </row>
    <row r="661" spans="1:13" ht="18" customHeight="1">
      <c r="A661" s="803"/>
      <c r="B661" s="804"/>
      <c r="C661" s="804"/>
      <c r="D661" s="804" t="s">
        <v>532</v>
      </c>
      <c r="E661" s="804"/>
      <c r="F661" s="805"/>
      <c r="G661" s="806" t="s">
        <v>589</v>
      </c>
      <c r="H661" s="810" t="s">
        <v>694</v>
      </c>
      <c r="I661" s="811">
        <f>105842</f>
        <v>105842</v>
      </c>
      <c r="J661" s="812">
        <v>49895.4</v>
      </c>
      <c r="K661" s="812">
        <f>167080.8-J661</f>
        <v>117185.4</v>
      </c>
      <c r="L661" s="812">
        <f t="shared" si="22"/>
        <v>167080.79999999999</v>
      </c>
      <c r="M661" s="812">
        <v>167080.79999999999</v>
      </c>
    </row>
    <row r="662" spans="1:13" ht="18" customHeight="1">
      <c r="A662" s="803"/>
      <c r="B662" s="804"/>
      <c r="C662" s="804"/>
      <c r="D662" s="804" t="s">
        <v>533</v>
      </c>
      <c r="E662" s="804"/>
      <c r="F662" s="805"/>
      <c r="G662" s="806" t="s">
        <v>591</v>
      </c>
      <c r="H662" s="810" t="s">
        <v>679</v>
      </c>
      <c r="I662" s="811">
        <f>20000</f>
        <v>20000</v>
      </c>
      <c r="J662" s="812">
        <v>0</v>
      </c>
      <c r="K662" s="812">
        <f>40000-J662</f>
        <v>40000</v>
      </c>
      <c r="L662" s="812">
        <f t="shared" si="22"/>
        <v>40000</v>
      </c>
      <c r="M662" s="812">
        <v>40000</v>
      </c>
    </row>
    <row r="663" spans="1:13" ht="18" customHeight="1">
      <c r="A663" s="803"/>
      <c r="B663" s="804"/>
      <c r="C663" s="804"/>
      <c r="D663" s="804" t="s">
        <v>790</v>
      </c>
      <c r="E663" s="804"/>
      <c r="F663" s="804"/>
      <c r="G663" s="814" t="s">
        <v>425</v>
      </c>
      <c r="H663" s="810" t="s">
        <v>678</v>
      </c>
      <c r="I663" s="811">
        <f>138682</f>
        <v>138682</v>
      </c>
      <c r="J663" s="812">
        <v>186293</v>
      </c>
      <c r="K663" s="812">
        <f>246076-J663</f>
        <v>59783</v>
      </c>
      <c r="L663" s="812">
        <f t="shared" si="22"/>
        <v>246076</v>
      </c>
      <c r="M663" s="812">
        <v>254946</v>
      </c>
    </row>
    <row r="664" spans="1:13" ht="18" customHeight="1">
      <c r="A664" s="803"/>
      <c r="B664" s="804"/>
      <c r="C664" s="804"/>
      <c r="D664" s="804" t="s">
        <v>534</v>
      </c>
      <c r="E664" s="804"/>
      <c r="F664" s="805"/>
      <c r="G664" s="806" t="s">
        <v>592</v>
      </c>
      <c r="H664" s="810" t="s">
        <v>680</v>
      </c>
      <c r="I664" s="811">
        <f>139166</f>
        <v>139166</v>
      </c>
      <c r="J664" s="812">
        <v>0</v>
      </c>
      <c r="K664" s="812">
        <f>246076-J664</f>
        <v>246076</v>
      </c>
      <c r="L664" s="812">
        <f t="shared" si="22"/>
        <v>246076</v>
      </c>
      <c r="M664" s="812">
        <v>254946</v>
      </c>
    </row>
    <row r="665" spans="1:13" ht="18" customHeight="1">
      <c r="A665" s="803"/>
      <c r="B665" s="804"/>
      <c r="C665" s="804"/>
      <c r="D665" s="804" t="s">
        <v>646</v>
      </c>
      <c r="E665" s="804"/>
      <c r="F665" s="805"/>
      <c r="G665" s="806" t="s">
        <v>593</v>
      </c>
      <c r="H665" s="810" t="s">
        <v>681</v>
      </c>
      <c r="I665" s="811">
        <f>197947.44</f>
        <v>197947.44</v>
      </c>
      <c r="J665" s="812">
        <v>83209.2</v>
      </c>
      <c r="K665" s="812">
        <f>356150-J665</f>
        <v>272940.79999999999</v>
      </c>
      <c r="L665" s="812">
        <f t="shared" si="22"/>
        <v>356150</v>
      </c>
      <c r="M665" s="812">
        <v>367500</v>
      </c>
    </row>
    <row r="666" spans="1:13" ht="18" customHeight="1">
      <c r="A666" s="803"/>
      <c r="B666" s="804"/>
      <c r="C666" s="804"/>
      <c r="D666" s="804" t="s">
        <v>535</v>
      </c>
      <c r="E666" s="804"/>
      <c r="F666" s="805"/>
      <c r="G666" s="806" t="s">
        <v>594</v>
      </c>
      <c r="H666" s="810" t="s">
        <v>682</v>
      </c>
      <c r="I666" s="811">
        <f>4800</f>
        <v>4800</v>
      </c>
      <c r="J666" s="812">
        <v>2200</v>
      </c>
      <c r="K666" s="812">
        <f>14400-J666</f>
        <v>12200</v>
      </c>
      <c r="L666" s="812">
        <f t="shared" si="22"/>
        <v>14400</v>
      </c>
      <c r="M666" s="812">
        <v>14400</v>
      </c>
    </row>
    <row r="667" spans="1:13" ht="18" customHeight="1">
      <c r="A667" s="803"/>
      <c r="B667" s="804"/>
      <c r="C667" s="804"/>
      <c r="D667" s="804" t="s">
        <v>536</v>
      </c>
      <c r="E667" s="804"/>
      <c r="F667" s="805"/>
      <c r="G667" s="806" t="s">
        <v>595</v>
      </c>
      <c r="H667" s="810" t="s">
        <v>683</v>
      </c>
      <c r="I667" s="811">
        <f>20625</f>
        <v>20625</v>
      </c>
      <c r="J667" s="812">
        <v>10065</v>
      </c>
      <c r="K667" s="812">
        <f>60700-J667</f>
        <v>50635</v>
      </c>
      <c r="L667" s="812">
        <f t="shared" si="22"/>
        <v>60700</v>
      </c>
      <c r="M667" s="812">
        <v>69000</v>
      </c>
    </row>
    <row r="668" spans="1:13" ht="18" customHeight="1">
      <c r="A668" s="803"/>
      <c r="B668" s="804"/>
      <c r="C668" s="804"/>
      <c r="D668" s="804" t="s">
        <v>642</v>
      </c>
      <c r="E668" s="804"/>
      <c r="F668" s="805"/>
      <c r="G668" s="806" t="s">
        <v>596</v>
      </c>
      <c r="H668" s="810" t="s">
        <v>684</v>
      </c>
      <c r="I668" s="811">
        <v>4800</v>
      </c>
      <c r="J668" s="812">
        <v>2000</v>
      </c>
      <c r="K668" s="812">
        <f>9600-J668</f>
        <v>7600</v>
      </c>
      <c r="L668" s="812">
        <f t="shared" si="22"/>
        <v>9600</v>
      </c>
      <c r="M668" s="812">
        <v>9600</v>
      </c>
    </row>
    <row r="669" spans="1:13" ht="18" customHeight="1">
      <c r="A669" s="803"/>
      <c r="B669" s="804"/>
      <c r="C669" s="804"/>
      <c r="D669" s="804" t="s">
        <v>538</v>
      </c>
      <c r="E669" s="804"/>
      <c r="F669" s="805"/>
      <c r="G669" s="806" t="s">
        <v>388</v>
      </c>
      <c r="H669" s="810" t="s">
        <v>696</v>
      </c>
      <c r="I669" s="811">
        <f>9141.67</f>
        <v>9141.67</v>
      </c>
      <c r="J669" s="812">
        <v>0</v>
      </c>
      <c r="K669" s="812">
        <f>0-J669</f>
        <v>0</v>
      </c>
      <c r="L669" s="812">
        <f t="shared" si="22"/>
        <v>0</v>
      </c>
      <c r="M669" s="812">
        <v>0</v>
      </c>
    </row>
    <row r="670" spans="1:13" ht="18" customHeight="1">
      <c r="A670" s="803"/>
      <c r="B670" s="804"/>
      <c r="C670" s="804"/>
      <c r="D670" s="804" t="s">
        <v>1493</v>
      </c>
      <c r="E670" s="804"/>
      <c r="F670" s="805"/>
      <c r="G670" s="806"/>
      <c r="H670" s="810" t="s">
        <v>696</v>
      </c>
      <c r="I670" s="811">
        <v>40000</v>
      </c>
      <c r="J670" s="812">
        <v>0</v>
      </c>
      <c r="K670" s="812">
        <f>0-J670</f>
        <v>0</v>
      </c>
      <c r="L670" s="812">
        <f t="shared" si="22"/>
        <v>0</v>
      </c>
      <c r="M670" s="812">
        <v>0</v>
      </c>
    </row>
    <row r="671" spans="1:13" ht="18" customHeight="1">
      <c r="A671" s="815"/>
      <c r="B671" s="816"/>
      <c r="C671" s="816"/>
      <c r="D671" s="816" t="s">
        <v>364</v>
      </c>
      <c r="E671" s="816"/>
      <c r="F671" s="817"/>
      <c r="G671" s="818"/>
      <c r="H671" s="847"/>
      <c r="I671" s="819">
        <f>SUM(I650:I670)</f>
        <v>2702420.6199999996</v>
      </c>
      <c r="J671" s="819">
        <f>SUM(J650:J670)</f>
        <v>1513798.6199999999</v>
      </c>
      <c r="K671" s="819">
        <f>SUM(K650:K670)</f>
        <v>3120196.1799999997</v>
      </c>
      <c r="L671" s="819">
        <f>SUM(L650:L670)</f>
        <v>4633994.8</v>
      </c>
      <c r="M671" s="819">
        <f>SUM(M650:M670)</f>
        <v>4777824.8</v>
      </c>
    </row>
    <row r="672" spans="1:13" ht="18" customHeight="1">
      <c r="A672" s="803"/>
      <c r="B672" s="804" t="s">
        <v>539</v>
      </c>
      <c r="C672" s="804"/>
      <c r="D672" s="804"/>
      <c r="E672" s="804"/>
      <c r="F672" s="805"/>
      <c r="G672" s="806"/>
      <c r="H672" s="844"/>
      <c r="I672" s="811"/>
      <c r="J672" s="812"/>
      <c r="K672" s="812"/>
      <c r="L672" s="812"/>
      <c r="M672" s="812"/>
    </row>
    <row r="673" spans="1:13" ht="18" customHeight="1">
      <c r="A673" s="803"/>
      <c r="B673" s="804"/>
      <c r="C673" s="804"/>
      <c r="D673" s="804" t="s">
        <v>540</v>
      </c>
      <c r="E673" s="804"/>
      <c r="F673" s="805"/>
      <c r="G673" s="806" t="s">
        <v>376</v>
      </c>
      <c r="H673" s="810" t="s">
        <v>686</v>
      </c>
      <c r="I673" s="811">
        <f>7510</f>
        <v>7510</v>
      </c>
      <c r="J673" s="812">
        <v>61880</v>
      </c>
      <c r="K673" s="812">
        <f>108000-J673</f>
        <v>46120</v>
      </c>
      <c r="L673" s="812">
        <f t="shared" ref="L673:L682" si="23">SUM(K673+J673)</f>
        <v>108000</v>
      </c>
      <c r="M673" s="812">
        <v>108000</v>
      </c>
    </row>
    <row r="674" spans="1:13" ht="18" customHeight="1">
      <c r="A674" s="803"/>
      <c r="B674" s="804"/>
      <c r="C674" s="804"/>
      <c r="D674" s="804" t="s">
        <v>421</v>
      </c>
      <c r="E674" s="804"/>
      <c r="F674" s="805"/>
      <c r="G674" s="806" t="s">
        <v>377</v>
      </c>
      <c r="H674" s="810" t="s">
        <v>687</v>
      </c>
      <c r="I674" s="811">
        <v>4980</v>
      </c>
      <c r="J674" s="812">
        <v>37250</v>
      </c>
      <c r="K674" s="812">
        <f>120000-J674</f>
        <v>82750</v>
      </c>
      <c r="L674" s="812">
        <f t="shared" si="23"/>
        <v>120000</v>
      </c>
      <c r="M674" s="812">
        <v>120000</v>
      </c>
    </row>
    <row r="675" spans="1:13" ht="18" customHeight="1">
      <c r="A675" s="803"/>
      <c r="B675" s="804"/>
      <c r="C675" s="804"/>
      <c r="D675" s="804" t="s">
        <v>371</v>
      </c>
      <c r="E675" s="804"/>
      <c r="F675" s="805"/>
      <c r="G675" s="806" t="s">
        <v>379</v>
      </c>
      <c r="H675" s="810" t="s">
        <v>688</v>
      </c>
      <c r="I675" s="811">
        <f>141059.92</f>
        <v>141059.92000000001</v>
      </c>
      <c r="J675" s="812">
        <v>58445</v>
      </c>
      <c r="K675" s="812">
        <f>200000-J675</f>
        <v>141555</v>
      </c>
      <c r="L675" s="812">
        <f t="shared" si="23"/>
        <v>200000</v>
      </c>
      <c r="M675" s="812">
        <v>200000</v>
      </c>
    </row>
    <row r="676" spans="1:13" ht="18" customHeight="1">
      <c r="A676" s="803"/>
      <c r="B676" s="804"/>
      <c r="C676" s="804"/>
      <c r="D676" s="804" t="s">
        <v>544</v>
      </c>
      <c r="E676" s="804"/>
      <c r="F676" s="805"/>
      <c r="G676" s="806" t="s">
        <v>601</v>
      </c>
      <c r="H676" s="810" t="s">
        <v>689</v>
      </c>
      <c r="I676" s="811">
        <f>339</f>
        <v>339</v>
      </c>
      <c r="J676" s="812">
        <v>215</v>
      </c>
      <c r="K676" s="812">
        <f>1200-J676</f>
        <v>985</v>
      </c>
      <c r="L676" s="812">
        <f t="shared" si="23"/>
        <v>1200</v>
      </c>
      <c r="M676" s="812">
        <v>1200</v>
      </c>
    </row>
    <row r="677" spans="1:13" ht="18" customHeight="1">
      <c r="A677" s="803"/>
      <c r="B677" s="804"/>
      <c r="C677" s="804"/>
      <c r="D677" s="804" t="s">
        <v>546</v>
      </c>
      <c r="E677" s="804"/>
      <c r="F677" s="805"/>
      <c r="G677" s="806" t="s">
        <v>380</v>
      </c>
      <c r="H677" s="810" t="s">
        <v>690</v>
      </c>
      <c r="I677" s="811">
        <f>36000</f>
        <v>36000</v>
      </c>
      <c r="J677" s="812">
        <v>18000</v>
      </c>
      <c r="K677" s="812">
        <f>36000-J677</f>
        <v>18000</v>
      </c>
      <c r="L677" s="812">
        <f t="shared" si="23"/>
        <v>36000</v>
      </c>
      <c r="M677" s="812">
        <v>36000</v>
      </c>
    </row>
    <row r="678" spans="1:13" ht="18" customHeight="1">
      <c r="A678" s="803"/>
      <c r="B678" s="804"/>
      <c r="C678" s="804"/>
      <c r="D678" s="804" t="s">
        <v>902</v>
      </c>
      <c r="E678" s="804"/>
      <c r="F678" s="805"/>
      <c r="G678" s="806" t="s">
        <v>381</v>
      </c>
      <c r="H678" s="810" t="s">
        <v>691</v>
      </c>
      <c r="I678" s="811">
        <v>0</v>
      </c>
      <c r="J678" s="812">
        <v>0</v>
      </c>
      <c r="K678" s="812">
        <f>50000-J678</f>
        <v>50000</v>
      </c>
      <c r="L678" s="812">
        <f t="shared" si="23"/>
        <v>50000</v>
      </c>
      <c r="M678" s="812">
        <v>50000</v>
      </c>
    </row>
    <row r="679" spans="1:13" ht="18" customHeight="1">
      <c r="A679" s="803"/>
      <c r="B679" s="804"/>
      <c r="C679" s="804"/>
      <c r="D679" s="804" t="s">
        <v>550</v>
      </c>
      <c r="E679" s="804"/>
      <c r="F679" s="805"/>
      <c r="G679" s="806" t="s">
        <v>606</v>
      </c>
      <c r="H679" s="810" t="s">
        <v>704</v>
      </c>
      <c r="I679" s="811">
        <f>1968896.14</f>
        <v>1968896.14</v>
      </c>
      <c r="J679" s="812">
        <v>818825</v>
      </c>
      <c r="K679" s="812">
        <f>1837840-J679</f>
        <v>1019015</v>
      </c>
      <c r="L679" s="812">
        <f t="shared" si="23"/>
        <v>1837840</v>
      </c>
      <c r="M679" s="812">
        <v>1837840</v>
      </c>
    </row>
    <row r="680" spans="1:13" ht="18" customHeight="1">
      <c r="A680" s="803"/>
      <c r="B680" s="804"/>
      <c r="C680" s="804"/>
      <c r="D680" s="804" t="s">
        <v>1614</v>
      </c>
      <c r="E680" s="804"/>
      <c r="F680" s="805"/>
      <c r="G680" s="806"/>
      <c r="H680" s="810"/>
      <c r="I680" s="811">
        <v>0</v>
      </c>
      <c r="J680" s="812">
        <v>53500</v>
      </c>
      <c r="K680" s="812">
        <f>6000000-J680</f>
        <v>5946500</v>
      </c>
      <c r="L680" s="812">
        <f t="shared" si="23"/>
        <v>6000000</v>
      </c>
      <c r="M680" s="812">
        <v>3500000</v>
      </c>
    </row>
    <row r="681" spans="1:13" ht="18" customHeight="1">
      <c r="A681" s="803"/>
      <c r="B681" s="804"/>
      <c r="C681" s="804"/>
      <c r="D681" s="804" t="s">
        <v>552</v>
      </c>
      <c r="E681" s="804"/>
      <c r="F681" s="805"/>
      <c r="G681" s="806" t="s">
        <v>382</v>
      </c>
      <c r="H681" s="810" t="s">
        <v>692</v>
      </c>
      <c r="I681" s="811">
        <f>1590</f>
        <v>1590</v>
      </c>
      <c r="J681" s="812">
        <v>4050</v>
      </c>
      <c r="K681" s="812">
        <f>150000-J681</f>
        <v>145950</v>
      </c>
      <c r="L681" s="812">
        <f t="shared" si="23"/>
        <v>150000</v>
      </c>
      <c r="M681" s="812">
        <v>150000</v>
      </c>
    </row>
    <row r="682" spans="1:13" ht="18" customHeight="1">
      <c r="A682" s="803"/>
      <c r="B682" s="804"/>
      <c r="C682" s="804"/>
      <c r="D682" s="804" t="s">
        <v>1681</v>
      </c>
      <c r="E682" s="804"/>
      <c r="F682" s="805"/>
      <c r="G682" s="806"/>
      <c r="H682" s="810" t="s">
        <v>692</v>
      </c>
      <c r="I682" s="811">
        <f>100000</f>
        <v>100000</v>
      </c>
      <c r="J682" s="812">
        <v>0</v>
      </c>
      <c r="K682" s="812">
        <f>0-J682</f>
        <v>0</v>
      </c>
      <c r="L682" s="812">
        <f t="shared" si="23"/>
        <v>0</v>
      </c>
      <c r="M682" s="812">
        <v>0</v>
      </c>
    </row>
    <row r="683" spans="1:13" ht="18" customHeight="1">
      <c r="A683" s="815"/>
      <c r="B683" s="816"/>
      <c r="C683" s="816"/>
      <c r="D683" s="816" t="s">
        <v>737</v>
      </c>
      <c r="E683" s="816"/>
      <c r="F683" s="817"/>
      <c r="G683" s="818"/>
      <c r="H683" s="847"/>
      <c r="I683" s="819">
        <f>SUM(I673:I682)</f>
        <v>2260375.06</v>
      </c>
      <c r="J683" s="819">
        <f>SUM(J673:J682)</f>
        <v>1052165</v>
      </c>
      <c r="K683" s="819">
        <f>SUM(K673:K682)</f>
        <v>7450875</v>
      </c>
      <c r="L683" s="819">
        <f>SUM(L673:L682)</f>
        <v>8503040</v>
      </c>
      <c r="M683" s="819">
        <f>SUM(M673:M682)</f>
        <v>6003040</v>
      </c>
    </row>
    <row r="684" spans="1:13" ht="18" customHeight="1">
      <c r="A684" s="803"/>
      <c r="B684" s="804" t="s">
        <v>553</v>
      </c>
      <c r="C684" s="804"/>
      <c r="D684" s="804"/>
      <c r="E684" s="804"/>
      <c r="F684" s="805"/>
      <c r="G684" s="806"/>
      <c r="H684" s="844"/>
      <c r="I684" s="811"/>
      <c r="J684" s="812"/>
      <c r="K684" s="812"/>
      <c r="L684" s="812"/>
      <c r="M684" s="812"/>
    </row>
    <row r="685" spans="1:13" ht="18" customHeight="1">
      <c r="A685" s="803"/>
      <c r="B685" s="804"/>
      <c r="C685" s="804"/>
      <c r="D685" s="804" t="s">
        <v>1603</v>
      </c>
      <c r="E685" s="804"/>
      <c r="F685" s="805"/>
      <c r="G685" s="806" t="s">
        <v>830</v>
      </c>
      <c r="H685" s="810" t="s">
        <v>831</v>
      </c>
      <c r="I685" s="811">
        <f>148775</f>
        <v>148775</v>
      </c>
      <c r="J685" s="812">
        <v>190845</v>
      </c>
      <c r="K685" s="812">
        <f>400000-J685</f>
        <v>209155</v>
      </c>
      <c r="L685" s="812">
        <f>J685+K685</f>
        <v>400000</v>
      </c>
      <c r="M685" s="812">
        <v>0</v>
      </c>
    </row>
    <row r="686" spans="1:13" ht="18" customHeight="1">
      <c r="A686" s="803"/>
      <c r="B686" s="804"/>
      <c r="C686" s="804"/>
      <c r="D686" s="804" t="s">
        <v>829</v>
      </c>
      <c r="E686" s="804"/>
      <c r="F686" s="805"/>
      <c r="G686" s="806" t="s">
        <v>832</v>
      </c>
      <c r="H686" s="810" t="s">
        <v>1527</v>
      </c>
      <c r="I686" s="811">
        <v>0</v>
      </c>
      <c r="J686" s="812">
        <v>0</v>
      </c>
      <c r="K686" s="812">
        <f>75000-J686</f>
        <v>75000</v>
      </c>
      <c r="L686" s="812">
        <f>J686+K686</f>
        <v>75000</v>
      </c>
      <c r="M686" s="812">
        <v>0</v>
      </c>
    </row>
    <row r="687" spans="1:13" ht="18" customHeight="1">
      <c r="A687" s="803"/>
      <c r="B687" s="804"/>
      <c r="C687" s="804"/>
      <c r="D687" s="804" t="s">
        <v>839</v>
      </c>
      <c r="E687" s="804"/>
      <c r="F687" s="805"/>
      <c r="G687" s="806"/>
      <c r="H687" s="810" t="s">
        <v>840</v>
      </c>
      <c r="I687" s="811">
        <f>18990</f>
        <v>18990</v>
      </c>
      <c r="J687" s="812">
        <v>0</v>
      </c>
      <c r="K687" s="812">
        <f>0-J687</f>
        <v>0</v>
      </c>
      <c r="L687" s="812">
        <f>J687+K687</f>
        <v>0</v>
      </c>
      <c r="M687" s="812">
        <v>0</v>
      </c>
    </row>
    <row r="688" spans="1:13" ht="18" customHeight="1">
      <c r="A688" s="803"/>
      <c r="B688" s="804"/>
      <c r="C688" s="804"/>
      <c r="D688" s="804" t="s">
        <v>1604</v>
      </c>
      <c r="E688" s="804"/>
      <c r="F688" s="805"/>
      <c r="G688" s="806" t="s">
        <v>834</v>
      </c>
      <c r="H688" s="810" t="s">
        <v>835</v>
      </c>
      <c r="I688" s="811">
        <f>19500</f>
        <v>19500</v>
      </c>
      <c r="J688" s="812">
        <v>199935</v>
      </c>
      <c r="K688" s="812">
        <f>200000-J688</f>
        <v>65</v>
      </c>
      <c r="L688" s="812">
        <f>J688+K688</f>
        <v>200000</v>
      </c>
      <c r="M688" s="812">
        <v>0</v>
      </c>
    </row>
    <row r="689" spans="1:14" ht="18" customHeight="1">
      <c r="A689" s="815"/>
      <c r="B689" s="816"/>
      <c r="C689" s="816"/>
      <c r="D689" s="816" t="s">
        <v>782</v>
      </c>
      <c r="E689" s="816"/>
      <c r="F689" s="817"/>
      <c r="G689" s="818"/>
      <c r="H689" s="847"/>
      <c r="I689" s="819">
        <f>SUM(I685:I688)</f>
        <v>187265</v>
      </c>
      <c r="J689" s="819">
        <f>SUM(J685:J688)</f>
        <v>390780</v>
      </c>
      <c r="K689" s="819">
        <f>SUM(K685:K688)</f>
        <v>284220</v>
      </c>
      <c r="L689" s="819">
        <f>SUM(L685:L688)</f>
        <v>675000</v>
      </c>
      <c r="M689" s="819">
        <f>SUM(M685:M688)</f>
        <v>0</v>
      </c>
    </row>
    <row r="690" spans="1:14" ht="18" customHeight="1">
      <c r="A690" s="815"/>
      <c r="B690" s="816"/>
      <c r="C690" s="816"/>
      <c r="D690" s="816"/>
      <c r="E690" s="816"/>
      <c r="F690" s="817"/>
      <c r="G690" s="818"/>
      <c r="H690" s="847"/>
      <c r="I690" s="819"/>
      <c r="J690" s="822"/>
      <c r="K690" s="822"/>
      <c r="L690" s="822"/>
      <c r="M690" s="822"/>
    </row>
    <row r="691" spans="1:14" ht="18" customHeight="1">
      <c r="A691" s="823" t="s">
        <v>613</v>
      </c>
      <c r="B691" s="824"/>
      <c r="C691" s="824"/>
      <c r="D691" s="824"/>
      <c r="E691" s="824"/>
      <c r="F691" s="825"/>
      <c r="G691" s="826"/>
      <c r="H691" s="848"/>
      <c r="I691" s="828">
        <f>SUM(I689+I683+I671)</f>
        <v>5150060.68</v>
      </c>
      <c r="J691" s="828">
        <f>SUM(J689+J683+J671)</f>
        <v>2956743.62</v>
      </c>
      <c r="K691" s="828">
        <f>SUM(K689+K683+K671)</f>
        <v>10855291.18</v>
      </c>
      <c r="L691" s="828">
        <f>SUM(L689+L683+L671)</f>
        <v>13812034.800000001</v>
      </c>
      <c r="M691" s="828">
        <f>SUM(M689+M683+M671)</f>
        <v>10780864.800000001</v>
      </c>
    </row>
    <row r="692" spans="1:14" ht="18" customHeight="1">
      <c r="A692" s="791"/>
      <c r="B692" s="829"/>
      <c r="C692" s="791"/>
      <c r="D692" s="791"/>
      <c r="E692" s="791"/>
      <c r="F692" s="791"/>
      <c r="G692" s="791"/>
      <c r="H692" s="830"/>
      <c r="I692" s="967"/>
      <c r="J692" s="831"/>
      <c r="K692" s="831"/>
      <c r="L692" s="831"/>
      <c r="M692" s="831"/>
    </row>
    <row r="693" spans="1:14" s="1329" customFormat="1" ht="18" customHeight="1">
      <c r="A693" s="1484" t="s">
        <v>1796</v>
      </c>
      <c r="B693" s="1484"/>
      <c r="C693" s="1484"/>
      <c r="D693" s="1484"/>
      <c r="E693" s="1484"/>
      <c r="F693" s="1484"/>
      <c r="G693" s="1484"/>
      <c r="H693" s="1484"/>
      <c r="I693" s="1484"/>
      <c r="J693" s="1484"/>
      <c r="K693" s="1484"/>
      <c r="L693" s="1484"/>
      <c r="M693" s="1484"/>
    </row>
    <row r="694" spans="1:14" s="1323" customFormat="1" ht="18" customHeight="1">
      <c r="A694" s="1324"/>
      <c r="B694" s="1325"/>
      <c r="C694" s="1324"/>
      <c r="D694" s="1324"/>
      <c r="E694" s="1324"/>
      <c r="F694" s="1324"/>
      <c r="G694" s="1327"/>
      <c r="H694" s="1328"/>
      <c r="I694" s="1328"/>
      <c r="K694" s="1044"/>
      <c r="L694" s="1044"/>
      <c r="M694" s="831"/>
    </row>
    <row r="695" spans="1:14" s="1336" customFormat="1" ht="20.100000000000001" customHeight="1">
      <c r="A695" s="1485" t="s">
        <v>949</v>
      </c>
      <c r="B695" s="1485"/>
      <c r="C695" s="1485"/>
      <c r="D695" s="1485"/>
      <c r="E695" s="1485"/>
      <c r="F695" s="1485"/>
      <c r="G695" s="1485"/>
      <c r="H695" s="1485"/>
      <c r="I695" s="1485"/>
      <c r="J695" s="1485"/>
      <c r="K695" s="1485"/>
      <c r="L695" s="1485"/>
      <c r="M695" s="1485"/>
    </row>
    <row r="696" spans="1:14" s="778" customFormat="1" ht="18" customHeight="1">
      <c r="A696" s="777"/>
      <c r="B696" s="776"/>
      <c r="C696" s="777"/>
      <c r="F696" s="776"/>
      <c r="G696" s="1504"/>
      <c r="H696" s="1504"/>
      <c r="I696" s="1505"/>
      <c r="J696" s="1505"/>
      <c r="K696" s="831"/>
      <c r="L696" s="832"/>
      <c r="M696" s="831"/>
    </row>
    <row r="697" spans="1:14" s="1253" customFormat="1" ht="15" customHeight="1">
      <c r="A697" s="1467" t="s">
        <v>861</v>
      </c>
      <c r="B697" s="1467"/>
      <c r="C697" s="1467"/>
      <c r="D697" s="1467"/>
      <c r="E697" s="1467"/>
      <c r="F697" s="1467"/>
      <c r="G697" s="1467"/>
      <c r="H697" s="1467"/>
      <c r="I697" s="1467"/>
      <c r="J697" s="1467"/>
      <c r="K697" s="1467"/>
      <c r="L697" s="1467"/>
      <c r="M697" s="1467"/>
      <c r="N697" s="1319"/>
    </row>
    <row r="698" spans="1:14" s="1253" customFormat="1" ht="15" customHeight="1">
      <c r="A698" s="1467" t="s">
        <v>174</v>
      </c>
      <c r="B698" s="1467"/>
      <c r="C698" s="1467"/>
      <c r="D698" s="1467"/>
      <c r="E698" s="1467"/>
      <c r="F698" s="1467"/>
      <c r="G698" s="1467"/>
      <c r="H698" s="1467"/>
      <c r="I698" s="1467"/>
      <c r="J698" s="1467"/>
      <c r="K698" s="1467"/>
      <c r="L698" s="1467"/>
      <c r="M698" s="1467"/>
      <c r="N698" s="1319"/>
    </row>
    <row r="699" spans="1:14" s="1253" customFormat="1" ht="15" customHeight="1">
      <c r="A699" s="1467" t="s">
        <v>1780</v>
      </c>
      <c r="B699" s="1467"/>
      <c r="C699" s="1467"/>
      <c r="D699" s="1467"/>
      <c r="E699" s="1467"/>
      <c r="F699" s="1467"/>
      <c r="G699" s="1467"/>
      <c r="H699" s="1467"/>
      <c r="I699" s="1467"/>
      <c r="J699" s="1467"/>
      <c r="K699" s="1467"/>
      <c r="L699" s="1467"/>
      <c r="M699" s="1467"/>
      <c r="N699" s="1319"/>
    </row>
    <row r="700" spans="1:14" s="1253" customFormat="1" ht="15" customHeight="1">
      <c r="A700" s="1467"/>
      <c r="B700" s="1467"/>
      <c r="C700" s="1467"/>
      <c r="D700" s="1467"/>
      <c r="E700" s="1467"/>
      <c r="F700" s="1467"/>
      <c r="G700" s="1467"/>
      <c r="H700" s="1467"/>
      <c r="I700" s="1467"/>
      <c r="J700" s="1467"/>
      <c r="K700" s="1467"/>
      <c r="L700" s="1467"/>
      <c r="M700" s="1467"/>
      <c r="N700" s="1319"/>
    </row>
    <row r="701" spans="1:14" s="1253" customFormat="1" ht="15" customHeight="1">
      <c r="A701" s="1254"/>
      <c r="B701" s="1254"/>
      <c r="C701" s="1254"/>
      <c r="D701" s="1254"/>
      <c r="E701" s="1254"/>
      <c r="F701" s="1254"/>
      <c r="G701" s="1254"/>
      <c r="H701" s="1254"/>
      <c r="I701" s="1254"/>
      <c r="J701" s="1254"/>
      <c r="K701" s="1254"/>
      <c r="L701" s="1254"/>
      <c r="M701" s="1254"/>
      <c r="N701" s="1319"/>
    </row>
    <row r="702" spans="1:14" s="1253" customFormat="1" ht="15" customHeight="1">
      <c r="A702" s="1254"/>
      <c r="B702" s="1254"/>
      <c r="C702" s="1254"/>
      <c r="D702" s="1254"/>
      <c r="E702" s="1254"/>
      <c r="F702" s="1254"/>
      <c r="G702" s="1254"/>
      <c r="H702" s="1254"/>
      <c r="I702" s="1254"/>
      <c r="J702" s="1254"/>
      <c r="K702" s="1254"/>
      <c r="L702" s="1254"/>
      <c r="M702" s="1254"/>
      <c r="N702" s="1319"/>
    </row>
    <row r="703" spans="1:14" s="1253" customFormat="1" ht="15" customHeight="1">
      <c r="A703" s="1254"/>
      <c r="B703" s="1254"/>
      <c r="C703" s="1254"/>
      <c r="D703" s="1254"/>
      <c r="E703" s="1254"/>
      <c r="F703" s="1254"/>
      <c r="G703" s="1254"/>
      <c r="H703" s="1254"/>
      <c r="I703" s="1254"/>
      <c r="J703" s="1254"/>
      <c r="K703" s="1254"/>
      <c r="L703" s="1254"/>
      <c r="M703" s="1254"/>
      <c r="N703" s="1319"/>
    </row>
    <row r="704" spans="1:14" s="1253" customFormat="1" ht="18" customHeight="1">
      <c r="A704" s="1468" t="s">
        <v>1781</v>
      </c>
      <c r="B704" s="1468"/>
      <c r="C704" s="1468"/>
      <c r="D704" s="1468"/>
      <c r="E704" s="1468"/>
      <c r="F704" s="1468"/>
      <c r="G704" s="1468"/>
      <c r="H704" s="1468"/>
      <c r="I704" s="1468"/>
      <c r="J704" s="1468"/>
      <c r="K704" s="1468"/>
      <c r="L704" s="1468"/>
      <c r="M704" s="1468"/>
      <c r="N704" s="1320"/>
    </row>
    <row r="705" spans="1:14" s="1253" customFormat="1">
      <c r="A705" s="1469" t="s">
        <v>1817</v>
      </c>
      <c r="B705" s="1469"/>
      <c r="C705" s="1469"/>
      <c r="D705" s="1469"/>
      <c r="E705" s="1469"/>
      <c r="F705" s="1469"/>
      <c r="G705" s="1469"/>
      <c r="H705" s="1469"/>
      <c r="I705" s="1469"/>
      <c r="J705" s="1469"/>
      <c r="K705" s="1469"/>
      <c r="L705" s="1469"/>
      <c r="M705" s="1469"/>
      <c r="N705" s="1321"/>
    </row>
    <row r="706" spans="1:14" s="1253" customFormat="1" ht="15.75">
      <c r="A706" s="1253" t="s">
        <v>1845</v>
      </c>
      <c r="G706" s="1254"/>
      <c r="I706" s="1255"/>
      <c r="L706" s="1256"/>
      <c r="M706" s="1256"/>
    </row>
    <row r="707" spans="1:14" s="1253" customFormat="1" ht="15.75">
      <c r="A707" s="1253" t="s">
        <v>1811</v>
      </c>
      <c r="G707" s="1254"/>
      <c r="I707" s="1255"/>
      <c r="L707" s="1256"/>
      <c r="M707" s="1256"/>
    </row>
    <row r="708" spans="1:14" s="1253" customFormat="1" ht="8.1" customHeight="1">
      <c r="A708" s="1257" t="s">
        <v>1812</v>
      </c>
      <c r="G708" s="1254"/>
      <c r="I708" s="1255"/>
      <c r="L708" s="1256"/>
      <c r="M708" s="1256"/>
    </row>
    <row r="709" spans="1:14" s="1394" customFormat="1" ht="15.75" customHeight="1">
      <c r="A709" s="1394" t="s">
        <v>1846</v>
      </c>
      <c r="C709" s="1483" t="s">
        <v>1847</v>
      </c>
      <c r="D709" s="1483"/>
      <c r="E709" s="1483"/>
      <c r="F709" s="1483"/>
      <c r="G709" s="1483"/>
      <c r="H709" s="1483"/>
      <c r="I709" s="1483"/>
      <c r="J709" s="1483"/>
      <c r="K709" s="1483"/>
      <c r="L709" s="1483"/>
      <c r="M709" s="1483"/>
      <c r="N709" s="1396"/>
    </row>
    <row r="710" spans="1:14" s="1253" customFormat="1" ht="15.75" customHeight="1">
      <c r="C710" s="1483"/>
      <c r="D710" s="1483"/>
      <c r="E710" s="1483"/>
      <c r="F710" s="1483"/>
      <c r="G710" s="1483"/>
      <c r="H710" s="1483"/>
      <c r="I710" s="1483"/>
      <c r="J710" s="1483"/>
      <c r="K710" s="1483"/>
      <c r="L710" s="1483"/>
      <c r="M710" s="1483"/>
      <c r="N710" s="1322"/>
    </row>
    <row r="711" spans="1:14" s="778" customFormat="1" ht="18" customHeight="1" thickBot="1">
      <c r="A711" s="1506"/>
      <c r="B711" s="1506"/>
      <c r="C711" s="1506"/>
      <c r="D711" s="1506"/>
      <c r="E711" s="1506"/>
      <c r="F711" s="1506"/>
      <c r="G711" s="1506"/>
      <c r="H711" s="1506"/>
      <c r="I711" s="1506"/>
      <c r="J711" s="1506"/>
      <c r="K711" s="1506"/>
      <c r="L711" s="1506"/>
      <c r="M711" s="1506"/>
    </row>
    <row r="712" spans="1:14" ht="18" customHeight="1">
      <c r="A712" s="780"/>
      <c r="B712" s="781"/>
      <c r="C712" s="781"/>
      <c r="D712" s="781"/>
      <c r="E712" s="781"/>
      <c r="F712" s="782"/>
      <c r="G712" s="783"/>
      <c r="H712" s="784"/>
      <c r="I712" s="784" t="s">
        <v>6</v>
      </c>
      <c r="J712" s="1488" t="s">
        <v>1914</v>
      </c>
      <c r="K712" s="1489"/>
      <c r="L712" s="1490"/>
      <c r="M712" s="785" t="s">
        <v>7</v>
      </c>
      <c r="N712" s="966"/>
    </row>
    <row r="713" spans="1:14" ht="18" customHeight="1">
      <c r="A713" s="1491"/>
      <c r="B713" s="1492"/>
      <c r="C713" s="1492"/>
      <c r="D713" s="1492"/>
      <c r="E713" s="1492"/>
      <c r="F713" s="1493"/>
      <c r="G713" s="1371"/>
      <c r="H713" s="786"/>
      <c r="I713" s="786">
        <v>2021</v>
      </c>
      <c r="J713" s="786" t="s">
        <v>560</v>
      </c>
      <c r="K713" s="786" t="s">
        <v>561</v>
      </c>
      <c r="L713" s="786">
        <v>2022</v>
      </c>
      <c r="M713" s="787">
        <v>2023</v>
      </c>
      <c r="N713" s="966"/>
    </row>
    <row r="714" spans="1:14" ht="18" customHeight="1">
      <c r="A714" s="1491" t="s">
        <v>21</v>
      </c>
      <c r="B714" s="1492"/>
      <c r="C714" s="1492"/>
      <c r="D714" s="1492"/>
      <c r="E714" s="1492"/>
      <c r="F714" s="1493"/>
      <c r="G714" s="788"/>
      <c r="H714" s="789" t="s">
        <v>612</v>
      </c>
      <c r="I714" s="786" t="s">
        <v>909</v>
      </c>
      <c r="J714" s="786" t="s">
        <v>559</v>
      </c>
      <c r="K714" s="786" t="s">
        <v>562</v>
      </c>
      <c r="L714" s="786" t="s">
        <v>909</v>
      </c>
      <c r="M714" s="787" t="s">
        <v>909</v>
      </c>
      <c r="N714" s="966"/>
    </row>
    <row r="715" spans="1:14" ht="18" customHeight="1">
      <c r="A715" s="790"/>
      <c r="B715" s="791"/>
      <c r="C715" s="791"/>
      <c r="D715" s="791"/>
      <c r="E715" s="791"/>
      <c r="F715" s="792"/>
      <c r="G715" s="788"/>
      <c r="H715" s="786"/>
      <c r="I715" s="786" t="s">
        <v>559</v>
      </c>
      <c r="J715" s="786">
        <v>2022</v>
      </c>
      <c r="K715" s="786">
        <v>2022</v>
      </c>
      <c r="L715" s="786" t="s">
        <v>910</v>
      </c>
      <c r="M715" s="787" t="s">
        <v>564</v>
      </c>
      <c r="N715" s="966"/>
    </row>
    <row r="716" spans="1:14" ht="18" customHeight="1" thickBot="1">
      <c r="A716" s="1497"/>
      <c r="B716" s="1498"/>
      <c r="C716" s="1498"/>
      <c r="D716" s="1498"/>
      <c r="E716" s="1498"/>
      <c r="F716" s="1499"/>
      <c r="G716" s="1372"/>
      <c r="H716" s="793"/>
      <c r="I716" s="1393"/>
      <c r="J716" s="793"/>
      <c r="K716" s="793"/>
      <c r="L716" s="793"/>
      <c r="M716" s="794"/>
      <c r="N716" s="972"/>
    </row>
    <row r="717" spans="1:14" ht="18" customHeight="1">
      <c r="A717" s="795"/>
      <c r="B717" s="796" t="s">
        <v>359</v>
      </c>
      <c r="C717" s="797"/>
      <c r="D717" s="796"/>
      <c r="E717" s="796"/>
      <c r="F717" s="798"/>
      <c r="G717" s="799"/>
      <c r="H717" s="841"/>
      <c r="I717" s="842"/>
      <c r="J717" s="843"/>
      <c r="K717" s="843"/>
      <c r="L717" s="843"/>
      <c r="M717" s="843"/>
    </row>
    <row r="718" spans="1:14" ht="18" customHeight="1">
      <c r="A718" s="803"/>
      <c r="B718" s="804"/>
      <c r="C718" s="804" t="s">
        <v>515</v>
      </c>
      <c r="D718" s="804"/>
      <c r="E718" s="804"/>
      <c r="F718" s="805"/>
      <c r="G718" s="806"/>
      <c r="H718" s="844"/>
      <c r="I718" s="845"/>
      <c r="J718" s="846"/>
      <c r="K718" s="846"/>
      <c r="L718" s="846"/>
      <c r="M718" s="846"/>
    </row>
    <row r="719" spans="1:14" ht="18" customHeight="1">
      <c r="A719" s="803"/>
      <c r="B719" s="804"/>
      <c r="C719" s="804"/>
      <c r="D719" s="804" t="s">
        <v>516</v>
      </c>
      <c r="E719" s="804"/>
      <c r="F719" s="805"/>
      <c r="G719" s="806" t="s">
        <v>582</v>
      </c>
      <c r="H719" s="810" t="s">
        <v>672</v>
      </c>
      <c r="I719" s="811">
        <f>2811352</f>
        <v>2811352</v>
      </c>
      <c r="J719" s="812">
        <v>1371956</v>
      </c>
      <c r="K719" s="812">
        <f>2925480-J719</f>
        <v>1553524</v>
      </c>
      <c r="L719" s="812">
        <f>SUM(K719+J719)</f>
        <v>2925480</v>
      </c>
      <c r="M719" s="812">
        <v>2986091</v>
      </c>
    </row>
    <row r="720" spans="1:14" ht="18" customHeight="1">
      <c r="A720" s="803"/>
      <c r="B720" s="804"/>
      <c r="C720" s="804" t="s">
        <v>517</v>
      </c>
      <c r="D720" s="804"/>
      <c r="E720" s="804"/>
      <c r="F720" s="805"/>
      <c r="G720" s="806"/>
      <c r="H720" s="844"/>
      <c r="I720" s="811"/>
      <c r="J720" s="812"/>
      <c r="K720" s="812"/>
      <c r="L720" s="812"/>
      <c r="M720" s="812"/>
    </row>
    <row r="721" spans="1:13" ht="18" customHeight="1">
      <c r="A721" s="803"/>
      <c r="B721" s="804"/>
      <c r="C721" s="804"/>
      <c r="D721" s="804" t="s">
        <v>518</v>
      </c>
      <c r="E721" s="804"/>
      <c r="F721" s="805"/>
      <c r="G721" s="806" t="s">
        <v>583</v>
      </c>
      <c r="H721" s="810" t="s">
        <v>673</v>
      </c>
      <c r="I721" s="811">
        <f>216000</f>
        <v>216000</v>
      </c>
      <c r="J721" s="812">
        <v>104000</v>
      </c>
      <c r="K721" s="812">
        <f>216000-J721</f>
        <v>112000</v>
      </c>
      <c r="L721" s="812">
        <f t="shared" ref="L721:L738" si="24">SUM(K721+J721)</f>
        <v>216000</v>
      </c>
      <c r="M721" s="812">
        <v>216000</v>
      </c>
    </row>
    <row r="722" spans="1:13" ht="18" customHeight="1">
      <c r="A722" s="803"/>
      <c r="B722" s="804"/>
      <c r="C722" s="804"/>
      <c r="D722" s="804" t="s">
        <v>528</v>
      </c>
      <c r="E722" s="804"/>
      <c r="F722" s="805"/>
      <c r="G722" s="806" t="s">
        <v>584</v>
      </c>
      <c r="H722" s="810" t="s">
        <v>674</v>
      </c>
      <c r="I722" s="811">
        <v>76500</v>
      </c>
      <c r="J722" s="812">
        <v>38250</v>
      </c>
      <c r="K722" s="812">
        <f>76500-J722</f>
        <v>38250</v>
      </c>
      <c r="L722" s="812">
        <f t="shared" si="24"/>
        <v>76500</v>
      </c>
      <c r="M722" s="812">
        <v>76500</v>
      </c>
    </row>
    <row r="723" spans="1:13" ht="18" customHeight="1">
      <c r="A723" s="803"/>
      <c r="B723" s="804"/>
      <c r="C723" s="804"/>
      <c r="D723" s="804" t="s">
        <v>527</v>
      </c>
      <c r="E723" s="804"/>
      <c r="F723" s="805"/>
      <c r="G723" s="806" t="s">
        <v>585</v>
      </c>
      <c r="H723" s="810" t="s">
        <v>675</v>
      </c>
      <c r="I723" s="811">
        <v>76500</v>
      </c>
      <c r="J723" s="812">
        <v>38250</v>
      </c>
      <c r="K723" s="812">
        <f>76500-J723</f>
        <v>38250</v>
      </c>
      <c r="L723" s="812">
        <f t="shared" si="24"/>
        <v>76500</v>
      </c>
      <c r="M723" s="812">
        <v>76500</v>
      </c>
    </row>
    <row r="724" spans="1:13" ht="18" customHeight="1">
      <c r="A724" s="803"/>
      <c r="B724" s="804"/>
      <c r="C724" s="804"/>
      <c r="D724" s="804" t="s">
        <v>529</v>
      </c>
      <c r="E724" s="804"/>
      <c r="F724" s="805"/>
      <c r="G724" s="806" t="s">
        <v>586</v>
      </c>
      <c r="H724" s="810" t="s">
        <v>676</v>
      </c>
      <c r="I724" s="811">
        <f>54000</f>
        <v>54000</v>
      </c>
      <c r="J724" s="812">
        <v>54000</v>
      </c>
      <c r="K724" s="812">
        <f>54000-J724</f>
        <v>0</v>
      </c>
      <c r="L724" s="812">
        <f t="shared" si="24"/>
        <v>54000</v>
      </c>
      <c r="M724" s="812">
        <v>54000</v>
      </c>
    </row>
    <row r="725" spans="1:13" ht="18" customHeight="1">
      <c r="A725" s="803"/>
      <c r="B725" s="804"/>
      <c r="C725" s="804"/>
      <c r="D725" s="804" t="s">
        <v>670</v>
      </c>
      <c r="E725" s="804"/>
      <c r="F725" s="805"/>
      <c r="G725" s="806" t="s">
        <v>588</v>
      </c>
      <c r="H725" s="810" t="s">
        <v>677</v>
      </c>
      <c r="I725" s="811">
        <f>45000</f>
        <v>45000</v>
      </c>
      <c r="J725" s="812">
        <v>0</v>
      </c>
      <c r="K725" s="812">
        <f>45000-J725</f>
        <v>45000</v>
      </c>
      <c r="L725" s="812">
        <f t="shared" si="24"/>
        <v>45000</v>
      </c>
      <c r="M725" s="812">
        <v>45000</v>
      </c>
    </row>
    <row r="726" spans="1:13" ht="18" customHeight="1">
      <c r="A726" s="803"/>
      <c r="B726" s="804"/>
      <c r="C726" s="804"/>
      <c r="D726" s="804" t="s">
        <v>531</v>
      </c>
      <c r="E726" s="804"/>
      <c r="F726" s="805"/>
      <c r="G726" s="806" t="s">
        <v>425</v>
      </c>
      <c r="H726" s="810" t="s">
        <v>678</v>
      </c>
      <c r="I726" s="811">
        <v>10000</v>
      </c>
      <c r="J726" s="812">
        <v>0</v>
      </c>
      <c r="K726" s="812">
        <f>0-J726</f>
        <v>0</v>
      </c>
      <c r="L726" s="812">
        <f t="shared" si="24"/>
        <v>0</v>
      </c>
      <c r="M726" s="812">
        <v>0</v>
      </c>
    </row>
    <row r="727" spans="1:13" ht="18" customHeight="1">
      <c r="A727" s="803"/>
      <c r="B727" s="804"/>
      <c r="C727" s="804"/>
      <c r="D727" s="804" t="s">
        <v>1580</v>
      </c>
      <c r="E727" s="804"/>
      <c r="F727" s="805"/>
      <c r="G727" s="806" t="s">
        <v>425</v>
      </c>
      <c r="H727" s="810" t="s">
        <v>678</v>
      </c>
      <c r="I727" s="811">
        <f>27000</f>
        <v>27000</v>
      </c>
      <c r="J727" s="812">
        <v>0</v>
      </c>
      <c r="K727" s="812">
        <f>0-J727</f>
        <v>0</v>
      </c>
      <c r="L727" s="812">
        <f t="shared" si="24"/>
        <v>0</v>
      </c>
      <c r="M727" s="812">
        <v>0</v>
      </c>
    </row>
    <row r="728" spans="1:13" ht="18" hidden="1" customHeight="1">
      <c r="A728" s="803"/>
      <c r="B728" s="804"/>
      <c r="C728" s="804"/>
      <c r="D728" s="804" t="s">
        <v>1492</v>
      </c>
      <c r="E728" s="804"/>
      <c r="F728" s="805"/>
      <c r="G728" s="806"/>
      <c r="H728" s="810" t="s">
        <v>678</v>
      </c>
      <c r="I728" s="811">
        <v>0</v>
      </c>
      <c r="J728" s="812">
        <v>0</v>
      </c>
      <c r="K728" s="812">
        <v>0</v>
      </c>
      <c r="L728" s="812">
        <f t="shared" si="24"/>
        <v>0</v>
      </c>
      <c r="M728" s="812">
        <v>0</v>
      </c>
    </row>
    <row r="729" spans="1:13" ht="18" customHeight="1">
      <c r="A729" s="803"/>
      <c r="B729" s="804"/>
      <c r="C729" s="804"/>
      <c r="D729" s="804" t="s">
        <v>533</v>
      </c>
      <c r="E729" s="804"/>
      <c r="F729" s="805"/>
      <c r="G729" s="806" t="s">
        <v>591</v>
      </c>
      <c r="H729" s="810" t="s">
        <v>679</v>
      </c>
      <c r="I729" s="811">
        <f>45000</f>
        <v>45000</v>
      </c>
      <c r="J729" s="812">
        <v>0</v>
      </c>
      <c r="K729" s="812">
        <f>45000-J729</f>
        <v>45000</v>
      </c>
      <c r="L729" s="812">
        <f t="shared" si="24"/>
        <v>45000</v>
      </c>
      <c r="M729" s="812">
        <v>45000</v>
      </c>
    </row>
    <row r="730" spans="1:13" ht="18" customHeight="1">
      <c r="A730" s="803"/>
      <c r="B730" s="804"/>
      <c r="C730" s="804"/>
      <c r="D730" s="804" t="s">
        <v>790</v>
      </c>
      <c r="E730" s="804"/>
      <c r="F730" s="804"/>
      <c r="G730" s="814" t="s">
        <v>425</v>
      </c>
      <c r="H730" s="810" t="s">
        <v>678</v>
      </c>
      <c r="I730" s="811">
        <f>233001</f>
        <v>233001</v>
      </c>
      <c r="J730" s="812">
        <v>213636</v>
      </c>
      <c r="K730" s="812">
        <f>243790-J730</f>
        <v>30154</v>
      </c>
      <c r="L730" s="812">
        <f t="shared" si="24"/>
        <v>243790</v>
      </c>
      <c r="M730" s="812">
        <v>248754</v>
      </c>
    </row>
    <row r="731" spans="1:13" ht="18" customHeight="1">
      <c r="A731" s="803"/>
      <c r="B731" s="804"/>
      <c r="C731" s="804"/>
      <c r="D731" s="804" t="s">
        <v>534</v>
      </c>
      <c r="E731" s="804"/>
      <c r="F731" s="805"/>
      <c r="G731" s="806" t="s">
        <v>592</v>
      </c>
      <c r="H731" s="810" t="s">
        <v>680</v>
      </c>
      <c r="I731" s="811">
        <f>234699</f>
        <v>234699</v>
      </c>
      <c r="J731" s="812">
        <v>0</v>
      </c>
      <c r="K731" s="812">
        <f>243790-J731</f>
        <v>243790</v>
      </c>
      <c r="L731" s="812">
        <f t="shared" si="24"/>
        <v>243790</v>
      </c>
      <c r="M731" s="812">
        <v>249098</v>
      </c>
    </row>
    <row r="732" spans="1:13" ht="18" customHeight="1">
      <c r="A732" s="803"/>
      <c r="B732" s="804"/>
      <c r="C732" s="804"/>
      <c r="D732" s="804" t="s">
        <v>646</v>
      </c>
      <c r="E732" s="804"/>
      <c r="F732" s="805"/>
      <c r="G732" s="806" t="s">
        <v>593</v>
      </c>
      <c r="H732" s="810" t="s">
        <v>681</v>
      </c>
      <c r="I732" s="811">
        <f>322245.76</f>
        <v>322245.76000000001</v>
      </c>
      <c r="J732" s="812">
        <v>133279.07999999999</v>
      </c>
      <c r="K732" s="812">
        <f>353000-J732</f>
        <v>219720.92</v>
      </c>
      <c r="L732" s="812">
        <f t="shared" si="24"/>
        <v>353000</v>
      </c>
      <c r="M732" s="812">
        <v>359000</v>
      </c>
    </row>
    <row r="733" spans="1:13" ht="18" customHeight="1">
      <c r="A733" s="803"/>
      <c r="B733" s="804"/>
      <c r="C733" s="804"/>
      <c r="D733" s="804" t="s">
        <v>535</v>
      </c>
      <c r="E733" s="804"/>
      <c r="F733" s="805"/>
      <c r="G733" s="806" t="s">
        <v>594</v>
      </c>
      <c r="H733" s="810" t="s">
        <v>682</v>
      </c>
      <c r="I733" s="811">
        <f>10800</f>
        <v>10800</v>
      </c>
      <c r="J733" s="812">
        <v>4300</v>
      </c>
      <c r="K733" s="812">
        <f>16200-J733</f>
        <v>11900</v>
      </c>
      <c r="L733" s="812">
        <f t="shared" si="24"/>
        <v>16200</v>
      </c>
      <c r="M733" s="812">
        <v>16200</v>
      </c>
    </row>
    <row r="734" spans="1:13" ht="18" customHeight="1">
      <c r="A734" s="803"/>
      <c r="B734" s="804"/>
      <c r="C734" s="804"/>
      <c r="D734" s="804" t="s">
        <v>536</v>
      </c>
      <c r="E734" s="804"/>
      <c r="F734" s="805"/>
      <c r="G734" s="806" t="s">
        <v>595</v>
      </c>
      <c r="H734" s="810" t="s">
        <v>683</v>
      </c>
      <c r="I734" s="811">
        <f>39643</f>
        <v>39643</v>
      </c>
      <c r="J734" s="812">
        <v>15795</v>
      </c>
      <c r="K734" s="812">
        <f>60000-J734</f>
        <v>44205</v>
      </c>
      <c r="L734" s="812">
        <f t="shared" si="24"/>
        <v>60000</v>
      </c>
      <c r="M734" s="812">
        <v>67500</v>
      </c>
    </row>
    <row r="735" spans="1:13" ht="18" customHeight="1">
      <c r="A735" s="803"/>
      <c r="B735" s="804"/>
      <c r="C735" s="804"/>
      <c r="D735" s="804" t="s">
        <v>642</v>
      </c>
      <c r="E735" s="804"/>
      <c r="F735" s="805"/>
      <c r="G735" s="806" t="s">
        <v>596</v>
      </c>
      <c r="H735" s="810" t="s">
        <v>684</v>
      </c>
      <c r="I735" s="811">
        <f>10700</f>
        <v>10700</v>
      </c>
      <c r="J735" s="812">
        <v>4300</v>
      </c>
      <c r="K735" s="812">
        <f>10800-J735</f>
        <v>6500</v>
      </c>
      <c r="L735" s="812">
        <f t="shared" si="24"/>
        <v>10800</v>
      </c>
      <c r="M735" s="812">
        <v>10800</v>
      </c>
    </row>
    <row r="736" spans="1:13" ht="18" customHeight="1">
      <c r="A736" s="803"/>
      <c r="B736" s="804"/>
      <c r="C736" s="804"/>
      <c r="D736" s="804" t="s">
        <v>365</v>
      </c>
      <c r="E736" s="804"/>
      <c r="F736" s="805"/>
      <c r="G736" s="806" t="s">
        <v>597</v>
      </c>
      <c r="H736" s="810" t="s">
        <v>685</v>
      </c>
      <c r="I736" s="811">
        <v>0</v>
      </c>
      <c r="J736" s="812">
        <v>0</v>
      </c>
      <c r="K736" s="812">
        <f>1300000-J736</f>
        <v>1300000</v>
      </c>
      <c r="L736" s="812">
        <f t="shared" si="24"/>
        <v>1300000</v>
      </c>
      <c r="M736" s="812">
        <v>0</v>
      </c>
    </row>
    <row r="737" spans="1:13" ht="18" hidden="1" customHeight="1">
      <c r="A737" s="803"/>
      <c r="B737" s="804"/>
      <c r="C737" s="804"/>
      <c r="D737" s="804" t="s">
        <v>538</v>
      </c>
      <c r="E737" s="804"/>
      <c r="F737" s="805"/>
      <c r="G737" s="806" t="s">
        <v>388</v>
      </c>
      <c r="H737" s="810" t="s">
        <v>696</v>
      </c>
      <c r="I737" s="811">
        <v>0</v>
      </c>
      <c r="J737" s="812">
        <v>0</v>
      </c>
      <c r="K737" s="812">
        <f>0-J737</f>
        <v>0</v>
      </c>
      <c r="L737" s="812">
        <f t="shared" si="24"/>
        <v>0</v>
      </c>
      <c r="M737" s="812">
        <v>0</v>
      </c>
    </row>
    <row r="738" spans="1:13" ht="18" customHeight="1">
      <c r="A738" s="803"/>
      <c r="B738" s="804"/>
      <c r="C738" s="804"/>
      <c r="D738" s="804" t="s">
        <v>1493</v>
      </c>
      <c r="E738" s="804"/>
      <c r="F738" s="805"/>
      <c r="G738" s="806"/>
      <c r="H738" s="810" t="s">
        <v>696</v>
      </c>
      <c r="I738" s="811">
        <v>90000</v>
      </c>
      <c r="J738" s="812">
        <v>0</v>
      </c>
      <c r="K738" s="812">
        <f>0-J738</f>
        <v>0</v>
      </c>
      <c r="L738" s="812">
        <f t="shared" si="24"/>
        <v>0</v>
      </c>
      <c r="M738" s="812">
        <v>0</v>
      </c>
    </row>
    <row r="739" spans="1:13" ht="18" customHeight="1">
      <c r="A739" s="815"/>
      <c r="B739" s="816"/>
      <c r="C739" s="816"/>
      <c r="D739" s="816" t="s">
        <v>364</v>
      </c>
      <c r="E739" s="816"/>
      <c r="F739" s="817"/>
      <c r="G739" s="818"/>
      <c r="H739" s="847"/>
      <c r="I739" s="819">
        <f>SUM(I719:I738)</f>
        <v>4302440.76</v>
      </c>
      <c r="J739" s="819">
        <f>SUM(J719:J738)</f>
        <v>1977766.08</v>
      </c>
      <c r="K739" s="819">
        <f>SUM(K719:K738)</f>
        <v>3688293.92</v>
      </c>
      <c r="L739" s="819">
        <f>SUM(L719:L738)</f>
        <v>5666060</v>
      </c>
      <c r="M739" s="819">
        <f>SUM(M719:M738)</f>
        <v>4450443</v>
      </c>
    </row>
    <row r="740" spans="1:13" ht="18" customHeight="1">
      <c r="A740" s="803"/>
      <c r="B740" s="804" t="s">
        <v>539</v>
      </c>
      <c r="C740" s="804"/>
      <c r="D740" s="804"/>
      <c r="E740" s="804"/>
      <c r="F740" s="805"/>
      <c r="G740" s="806"/>
      <c r="H740" s="844"/>
      <c r="I740" s="811"/>
      <c r="J740" s="812"/>
      <c r="K740" s="812"/>
      <c r="L740" s="812"/>
      <c r="M740" s="812"/>
    </row>
    <row r="741" spans="1:13" ht="18" customHeight="1">
      <c r="A741" s="803"/>
      <c r="B741" s="804"/>
      <c r="C741" s="804"/>
      <c r="D741" s="804" t="s">
        <v>540</v>
      </c>
      <c r="E741" s="804"/>
      <c r="F741" s="805"/>
      <c r="G741" s="806" t="s">
        <v>376</v>
      </c>
      <c r="H741" s="810" t="s">
        <v>686</v>
      </c>
      <c r="I741" s="811">
        <f>34435</f>
        <v>34435</v>
      </c>
      <c r="J741" s="812">
        <v>34500</v>
      </c>
      <c r="K741" s="812">
        <f>132000-J741</f>
        <v>97500</v>
      </c>
      <c r="L741" s="812">
        <f t="shared" ref="L741:L750" si="25">SUM(K741+J741)</f>
        <v>132000</v>
      </c>
      <c r="M741" s="812">
        <v>132000</v>
      </c>
    </row>
    <row r="742" spans="1:13" ht="18" customHeight="1">
      <c r="A742" s="803"/>
      <c r="B742" s="804"/>
      <c r="C742" s="804"/>
      <c r="D742" s="804" t="s">
        <v>421</v>
      </c>
      <c r="E742" s="804"/>
      <c r="F742" s="805"/>
      <c r="G742" s="806" t="s">
        <v>377</v>
      </c>
      <c r="H742" s="810" t="s">
        <v>687</v>
      </c>
      <c r="I742" s="811">
        <f>37795</f>
        <v>37795</v>
      </c>
      <c r="J742" s="812">
        <v>0</v>
      </c>
      <c r="K742" s="812">
        <f>180000-J742</f>
        <v>180000</v>
      </c>
      <c r="L742" s="812">
        <f t="shared" si="25"/>
        <v>180000</v>
      </c>
      <c r="M742" s="812">
        <v>180000</v>
      </c>
    </row>
    <row r="743" spans="1:13" ht="18" customHeight="1">
      <c r="A743" s="803"/>
      <c r="B743" s="804"/>
      <c r="C743" s="804"/>
      <c r="D743" s="804" t="s">
        <v>371</v>
      </c>
      <c r="E743" s="804"/>
      <c r="F743" s="805"/>
      <c r="G743" s="806" t="s">
        <v>379</v>
      </c>
      <c r="H743" s="810" t="s">
        <v>688</v>
      </c>
      <c r="I743" s="811">
        <f>49680</f>
        <v>49680</v>
      </c>
      <c r="J743" s="812">
        <v>0</v>
      </c>
      <c r="K743" s="812">
        <f>50000-J743</f>
        <v>50000</v>
      </c>
      <c r="L743" s="812">
        <f t="shared" si="25"/>
        <v>50000</v>
      </c>
      <c r="M743" s="812">
        <v>50000</v>
      </c>
    </row>
    <row r="744" spans="1:13" ht="18" customHeight="1">
      <c r="A744" s="803"/>
      <c r="B744" s="804"/>
      <c r="C744" s="804"/>
      <c r="D744" s="804" t="s">
        <v>544</v>
      </c>
      <c r="E744" s="804"/>
      <c r="F744" s="805"/>
      <c r="G744" s="806" t="s">
        <v>601</v>
      </c>
      <c r="H744" s="810" t="s">
        <v>689</v>
      </c>
      <c r="I744" s="811">
        <v>0</v>
      </c>
      <c r="J744" s="812">
        <v>0</v>
      </c>
      <c r="K744" s="812">
        <f>1000-J744</f>
        <v>1000</v>
      </c>
      <c r="L744" s="812">
        <f t="shared" si="25"/>
        <v>1000</v>
      </c>
      <c r="M744" s="812">
        <v>1000</v>
      </c>
    </row>
    <row r="745" spans="1:13" ht="18" customHeight="1">
      <c r="A745" s="803"/>
      <c r="B745" s="804"/>
      <c r="C745" s="804"/>
      <c r="D745" s="804" t="s">
        <v>546</v>
      </c>
      <c r="E745" s="804"/>
      <c r="F745" s="805"/>
      <c r="G745" s="806" t="s">
        <v>380</v>
      </c>
      <c r="H745" s="810" t="s">
        <v>690</v>
      </c>
      <c r="I745" s="811">
        <f>36000</f>
        <v>36000</v>
      </c>
      <c r="J745" s="812">
        <v>18000</v>
      </c>
      <c r="K745" s="812">
        <f>36000-J745</f>
        <v>18000</v>
      </c>
      <c r="L745" s="812">
        <f t="shared" si="25"/>
        <v>36000</v>
      </c>
      <c r="M745" s="812">
        <v>36000</v>
      </c>
    </row>
    <row r="746" spans="1:13" ht="18" customHeight="1">
      <c r="A746" s="803"/>
      <c r="B746" s="804"/>
      <c r="C746" s="804"/>
      <c r="D746" s="804" t="s">
        <v>902</v>
      </c>
      <c r="E746" s="804"/>
      <c r="F746" s="805"/>
      <c r="G746" s="806" t="s">
        <v>381</v>
      </c>
      <c r="H746" s="810" t="s">
        <v>691</v>
      </c>
      <c r="I746" s="811">
        <f>6895</f>
        <v>6895</v>
      </c>
      <c r="J746" s="812">
        <v>0</v>
      </c>
      <c r="K746" s="812">
        <f>20000-J746</f>
        <v>20000</v>
      </c>
      <c r="L746" s="812">
        <f t="shared" si="25"/>
        <v>20000</v>
      </c>
      <c r="M746" s="812">
        <v>20000</v>
      </c>
    </row>
    <row r="747" spans="1:13" ht="18" customHeight="1">
      <c r="A747" s="803"/>
      <c r="B747" s="804"/>
      <c r="C747" s="804"/>
      <c r="D747" s="804" t="s">
        <v>550</v>
      </c>
      <c r="E747" s="804"/>
      <c r="F747" s="805"/>
      <c r="G747" s="806" t="s">
        <v>607</v>
      </c>
      <c r="H747" s="810" t="s">
        <v>704</v>
      </c>
      <c r="I747" s="811">
        <f>736859</f>
        <v>736859</v>
      </c>
      <c r="J747" s="812">
        <v>226435</v>
      </c>
      <c r="K747" s="812">
        <f>847932.2-J747</f>
        <v>621497.19999999995</v>
      </c>
      <c r="L747" s="812">
        <f t="shared" si="25"/>
        <v>847932.2</v>
      </c>
      <c r="M747" s="812">
        <v>847932.2</v>
      </c>
    </row>
    <row r="748" spans="1:13" ht="18" customHeight="1">
      <c r="A748" s="803"/>
      <c r="B748" s="804"/>
      <c r="C748" s="804"/>
      <c r="D748" s="804" t="s">
        <v>1614</v>
      </c>
      <c r="E748" s="804"/>
      <c r="F748" s="805"/>
      <c r="G748" s="806"/>
      <c r="H748" s="810"/>
      <c r="I748" s="811">
        <v>0</v>
      </c>
      <c r="J748" s="812">
        <v>0</v>
      </c>
      <c r="K748" s="812">
        <f>5000000-J748</f>
        <v>5000000</v>
      </c>
      <c r="L748" s="812">
        <f t="shared" si="25"/>
        <v>5000000</v>
      </c>
      <c r="M748" s="812">
        <v>2000000</v>
      </c>
    </row>
    <row r="749" spans="1:13" ht="18" customHeight="1">
      <c r="A749" s="803"/>
      <c r="B749" s="804"/>
      <c r="C749" s="804"/>
      <c r="D749" s="804" t="s">
        <v>552</v>
      </c>
      <c r="E749" s="804"/>
      <c r="F749" s="805"/>
      <c r="G749" s="806" t="s">
        <v>382</v>
      </c>
      <c r="H749" s="810" t="s">
        <v>692</v>
      </c>
      <c r="I749" s="811">
        <v>0</v>
      </c>
      <c r="J749" s="812">
        <v>0</v>
      </c>
      <c r="K749" s="812">
        <f>10000-J749</f>
        <v>10000</v>
      </c>
      <c r="L749" s="812">
        <f t="shared" si="25"/>
        <v>10000</v>
      </c>
      <c r="M749" s="812">
        <v>10000</v>
      </c>
    </row>
    <row r="750" spans="1:13" ht="18" customHeight="1">
      <c r="A750" s="803"/>
      <c r="B750" s="804"/>
      <c r="C750" s="804"/>
      <c r="D750" s="804" t="s">
        <v>1681</v>
      </c>
      <c r="E750" s="804"/>
      <c r="F750" s="805"/>
      <c r="G750" s="806"/>
      <c r="H750" s="810" t="s">
        <v>692</v>
      </c>
      <c r="I750" s="811">
        <f>225000</f>
        <v>225000</v>
      </c>
      <c r="J750" s="812">
        <v>0</v>
      </c>
      <c r="K750" s="812">
        <f>0-J750</f>
        <v>0</v>
      </c>
      <c r="L750" s="812">
        <f t="shared" si="25"/>
        <v>0</v>
      </c>
      <c r="M750" s="812">
        <v>0</v>
      </c>
    </row>
    <row r="751" spans="1:13" ht="18" customHeight="1">
      <c r="A751" s="815"/>
      <c r="B751" s="816"/>
      <c r="C751" s="816"/>
      <c r="D751" s="816" t="s">
        <v>737</v>
      </c>
      <c r="E751" s="816"/>
      <c r="F751" s="817"/>
      <c r="G751" s="818"/>
      <c r="H751" s="847"/>
      <c r="I751" s="819">
        <f>SUM(I741:I750)</f>
        <v>1126664</v>
      </c>
      <c r="J751" s="819">
        <f>SUM(J741:J750)</f>
        <v>278935</v>
      </c>
      <c r="K751" s="819">
        <f>SUM(K741:K750)</f>
        <v>5997997.2000000002</v>
      </c>
      <c r="L751" s="819">
        <f>SUM(L741:L750)</f>
        <v>6276932.2000000002</v>
      </c>
      <c r="M751" s="819">
        <f>SUM(M741:M750)</f>
        <v>3276932.2</v>
      </c>
    </row>
    <row r="752" spans="1:13" ht="18" customHeight="1">
      <c r="A752" s="803"/>
      <c r="B752" s="804" t="s">
        <v>553</v>
      </c>
      <c r="C752" s="804"/>
      <c r="D752" s="804"/>
      <c r="E752" s="804"/>
      <c r="F752" s="805"/>
      <c r="G752" s="806"/>
      <c r="H752" s="844"/>
      <c r="I752" s="811"/>
      <c r="J752" s="812"/>
      <c r="K752" s="812"/>
      <c r="L752" s="812"/>
      <c r="M752" s="812"/>
    </row>
    <row r="753" spans="1:14" ht="18" customHeight="1">
      <c r="A753" s="803"/>
      <c r="B753" s="804"/>
      <c r="C753" s="804"/>
      <c r="D753" s="804" t="s">
        <v>1603</v>
      </c>
      <c r="E753" s="804"/>
      <c r="F753" s="805"/>
      <c r="G753" s="806"/>
      <c r="H753" s="810" t="s">
        <v>831</v>
      </c>
      <c r="I753" s="811">
        <f>34100</f>
        <v>34100</v>
      </c>
      <c r="J753" s="812">
        <v>0</v>
      </c>
      <c r="K753" s="812">
        <f>73000-J753</f>
        <v>73000</v>
      </c>
      <c r="L753" s="812">
        <f>SUM(K753+J753)</f>
        <v>73000</v>
      </c>
      <c r="M753" s="812">
        <v>0</v>
      </c>
    </row>
    <row r="754" spans="1:14" ht="18" hidden="1" customHeight="1">
      <c r="A754" s="803"/>
      <c r="B754" s="804"/>
      <c r="C754" s="804"/>
      <c r="D754" s="804" t="s">
        <v>829</v>
      </c>
      <c r="E754" s="804"/>
      <c r="F754" s="805"/>
      <c r="G754" s="806" t="s">
        <v>832</v>
      </c>
      <c r="H754" s="810" t="s">
        <v>1527</v>
      </c>
      <c r="I754" s="811">
        <v>0</v>
      </c>
      <c r="J754" s="812">
        <v>0</v>
      </c>
      <c r="K754" s="812">
        <v>0</v>
      </c>
      <c r="L754" s="812">
        <f>SUM(K754+J754)</f>
        <v>0</v>
      </c>
      <c r="M754" s="812">
        <v>0</v>
      </c>
    </row>
    <row r="755" spans="1:14" ht="18" customHeight="1">
      <c r="A755" s="803"/>
      <c r="B755" s="804"/>
      <c r="C755" s="804"/>
      <c r="D755" s="804" t="s">
        <v>839</v>
      </c>
      <c r="E755" s="804"/>
      <c r="F755" s="805"/>
      <c r="G755" s="806"/>
      <c r="H755" s="810" t="s">
        <v>840</v>
      </c>
      <c r="I755" s="811">
        <f>18990</f>
        <v>18990</v>
      </c>
      <c r="J755" s="812">
        <v>0</v>
      </c>
      <c r="K755" s="812">
        <f>0-J755</f>
        <v>0</v>
      </c>
      <c r="L755" s="812">
        <f>SUM(K755+J755)</f>
        <v>0</v>
      </c>
      <c r="M755" s="812">
        <v>0</v>
      </c>
    </row>
    <row r="756" spans="1:14" ht="18" customHeight="1">
      <c r="A756" s="803"/>
      <c r="B756" s="804"/>
      <c r="C756" s="804"/>
      <c r="D756" s="804" t="s">
        <v>833</v>
      </c>
      <c r="E756" s="804"/>
      <c r="F756" s="805"/>
      <c r="G756" s="806" t="s">
        <v>834</v>
      </c>
      <c r="H756" s="810" t="s">
        <v>835</v>
      </c>
      <c r="I756" s="811">
        <f>54999</f>
        <v>54999</v>
      </c>
      <c r="J756" s="812">
        <v>0</v>
      </c>
      <c r="K756" s="812">
        <f>47000-J756</f>
        <v>47000</v>
      </c>
      <c r="L756" s="812">
        <f>SUM(K756+J756)</f>
        <v>47000</v>
      </c>
      <c r="M756" s="812">
        <v>0</v>
      </c>
    </row>
    <row r="757" spans="1:14" ht="18" customHeight="1">
      <c r="A757" s="815"/>
      <c r="B757" s="816"/>
      <c r="C757" s="816"/>
      <c r="D757" s="816" t="s">
        <v>782</v>
      </c>
      <c r="E757" s="816"/>
      <c r="F757" s="817"/>
      <c r="G757" s="818"/>
      <c r="H757" s="847"/>
      <c r="I757" s="819">
        <f>SUM(I753:I756)</f>
        <v>108089</v>
      </c>
      <c r="J757" s="819">
        <f>SUM(J753:J756)</f>
        <v>0</v>
      </c>
      <c r="K757" s="819">
        <f>SUM(K753:K756)</f>
        <v>120000</v>
      </c>
      <c r="L757" s="819">
        <f>SUM(L753:L756)</f>
        <v>120000</v>
      </c>
      <c r="M757" s="819">
        <f>SUM(M753:M756)</f>
        <v>0</v>
      </c>
    </row>
    <row r="758" spans="1:14" ht="18" customHeight="1">
      <c r="A758" s="815"/>
      <c r="B758" s="816"/>
      <c r="C758" s="816"/>
      <c r="D758" s="816"/>
      <c r="E758" s="816"/>
      <c r="F758" s="817"/>
      <c r="G758" s="818"/>
      <c r="H758" s="847"/>
      <c r="I758" s="819"/>
      <c r="J758" s="822"/>
      <c r="K758" s="822"/>
      <c r="L758" s="822"/>
      <c r="M758" s="822"/>
    </row>
    <row r="759" spans="1:14" ht="18" customHeight="1">
      <c r="A759" s="823" t="s">
        <v>613</v>
      </c>
      <c r="B759" s="824"/>
      <c r="C759" s="824"/>
      <c r="D759" s="824"/>
      <c r="E759" s="824"/>
      <c r="F759" s="825"/>
      <c r="G759" s="826"/>
      <c r="H759" s="848"/>
      <c r="I759" s="828">
        <f>SUM(I757+I751+I739)</f>
        <v>5537193.7599999998</v>
      </c>
      <c r="J759" s="828">
        <f>SUM(J757+J751+J739)</f>
        <v>2256701.08</v>
      </c>
      <c r="K759" s="828">
        <f>SUM(K757+K751+K739)</f>
        <v>9806291.120000001</v>
      </c>
      <c r="L759" s="828">
        <f>SUM(L757+L751+L739)</f>
        <v>12062992.199999999</v>
      </c>
      <c r="M759" s="828">
        <f>SUM(M757+M751+M739)</f>
        <v>7727375.2000000002</v>
      </c>
    </row>
    <row r="760" spans="1:14" ht="18" customHeight="1">
      <c r="A760" s="791"/>
      <c r="B760" s="829"/>
      <c r="C760" s="791"/>
      <c r="D760" s="791"/>
      <c r="E760" s="791"/>
      <c r="F760" s="791"/>
      <c r="G760" s="791"/>
      <c r="H760" s="830"/>
      <c r="I760" s="967"/>
      <c r="J760" s="831"/>
      <c r="K760" s="831"/>
      <c r="L760" s="831"/>
      <c r="M760" s="831"/>
    </row>
    <row r="761" spans="1:14" s="1323" customFormat="1" ht="18" customHeight="1">
      <c r="A761" s="1484" t="s">
        <v>1796</v>
      </c>
      <c r="B761" s="1484"/>
      <c r="C761" s="1484"/>
      <c r="D761" s="1484"/>
      <c r="E761" s="1484"/>
      <c r="F761" s="1484"/>
      <c r="G761" s="1484"/>
      <c r="H761" s="1484"/>
      <c r="I761" s="1484"/>
      <c r="J761" s="1484"/>
      <c r="K761" s="1484"/>
      <c r="L761" s="1484"/>
      <c r="M761" s="1484"/>
    </row>
    <row r="762" spans="1:14" s="1323" customFormat="1" ht="18" customHeight="1"/>
    <row r="763" spans="1:14" s="1336" customFormat="1" ht="20.100000000000001" customHeight="1">
      <c r="A763" s="1485" t="s">
        <v>1577</v>
      </c>
      <c r="B763" s="1485"/>
      <c r="C763" s="1485"/>
      <c r="D763" s="1485"/>
      <c r="E763" s="1485"/>
      <c r="F763" s="1485"/>
      <c r="G763" s="1485"/>
      <c r="H763" s="1485"/>
      <c r="I763" s="1485"/>
      <c r="J763" s="1485"/>
      <c r="K763" s="1485"/>
      <c r="L763" s="1485"/>
      <c r="M763" s="1485"/>
    </row>
    <row r="764" spans="1:14" s="778" customFormat="1" ht="18" customHeight="1">
      <c r="A764" s="776"/>
      <c r="B764" s="776"/>
      <c r="C764" s="776"/>
      <c r="D764" s="833"/>
      <c r="E764" s="833"/>
      <c r="F764" s="834"/>
      <c r="G764" s="835"/>
      <c r="H764" s="836"/>
      <c r="I764" s="1502"/>
      <c r="J764" s="1502"/>
      <c r="K764" s="836"/>
      <c r="L764" s="1502"/>
      <c r="M764" s="1502"/>
    </row>
    <row r="765" spans="1:14" s="1323" customFormat="1" ht="15" customHeight="1">
      <c r="A765" s="1325"/>
      <c r="B765" s="1324"/>
      <c r="C765" s="1324"/>
      <c r="D765" s="1324"/>
      <c r="E765" s="1324"/>
      <c r="F765" s="1324"/>
      <c r="G765" s="1324"/>
      <c r="H765" s="1324"/>
      <c r="I765" s="1324"/>
      <c r="J765" s="1324"/>
      <c r="K765" s="1324"/>
      <c r="L765" s="1324"/>
      <c r="M765" s="1334"/>
    </row>
    <row r="766" spans="1:14" s="1253" customFormat="1" ht="15" customHeight="1">
      <c r="A766" s="1467" t="s">
        <v>861</v>
      </c>
      <c r="B766" s="1467"/>
      <c r="C766" s="1467"/>
      <c r="D766" s="1467"/>
      <c r="E766" s="1467"/>
      <c r="F766" s="1467"/>
      <c r="G766" s="1467"/>
      <c r="H766" s="1467"/>
      <c r="I766" s="1467"/>
      <c r="J766" s="1467"/>
      <c r="K766" s="1467"/>
      <c r="L766" s="1467"/>
      <c r="M766" s="1467"/>
      <c r="N766" s="1319"/>
    </row>
    <row r="767" spans="1:14" s="1253" customFormat="1" ht="15" customHeight="1">
      <c r="A767" s="1467" t="s">
        <v>174</v>
      </c>
      <c r="B767" s="1467"/>
      <c r="C767" s="1467"/>
      <c r="D767" s="1467"/>
      <c r="E767" s="1467"/>
      <c r="F767" s="1467"/>
      <c r="G767" s="1467"/>
      <c r="H767" s="1467"/>
      <c r="I767" s="1467"/>
      <c r="J767" s="1467"/>
      <c r="K767" s="1467"/>
      <c r="L767" s="1467"/>
      <c r="M767" s="1467"/>
      <c r="N767" s="1319"/>
    </row>
    <row r="768" spans="1:14" s="1253" customFormat="1" ht="15" customHeight="1">
      <c r="A768" s="1467" t="s">
        <v>1780</v>
      </c>
      <c r="B768" s="1467"/>
      <c r="C768" s="1467"/>
      <c r="D768" s="1467"/>
      <c r="E768" s="1467"/>
      <c r="F768" s="1467"/>
      <c r="G768" s="1467"/>
      <c r="H768" s="1467"/>
      <c r="I768" s="1467"/>
      <c r="J768" s="1467"/>
      <c r="K768" s="1467"/>
      <c r="L768" s="1467"/>
      <c r="M768" s="1467"/>
      <c r="N768" s="1319"/>
    </row>
    <row r="769" spans="1:14" s="1253" customFormat="1" ht="15" customHeight="1">
      <c r="A769" s="1467"/>
      <c r="B769" s="1467"/>
      <c r="C769" s="1467"/>
      <c r="D769" s="1467"/>
      <c r="E769" s="1467"/>
      <c r="F769" s="1467"/>
      <c r="G769" s="1467"/>
      <c r="H769" s="1467"/>
      <c r="I769" s="1467"/>
      <c r="J769" s="1467"/>
      <c r="K769" s="1467"/>
      <c r="L769" s="1467"/>
      <c r="M769" s="1467"/>
      <c r="N769" s="1319"/>
    </row>
    <row r="770" spans="1:14" s="1253" customFormat="1" ht="15" customHeight="1">
      <c r="A770" s="1254"/>
      <c r="B770" s="1254"/>
      <c r="C770" s="1254"/>
      <c r="D770" s="1254"/>
      <c r="E770" s="1254"/>
      <c r="F770" s="1254"/>
      <c r="G770" s="1254"/>
      <c r="H770" s="1254"/>
      <c r="I770" s="1254"/>
      <c r="J770" s="1254"/>
      <c r="K770" s="1254"/>
      <c r="L770" s="1254"/>
      <c r="M770" s="1254"/>
      <c r="N770" s="1319"/>
    </row>
    <row r="771" spans="1:14" s="1253" customFormat="1" ht="15" customHeight="1">
      <c r="A771" s="1254"/>
      <c r="B771" s="1254"/>
      <c r="C771" s="1254"/>
      <c r="D771" s="1254"/>
      <c r="E771" s="1254"/>
      <c r="F771" s="1254"/>
      <c r="G771" s="1254"/>
      <c r="H771" s="1254"/>
      <c r="I771" s="1254"/>
      <c r="J771" s="1254"/>
      <c r="K771" s="1254"/>
      <c r="L771" s="1254"/>
      <c r="M771" s="1254"/>
      <c r="N771" s="1319"/>
    </row>
    <row r="772" spans="1:14" s="1253" customFormat="1" ht="15" customHeight="1">
      <c r="A772" s="1254"/>
      <c r="B772" s="1254"/>
      <c r="C772" s="1254"/>
      <c r="D772" s="1254"/>
      <c r="E772" s="1254"/>
      <c r="F772" s="1254"/>
      <c r="G772" s="1254"/>
      <c r="H772" s="1254"/>
      <c r="I772" s="1254"/>
      <c r="J772" s="1254"/>
      <c r="K772" s="1254"/>
      <c r="L772" s="1254"/>
      <c r="M772" s="1254"/>
      <c r="N772" s="1319"/>
    </row>
    <row r="773" spans="1:14" s="1253" customFormat="1" ht="18" customHeight="1">
      <c r="A773" s="1468" t="s">
        <v>1781</v>
      </c>
      <c r="B773" s="1468"/>
      <c r="C773" s="1468"/>
      <c r="D773" s="1468"/>
      <c r="E773" s="1468"/>
      <c r="F773" s="1468"/>
      <c r="G773" s="1468"/>
      <c r="H773" s="1468"/>
      <c r="I773" s="1468"/>
      <c r="J773" s="1468"/>
      <c r="K773" s="1468"/>
      <c r="L773" s="1468"/>
      <c r="M773" s="1468"/>
      <c r="N773" s="1320"/>
    </row>
    <row r="774" spans="1:14" s="1253" customFormat="1">
      <c r="A774" s="1469" t="s">
        <v>1817</v>
      </c>
      <c r="B774" s="1469"/>
      <c r="C774" s="1469"/>
      <c r="D774" s="1469"/>
      <c r="E774" s="1469"/>
      <c r="F774" s="1469"/>
      <c r="G774" s="1469"/>
      <c r="H774" s="1469"/>
      <c r="I774" s="1469"/>
      <c r="J774" s="1469"/>
      <c r="K774" s="1469"/>
      <c r="L774" s="1469"/>
      <c r="M774" s="1469"/>
      <c r="N774" s="1321"/>
    </row>
    <row r="775" spans="1:14" s="1253" customFormat="1" ht="15.75">
      <c r="A775" s="1253" t="s">
        <v>1848</v>
      </c>
      <c r="G775" s="1254"/>
      <c r="I775" s="1255"/>
      <c r="L775" s="1256"/>
      <c r="M775" s="1256"/>
    </row>
    <row r="776" spans="1:14" s="1253" customFormat="1" ht="15.75">
      <c r="A776" s="1253" t="s">
        <v>1811</v>
      </c>
      <c r="G776" s="1254"/>
      <c r="I776" s="1255"/>
      <c r="L776" s="1256"/>
      <c r="M776" s="1256"/>
    </row>
    <row r="777" spans="1:14" s="1253" customFormat="1" ht="8.1" customHeight="1">
      <c r="A777" s="1257" t="s">
        <v>1812</v>
      </c>
      <c r="G777" s="1254"/>
      <c r="I777" s="1255"/>
      <c r="L777" s="1256"/>
      <c r="M777" s="1256"/>
    </row>
    <row r="778" spans="1:14" s="1394" customFormat="1" ht="31.5" customHeight="1">
      <c r="A778" s="1394" t="s">
        <v>1849</v>
      </c>
      <c r="C778" s="1486" t="s">
        <v>1850</v>
      </c>
      <c r="D778" s="1486"/>
      <c r="E778" s="1486"/>
      <c r="F778" s="1486"/>
      <c r="G778" s="1486"/>
      <c r="H778" s="1486"/>
      <c r="I778" s="1486"/>
      <c r="J778" s="1486"/>
      <c r="K778" s="1486"/>
      <c r="L778" s="1486"/>
      <c r="M778" s="1486"/>
      <c r="N778" s="1396"/>
    </row>
    <row r="779" spans="1:14" s="778" customFormat="1" ht="18" customHeight="1" thickBot="1">
      <c r="A779" s="1506"/>
      <c r="B779" s="1506"/>
      <c r="C779" s="1506"/>
      <c r="D779" s="1506"/>
      <c r="E779" s="1506"/>
      <c r="F779" s="1506"/>
      <c r="G779" s="1506"/>
      <c r="H779" s="1506"/>
      <c r="I779" s="1506"/>
      <c r="J779" s="1506"/>
      <c r="K779" s="1506"/>
      <c r="L779" s="1506"/>
      <c r="M779" s="1506"/>
    </row>
    <row r="780" spans="1:14" ht="18" customHeight="1">
      <c r="A780" s="780"/>
      <c r="B780" s="781"/>
      <c r="C780" s="781"/>
      <c r="D780" s="781"/>
      <c r="E780" s="781"/>
      <c r="F780" s="782"/>
      <c r="G780" s="783"/>
      <c r="H780" s="784"/>
      <c r="I780" s="784" t="s">
        <v>6</v>
      </c>
      <c r="J780" s="1488" t="s">
        <v>1914</v>
      </c>
      <c r="K780" s="1489"/>
      <c r="L780" s="1490"/>
      <c r="M780" s="785" t="s">
        <v>7</v>
      </c>
    </row>
    <row r="781" spans="1:14" ht="18" customHeight="1">
      <c r="A781" s="1491"/>
      <c r="B781" s="1492"/>
      <c r="C781" s="1492"/>
      <c r="D781" s="1492"/>
      <c r="E781" s="1492"/>
      <c r="F781" s="1493"/>
      <c r="G781" s="1371"/>
      <c r="H781" s="786"/>
      <c r="I781" s="786">
        <v>2021</v>
      </c>
      <c r="J781" s="786" t="s">
        <v>560</v>
      </c>
      <c r="K781" s="786" t="s">
        <v>561</v>
      </c>
      <c r="L781" s="786">
        <v>2022</v>
      </c>
      <c r="M781" s="787">
        <v>2023</v>
      </c>
    </row>
    <row r="782" spans="1:14" ht="18" customHeight="1">
      <c r="A782" s="1491" t="s">
        <v>21</v>
      </c>
      <c r="B782" s="1492"/>
      <c r="C782" s="1492"/>
      <c r="D782" s="1492"/>
      <c r="E782" s="1492"/>
      <c r="F782" s="1493"/>
      <c r="G782" s="788"/>
      <c r="H782" s="789" t="s">
        <v>612</v>
      </c>
      <c r="I782" s="786" t="s">
        <v>909</v>
      </c>
      <c r="J782" s="786" t="s">
        <v>559</v>
      </c>
      <c r="K782" s="786" t="s">
        <v>562</v>
      </c>
      <c r="L782" s="786" t="s">
        <v>909</v>
      </c>
      <c r="M782" s="787" t="s">
        <v>909</v>
      </c>
    </row>
    <row r="783" spans="1:14" ht="18" customHeight="1">
      <c r="A783" s="790"/>
      <c r="B783" s="791"/>
      <c r="C783" s="791"/>
      <c r="D783" s="791"/>
      <c r="E783" s="791"/>
      <c r="F783" s="792"/>
      <c r="G783" s="788"/>
      <c r="H783" s="786"/>
      <c r="I783" s="786" t="s">
        <v>559</v>
      </c>
      <c r="J783" s="786">
        <v>2022</v>
      </c>
      <c r="K783" s="786">
        <v>2022</v>
      </c>
      <c r="L783" s="786" t="s">
        <v>910</v>
      </c>
      <c r="M783" s="787" t="s">
        <v>564</v>
      </c>
    </row>
    <row r="784" spans="1:14" ht="18" customHeight="1" thickBot="1">
      <c r="A784" s="1497"/>
      <c r="B784" s="1498"/>
      <c r="C784" s="1498"/>
      <c r="D784" s="1498"/>
      <c r="E784" s="1498"/>
      <c r="F784" s="1499"/>
      <c r="G784" s="1372"/>
      <c r="H784" s="793"/>
      <c r="I784" s="1393"/>
      <c r="J784" s="793"/>
      <c r="K784" s="793"/>
      <c r="L784" s="793"/>
      <c r="M784" s="794"/>
    </row>
    <row r="785" spans="1:13" ht="18" customHeight="1">
      <c r="A785" s="795"/>
      <c r="B785" s="796" t="s">
        <v>359</v>
      </c>
      <c r="C785" s="797"/>
      <c r="D785" s="796"/>
      <c r="E785" s="796"/>
      <c r="F785" s="798"/>
      <c r="G785" s="799"/>
      <c r="H785" s="841"/>
      <c r="I785" s="842"/>
      <c r="J785" s="843"/>
      <c r="K785" s="843"/>
      <c r="L785" s="843"/>
      <c r="M785" s="843"/>
    </row>
    <row r="786" spans="1:13" ht="18" customHeight="1">
      <c r="A786" s="803"/>
      <c r="B786" s="804"/>
      <c r="C786" s="804" t="s">
        <v>515</v>
      </c>
      <c r="D786" s="804"/>
      <c r="E786" s="804"/>
      <c r="F786" s="805"/>
      <c r="G786" s="806"/>
      <c r="H786" s="844"/>
      <c r="I786" s="845"/>
      <c r="J786" s="846"/>
      <c r="K786" s="846"/>
      <c r="L786" s="846"/>
      <c r="M786" s="846"/>
    </row>
    <row r="787" spans="1:13" ht="18" customHeight="1">
      <c r="A787" s="803"/>
      <c r="B787" s="804"/>
      <c r="C787" s="804"/>
      <c r="D787" s="804" t="s">
        <v>516</v>
      </c>
      <c r="E787" s="804"/>
      <c r="F787" s="805"/>
      <c r="G787" s="806" t="s">
        <v>582</v>
      </c>
      <c r="H787" s="810" t="s">
        <v>672</v>
      </c>
      <c r="I787" s="811">
        <f>4880136</f>
        <v>4880136</v>
      </c>
      <c r="J787" s="812">
        <v>2593230</v>
      </c>
      <c r="K787" s="812">
        <f>6502489-J787</f>
        <v>3909259</v>
      </c>
      <c r="L787" s="812">
        <f>SUM(K787+J787)</f>
        <v>6502489</v>
      </c>
      <c r="M787" s="812">
        <v>6766084</v>
      </c>
    </row>
    <row r="788" spans="1:13" ht="18" customHeight="1">
      <c r="A788" s="803"/>
      <c r="B788" s="804"/>
      <c r="C788" s="804" t="s">
        <v>517</v>
      </c>
      <c r="D788" s="804"/>
      <c r="E788" s="804"/>
      <c r="F788" s="805"/>
      <c r="G788" s="806"/>
      <c r="H788" s="844"/>
      <c r="I788" s="811"/>
      <c r="J788" s="812"/>
      <c r="K788" s="812"/>
      <c r="L788" s="812"/>
      <c r="M788" s="812"/>
    </row>
    <row r="789" spans="1:13" ht="18" customHeight="1">
      <c r="A789" s="803"/>
      <c r="B789" s="804"/>
      <c r="C789" s="804"/>
      <c r="D789" s="804" t="s">
        <v>518</v>
      </c>
      <c r="E789" s="804"/>
      <c r="F789" s="805"/>
      <c r="G789" s="806" t="s">
        <v>583</v>
      </c>
      <c r="H789" s="810" t="s">
        <v>673</v>
      </c>
      <c r="I789" s="811">
        <f>312000</f>
        <v>312000</v>
      </c>
      <c r="J789" s="812">
        <v>156000</v>
      </c>
      <c r="K789" s="812">
        <f>384000-J789</f>
        <v>228000</v>
      </c>
      <c r="L789" s="812">
        <f t="shared" ref="L789:L808" si="26">SUM(K789+J789)</f>
        <v>384000</v>
      </c>
      <c r="M789" s="812">
        <v>384000</v>
      </c>
    </row>
    <row r="790" spans="1:13" ht="18" customHeight="1">
      <c r="A790" s="803"/>
      <c r="B790" s="804"/>
      <c r="C790" s="804"/>
      <c r="D790" s="804" t="s">
        <v>528</v>
      </c>
      <c r="E790" s="804"/>
      <c r="F790" s="805"/>
      <c r="G790" s="806" t="s">
        <v>584</v>
      </c>
      <c r="H790" s="810" t="s">
        <v>674</v>
      </c>
      <c r="I790" s="811">
        <v>76500</v>
      </c>
      <c r="J790" s="812">
        <v>38250</v>
      </c>
      <c r="K790" s="812">
        <f>76500-J790</f>
        <v>38250</v>
      </c>
      <c r="L790" s="812">
        <f t="shared" si="26"/>
        <v>76500</v>
      </c>
      <c r="M790" s="812">
        <v>76500</v>
      </c>
    </row>
    <row r="791" spans="1:13" ht="18" customHeight="1">
      <c r="A791" s="803"/>
      <c r="B791" s="804"/>
      <c r="C791" s="804"/>
      <c r="D791" s="804" t="s">
        <v>527</v>
      </c>
      <c r="E791" s="804"/>
      <c r="F791" s="805"/>
      <c r="G791" s="806" t="s">
        <v>585</v>
      </c>
      <c r="H791" s="810" t="s">
        <v>675</v>
      </c>
      <c r="I791" s="811">
        <v>76500</v>
      </c>
      <c r="J791" s="812">
        <v>38250</v>
      </c>
      <c r="K791" s="812">
        <f>76500-J791</f>
        <v>38250</v>
      </c>
      <c r="L791" s="812">
        <f t="shared" si="26"/>
        <v>76500</v>
      </c>
      <c r="M791" s="812">
        <v>76500</v>
      </c>
    </row>
    <row r="792" spans="1:13" ht="18" customHeight="1">
      <c r="A792" s="803"/>
      <c r="B792" s="804"/>
      <c r="C792" s="804"/>
      <c r="D792" s="804" t="s">
        <v>529</v>
      </c>
      <c r="E792" s="804"/>
      <c r="F792" s="805"/>
      <c r="G792" s="806" t="s">
        <v>586</v>
      </c>
      <c r="H792" s="810" t="s">
        <v>676</v>
      </c>
      <c r="I792" s="811">
        <v>78000</v>
      </c>
      <c r="J792" s="812">
        <v>78000</v>
      </c>
      <c r="K792" s="812">
        <f>96000-J792</f>
        <v>18000</v>
      </c>
      <c r="L792" s="812">
        <f t="shared" si="26"/>
        <v>96000</v>
      </c>
      <c r="M792" s="812">
        <v>96000</v>
      </c>
    </row>
    <row r="793" spans="1:13" ht="18" customHeight="1">
      <c r="A793" s="803"/>
      <c r="B793" s="804"/>
      <c r="C793" s="804"/>
      <c r="D793" s="804" t="s">
        <v>530</v>
      </c>
      <c r="E793" s="804"/>
      <c r="F793" s="805"/>
      <c r="G793" s="806" t="s">
        <v>587</v>
      </c>
      <c r="H793" s="810" t="s">
        <v>693</v>
      </c>
      <c r="I793" s="811">
        <f>159525+15300</f>
        <v>174825</v>
      </c>
      <c r="J793" s="812">
        <v>84725</v>
      </c>
      <c r="K793" s="812">
        <f>316800-J793</f>
        <v>232075</v>
      </c>
      <c r="L793" s="812">
        <f t="shared" si="26"/>
        <v>316800</v>
      </c>
      <c r="M793" s="812">
        <v>316800</v>
      </c>
    </row>
    <row r="794" spans="1:13" ht="18" customHeight="1">
      <c r="A794" s="803"/>
      <c r="B794" s="804"/>
      <c r="C794" s="804"/>
      <c r="D794" s="804" t="s">
        <v>670</v>
      </c>
      <c r="E794" s="804"/>
      <c r="F794" s="805"/>
      <c r="G794" s="806" t="s">
        <v>588</v>
      </c>
      <c r="H794" s="810" t="s">
        <v>677</v>
      </c>
      <c r="I794" s="811">
        <v>65000</v>
      </c>
      <c r="J794" s="812">
        <v>0</v>
      </c>
      <c r="K794" s="812">
        <f>80000-J794</f>
        <v>80000</v>
      </c>
      <c r="L794" s="812">
        <f t="shared" si="26"/>
        <v>80000</v>
      </c>
      <c r="M794" s="812">
        <v>80000</v>
      </c>
    </row>
    <row r="795" spans="1:13" ht="18" customHeight="1">
      <c r="A795" s="803"/>
      <c r="B795" s="804"/>
      <c r="C795" s="804"/>
      <c r="D795" s="804" t="s">
        <v>531</v>
      </c>
      <c r="E795" s="804"/>
      <c r="F795" s="805"/>
      <c r="G795" s="806" t="s">
        <v>425</v>
      </c>
      <c r="H795" s="810" t="s">
        <v>678</v>
      </c>
      <c r="I795" s="811">
        <f>15000</f>
        <v>15000</v>
      </c>
      <c r="J795" s="812">
        <v>0</v>
      </c>
      <c r="K795" s="812">
        <f>0-J795</f>
        <v>0</v>
      </c>
      <c r="L795" s="812">
        <f t="shared" si="26"/>
        <v>0</v>
      </c>
      <c r="M795" s="812">
        <v>10000</v>
      </c>
    </row>
    <row r="796" spans="1:13" ht="18" customHeight="1">
      <c r="A796" s="803"/>
      <c r="B796" s="804"/>
      <c r="C796" s="804"/>
      <c r="D796" s="804" t="s">
        <v>1580</v>
      </c>
      <c r="E796" s="804"/>
      <c r="F796" s="805"/>
      <c r="G796" s="806" t="s">
        <v>425</v>
      </c>
      <c r="H796" s="810" t="s">
        <v>678</v>
      </c>
      <c r="I796" s="811">
        <f>39000</f>
        <v>39000</v>
      </c>
      <c r="J796" s="812">
        <v>0</v>
      </c>
      <c r="K796" s="812">
        <f>0-J796</f>
        <v>0</v>
      </c>
      <c r="L796" s="812">
        <f t="shared" si="26"/>
        <v>0</v>
      </c>
      <c r="M796" s="812">
        <v>0</v>
      </c>
    </row>
    <row r="797" spans="1:13" ht="18" hidden="1" customHeight="1">
      <c r="A797" s="803"/>
      <c r="B797" s="804"/>
      <c r="C797" s="804"/>
      <c r="D797" s="804" t="s">
        <v>1492</v>
      </c>
      <c r="E797" s="804"/>
      <c r="F797" s="805"/>
      <c r="G797" s="806"/>
      <c r="H797" s="810" t="s">
        <v>678</v>
      </c>
      <c r="I797" s="811">
        <v>0</v>
      </c>
      <c r="J797" s="812">
        <v>0</v>
      </c>
      <c r="K797" s="812">
        <v>0</v>
      </c>
      <c r="L797" s="812">
        <f t="shared" si="26"/>
        <v>0</v>
      </c>
      <c r="M797" s="812">
        <v>0</v>
      </c>
    </row>
    <row r="798" spans="1:13" ht="18" customHeight="1">
      <c r="A798" s="803"/>
      <c r="B798" s="804"/>
      <c r="C798" s="804"/>
      <c r="D798" s="804" t="s">
        <v>532</v>
      </c>
      <c r="E798" s="804"/>
      <c r="F798" s="805"/>
      <c r="G798" s="806" t="s">
        <v>589</v>
      </c>
      <c r="H798" s="810" t="s">
        <v>694</v>
      </c>
      <c r="I798" s="811">
        <f>382618.5+34783.5</f>
        <v>417402</v>
      </c>
      <c r="J798" s="812">
        <v>210635</v>
      </c>
      <c r="K798" s="812">
        <f>546687-J798</f>
        <v>336052</v>
      </c>
      <c r="L798" s="812">
        <f t="shared" si="26"/>
        <v>546687</v>
      </c>
      <c r="M798" s="812">
        <v>546687</v>
      </c>
    </row>
    <row r="799" spans="1:13" ht="18" customHeight="1">
      <c r="A799" s="803"/>
      <c r="B799" s="804"/>
      <c r="C799" s="804"/>
      <c r="D799" s="804" t="s">
        <v>533</v>
      </c>
      <c r="E799" s="804"/>
      <c r="F799" s="805"/>
      <c r="G799" s="806" t="s">
        <v>591</v>
      </c>
      <c r="H799" s="810" t="s">
        <v>679</v>
      </c>
      <c r="I799" s="811">
        <f>65000</f>
        <v>65000</v>
      </c>
      <c r="J799" s="812">
        <v>0</v>
      </c>
      <c r="K799" s="812">
        <f>80000-J799</f>
        <v>80000</v>
      </c>
      <c r="L799" s="812">
        <f t="shared" si="26"/>
        <v>80000</v>
      </c>
      <c r="M799" s="812">
        <v>80000</v>
      </c>
    </row>
    <row r="800" spans="1:13" ht="18" customHeight="1">
      <c r="A800" s="803"/>
      <c r="B800" s="804"/>
      <c r="C800" s="804"/>
      <c r="D800" s="804" t="s">
        <v>790</v>
      </c>
      <c r="E800" s="804"/>
      <c r="F800" s="804"/>
      <c r="G800" s="814" t="s">
        <v>425</v>
      </c>
      <c r="H800" s="810" t="s">
        <v>678</v>
      </c>
      <c r="I800" s="811">
        <f>406707</f>
        <v>406707</v>
      </c>
      <c r="J800" s="812">
        <v>435509</v>
      </c>
      <c r="K800" s="812">
        <f>541072-J800</f>
        <v>105563</v>
      </c>
      <c r="L800" s="812">
        <f t="shared" si="26"/>
        <v>541072</v>
      </c>
      <c r="M800" s="812">
        <v>563206</v>
      </c>
    </row>
    <row r="801" spans="1:13" ht="18" customHeight="1">
      <c r="A801" s="803"/>
      <c r="B801" s="804"/>
      <c r="C801" s="804"/>
      <c r="D801" s="804" t="s">
        <v>534</v>
      </c>
      <c r="E801" s="804"/>
      <c r="F801" s="805"/>
      <c r="G801" s="806" t="s">
        <v>592</v>
      </c>
      <c r="H801" s="810" t="s">
        <v>680</v>
      </c>
      <c r="I801" s="811">
        <f>406996</f>
        <v>406996</v>
      </c>
      <c r="J801" s="812">
        <v>0</v>
      </c>
      <c r="K801" s="812">
        <f>543130-J801</f>
        <v>543130</v>
      </c>
      <c r="L801" s="812">
        <f t="shared" si="26"/>
        <v>543130</v>
      </c>
      <c r="M801" s="812">
        <v>564207</v>
      </c>
    </row>
    <row r="802" spans="1:13" ht="18" customHeight="1">
      <c r="A802" s="803"/>
      <c r="B802" s="804"/>
      <c r="C802" s="804"/>
      <c r="D802" s="804" t="s">
        <v>646</v>
      </c>
      <c r="E802" s="804"/>
      <c r="F802" s="805"/>
      <c r="G802" s="806" t="s">
        <v>593</v>
      </c>
      <c r="H802" s="810" t="s">
        <v>681</v>
      </c>
      <c r="I802" s="811">
        <f>576980.52</f>
        <v>576980.52</v>
      </c>
      <c r="J802" s="812">
        <v>243973.56</v>
      </c>
      <c r="K802" s="812">
        <f>781000-J802</f>
        <v>537026.43999999994</v>
      </c>
      <c r="L802" s="812">
        <f t="shared" si="26"/>
        <v>781000</v>
      </c>
      <c r="M802" s="812">
        <v>812000</v>
      </c>
    </row>
    <row r="803" spans="1:13" ht="18" customHeight="1">
      <c r="A803" s="803"/>
      <c r="B803" s="804"/>
      <c r="C803" s="804"/>
      <c r="D803" s="804" t="s">
        <v>535</v>
      </c>
      <c r="E803" s="804"/>
      <c r="F803" s="805"/>
      <c r="G803" s="806" t="s">
        <v>594</v>
      </c>
      <c r="H803" s="810" t="s">
        <v>682</v>
      </c>
      <c r="I803" s="811">
        <f>15600</f>
        <v>15600</v>
      </c>
      <c r="J803" s="812">
        <v>6500</v>
      </c>
      <c r="K803" s="812">
        <f>28800-J803</f>
        <v>22300</v>
      </c>
      <c r="L803" s="812">
        <f t="shared" si="26"/>
        <v>28800</v>
      </c>
      <c r="M803" s="812">
        <v>28800</v>
      </c>
    </row>
    <row r="804" spans="1:13" ht="18" customHeight="1">
      <c r="A804" s="803"/>
      <c r="B804" s="804"/>
      <c r="C804" s="804"/>
      <c r="D804" s="804" t="s">
        <v>536</v>
      </c>
      <c r="E804" s="804"/>
      <c r="F804" s="805"/>
      <c r="G804" s="806" t="s">
        <v>595</v>
      </c>
      <c r="H804" s="810" t="s">
        <v>683</v>
      </c>
      <c r="I804" s="811">
        <f>65820</f>
        <v>65820</v>
      </c>
      <c r="J804" s="812">
        <v>28905</v>
      </c>
      <c r="K804" s="812">
        <f>131050-J804</f>
        <v>102145</v>
      </c>
      <c r="L804" s="812">
        <f t="shared" si="26"/>
        <v>131050</v>
      </c>
      <c r="M804" s="812">
        <v>152500</v>
      </c>
    </row>
    <row r="805" spans="1:13" ht="18" customHeight="1">
      <c r="A805" s="803"/>
      <c r="B805" s="804"/>
      <c r="C805" s="804"/>
      <c r="D805" s="804" t="s">
        <v>642</v>
      </c>
      <c r="E805" s="804"/>
      <c r="F805" s="805"/>
      <c r="G805" s="806" t="s">
        <v>596</v>
      </c>
      <c r="H805" s="810" t="s">
        <v>684</v>
      </c>
      <c r="I805" s="811">
        <f>15600</f>
        <v>15600</v>
      </c>
      <c r="J805" s="812">
        <v>6500</v>
      </c>
      <c r="K805" s="812">
        <f>19200-J805</f>
        <v>12700</v>
      </c>
      <c r="L805" s="812">
        <f t="shared" si="26"/>
        <v>19200</v>
      </c>
      <c r="M805" s="812">
        <v>19200</v>
      </c>
    </row>
    <row r="806" spans="1:13" ht="18" customHeight="1">
      <c r="A806" s="803"/>
      <c r="B806" s="804"/>
      <c r="C806" s="804"/>
      <c r="D806" s="804" t="s">
        <v>538</v>
      </c>
      <c r="E806" s="804"/>
      <c r="F806" s="805"/>
      <c r="G806" s="806" t="s">
        <v>388</v>
      </c>
      <c r="H806" s="810" t="s">
        <v>696</v>
      </c>
      <c r="I806" s="811">
        <f>552361.89</f>
        <v>552361.89</v>
      </c>
      <c r="J806" s="812">
        <v>0</v>
      </c>
      <c r="K806" s="812">
        <f>0-J806</f>
        <v>0</v>
      </c>
      <c r="L806" s="812">
        <f t="shared" si="26"/>
        <v>0</v>
      </c>
      <c r="M806" s="812">
        <v>0</v>
      </c>
    </row>
    <row r="807" spans="1:13" ht="18" customHeight="1">
      <c r="A807" s="803"/>
      <c r="B807" s="804"/>
      <c r="C807" s="804"/>
      <c r="D807" s="804" t="s">
        <v>1493</v>
      </c>
      <c r="E807" s="804"/>
      <c r="F807" s="805"/>
      <c r="G807" s="806"/>
      <c r="H807" s="810" t="s">
        <v>696</v>
      </c>
      <c r="I807" s="811">
        <f>130000</f>
        <v>130000</v>
      </c>
      <c r="J807" s="812">
        <v>0</v>
      </c>
      <c r="K807" s="812">
        <v>0</v>
      </c>
      <c r="L807" s="812">
        <f t="shared" si="26"/>
        <v>0</v>
      </c>
      <c r="M807" s="812">
        <v>0</v>
      </c>
    </row>
    <row r="808" spans="1:13" ht="18" customHeight="1">
      <c r="A808" s="803"/>
      <c r="B808" s="804"/>
      <c r="C808" s="804"/>
      <c r="D808" s="804" t="s">
        <v>537</v>
      </c>
      <c r="E808" s="804"/>
      <c r="F808" s="805"/>
      <c r="G808" s="806" t="s">
        <v>598</v>
      </c>
      <c r="H808" s="810" t="s">
        <v>685</v>
      </c>
      <c r="I808" s="811">
        <v>25000</v>
      </c>
      <c r="J808" s="812">
        <v>0</v>
      </c>
      <c r="K808" s="812">
        <f>25000-J808</f>
        <v>25000</v>
      </c>
      <c r="L808" s="812">
        <f t="shared" si="26"/>
        <v>25000</v>
      </c>
      <c r="M808" s="812">
        <v>25000</v>
      </c>
    </row>
    <row r="809" spans="1:13" ht="18" customHeight="1">
      <c r="A809" s="815"/>
      <c r="B809" s="816"/>
      <c r="C809" s="816"/>
      <c r="D809" s="816" t="s">
        <v>364</v>
      </c>
      <c r="E809" s="816"/>
      <c r="F809" s="817"/>
      <c r="G809" s="818"/>
      <c r="H809" s="847"/>
      <c r="I809" s="819">
        <f>SUM(I787:I808)</f>
        <v>8394428.4100000001</v>
      </c>
      <c r="J809" s="819">
        <f>SUM(J787:J808)</f>
        <v>3920477.56</v>
      </c>
      <c r="K809" s="819">
        <f>SUM(K787:K808)</f>
        <v>6307750.4399999995</v>
      </c>
      <c r="L809" s="819">
        <f>SUM(L787:L808)</f>
        <v>10228228</v>
      </c>
      <c r="M809" s="819">
        <f>SUM(M787:M808)</f>
        <v>10597484</v>
      </c>
    </row>
    <row r="810" spans="1:13" ht="18" customHeight="1">
      <c r="A810" s="803"/>
      <c r="B810" s="804" t="s">
        <v>539</v>
      </c>
      <c r="C810" s="804"/>
      <c r="D810" s="804"/>
      <c r="E810" s="804"/>
      <c r="F810" s="805"/>
      <c r="G810" s="806"/>
      <c r="H810" s="844"/>
      <c r="I810" s="811"/>
      <c r="J810" s="812"/>
      <c r="K810" s="812"/>
      <c r="L810" s="812"/>
      <c r="M810" s="812"/>
    </row>
    <row r="811" spans="1:13" ht="18" customHeight="1">
      <c r="A811" s="803"/>
      <c r="B811" s="804"/>
      <c r="C811" s="804"/>
      <c r="D811" s="804" t="s">
        <v>540</v>
      </c>
      <c r="E811" s="804"/>
      <c r="F811" s="805"/>
      <c r="G811" s="806" t="s">
        <v>376</v>
      </c>
      <c r="H811" s="810" t="s">
        <v>686</v>
      </c>
      <c r="I811" s="811">
        <f>59000</f>
        <v>59000</v>
      </c>
      <c r="J811" s="812">
        <v>58300</v>
      </c>
      <c r="K811" s="812">
        <f>191774-J811</f>
        <v>133474</v>
      </c>
      <c r="L811" s="812">
        <f t="shared" ref="L811:L820" si="27">SUM(K811+J811)</f>
        <v>191774</v>
      </c>
      <c r="M811" s="812">
        <v>191774</v>
      </c>
    </row>
    <row r="812" spans="1:13" ht="18" customHeight="1">
      <c r="A812" s="803"/>
      <c r="B812" s="804"/>
      <c r="C812" s="804"/>
      <c r="D812" s="804" t="s">
        <v>421</v>
      </c>
      <c r="E812" s="804"/>
      <c r="F812" s="805"/>
      <c r="G812" s="806" t="s">
        <v>377</v>
      </c>
      <c r="H812" s="810" t="s">
        <v>687</v>
      </c>
      <c r="I812" s="811">
        <f>45360</f>
        <v>45360</v>
      </c>
      <c r="J812" s="812">
        <v>0</v>
      </c>
      <c r="K812" s="812">
        <f>102478-J812</f>
        <v>102478</v>
      </c>
      <c r="L812" s="812">
        <f t="shared" si="27"/>
        <v>102478</v>
      </c>
      <c r="M812" s="812">
        <v>102478</v>
      </c>
    </row>
    <row r="813" spans="1:13" ht="18" customHeight="1">
      <c r="A813" s="803"/>
      <c r="B813" s="804"/>
      <c r="C813" s="804"/>
      <c r="D813" s="804" t="s">
        <v>371</v>
      </c>
      <c r="E813" s="804"/>
      <c r="F813" s="805"/>
      <c r="G813" s="806" t="s">
        <v>379</v>
      </c>
      <c r="H813" s="810" t="s">
        <v>688</v>
      </c>
      <c r="I813" s="811">
        <f>106720.5</f>
        <v>106720.5</v>
      </c>
      <c r="J813" s="812">
        <v>35425</v>
      </c>
      <c r="K813" s="812">
        <f>124410-J813</f>
        <v>88985</v>
      </c>
      <c r="L813" s="812">
        <f t="shared" si="27"/>
        <v>124410</v>
      </c>
      <c r="M813" s="812">
        <v>124410</v>
      </c>
    </row>
    <row r="814" spans="1:13" ht="18" customHeight="1">
      <c r="A814" s="803"/>
      <c r="B814" s="804"/>
      <c r="C814" s="804"/>
      <c r="D814" s="804" t="s">
        <v>542</v>
      </c>
      <c r="E814" s="804"/>
      <c r="F814" s="805"/>
      <c r="G814" s="806" t="s">
        <v>378</v>
      </c>
      <c r="H814" s="810" t="s">
        <v>698</v>
      </c>
      <c r="I814" s="811">
        <f>1161556.5</f>
        <v>1161556.5</v>
      </c>
      <c r="J814" s="812">
        <v>497587.5</v>
      </c>
      <c r="K814" s="812">
        <f>1403645-J814</f>
        <v>906057.5</v>
      </c>
      <c r="L814" s="812">
        <f t="shared" si="27"/>
        <v>1403645</v>
      </c>
      <c r="M814" s="812">
        <v>1403645</v>
      </c>
    </row>
    <row r="815" spans="1:13" ht="18" customHeight="1">
      <c r="A815" s="803"/>
      <c r="B815" s="804"/>
      <c r="C815" s="804"/>
      <c r="D815" s="804" t="s">
        <v>543</v>
      </c>
      <c r="E815" s="804"/>
      <c r="F815" s="805"/>
      <c r="G815" s="806" t="s">
        <v>389</v>
      </c>
      <c r="H815" s="810" t="s">
        <v>699</v>
      </c>
      <c r="I815" s="811">
        <f>120048</f>
        <v>120048</v>
      </c>
      <c r="J815" s="812">
        <v>38935</v>
      </c>
      <c r="K815" s="812">
        <f>197150-J815</f>
        <v>158215</v>
      </c>
      <c r="L815" s="812">
        <f t="shared" si="27"/>
        <v>197150</v>
      </c>
      <c r="M815" s="812">
        <v>197150</v>
      </c>
    </row>
    <row r="816" spans="1:13" ht="18" customHeight="1">
      <c r="A816" s="803"/>
      <c r="B816" s="804"/>
      <c r="C816" s="804"/>
      <c r="D816" s="804" t="s">
        <v>1614</v>
      </c>
      <c r="E816" s="804"/>
      <c r="F816" s="805"/>
      <c r="G816" s="806"/>
      <c r="H816" s="810"/>
      <c r="I816" s="811">
        <v>0</v>
      </c>
      <c r="J816" s="812">
        <v>1594460</v>
      </c>
      <c r="K816" s="812">
        <f>7000000-J816</f>
        <v>5405540</v>
      </c>
      <c r="L816" s="812">
        <f t="shared" si="27"/>
        <v>7000000</v>
      </c>
      <c r="M816" s="812">
        <v>4000000</v>
      </c>
    </row>
    <row r="817" spans="1:13" ht="18" customHeight="1">
      <c r="A817" s="803"/>
      <c r="B817" s="804"/>
      <c r="C817" s="804"/>
      <c r="D817" s="804" t="s">
        <v>546</v>
      </c>
      <c r="E817" s="804"/>
      <c r="F817" s="805"/>
      <c r="G817" s="806" t="s">
        <v>380</v>
      </c>
      <c r="H817" s="810" t="s">
        <v>690</v>
      </c>
      <c r="I817" s="811">
        <f>36000</f>
        <v>36000</v>
      </c>
      <c r="J817" s="812">
        <v>18000</v>
      </c>
      <c r="K817" s="812">
        <f>36000-J817</f>
        <v>18000</v>
      </c>
      <c r="L817" s="812">
        <f t="shared" si="27"/>
        <v>36000</v>
      </c>
      <c r="M817" s="812">
        <v>36000</v>
      </c>
    </row>
    <row r="818" spans="1:13" ht="18" customHeight="1">
      <c r="A818" s="803"/>
      <c r="B818" s="804"/>
      <c r="C818" s="804"/>
      <c r="D818" s="804" t="s">
        <v>902</v>
      </c>
      <c r="E818" s="804"/>
      <c r="F818" s="805"/>
      <c r="G818" s="806" t="s">
        <v>381</v>
      </c>
      <c r="H818" s="810" t="s">
        <v>691</v>
      </c>
      <c r="I818" s="811">
        <f>6990</f>
        <v>6990</v>
      </c>
      <c r="J818" s="812">
        <v>6600</v>
      </c>
      <c r="K818" s="812">
        <f>14600-J818</f>
        <v>8000</v>
      </c>
      <c r="L818" s="812">
        <f t="shared" si="27"/>
        <v>14600</v>
      </c>
      <c r="M818" s="812">
        <v>14600</v>
      </c>
    </row>
    <row r="819" spans="1:13" ht="18" customHeight="1">
      <c r="A819" s="803"/>
      <c r="B819" s="804"/>
      <c r="C819" s="804"/>
      <c r="D819" s="804" t="s">
        <v>552</v>
      </c>
      <c r="E819" s="804"/>
      <c r="F819" s="805"/>
      <c r="G819" s="806" t="s">
        <v>382</v>
      </c>
      <c r="H819" s="810" t="s">
        <v>692</v>
      </c>
      <c r="I819" s="811">
        <f>29920</f>
        <v>29920</v>
      </c>
      <c r="J819" s="812">
        <v>8500</v>
      </c>
      <c r="K819" s="812">
        <f>111500-J819</f>
        <v>103000</v>
      </c>
      <c r="L819" s="812">
        <f t="shared" si="27"/>
        <v>111500</v>
      </c>
      <c r="M819" s="812">
        <v>111500</v>
      </c>
    </row>
    <row r="820" spans="1:13" ht="18" customHeight="1">
      <c r="A820" s="803"/>
      <c r="B820" s="804"/>
      <c r="C820" s="804"/>
      <c r="D820" s="804" t="s">
        <v>1681</v>
      </c>
      <c r="E820" s="804"/>
      <c r="F820" s="805"/>
      <c r="G820" s="806"/>
      <c r="H820" s="810" t="s">
        <v>692</v>
      </c>
      <c r="I820" s="811">
        <f>325000</f>
        <v>325000</v>
      </c>
      <c r="J820" s="812">
        <v>0</v>
      </c>
      <c r="K820" s="812">
        <f>0-J820</f>
        <v>0</v>
      </c>
      <c r="L820" s="812">
        <f t="shared" si="27"/>
        <v>0</v>
      </c>
      <c r="M820" s="812">
        <v>0</v>
      </c>
    </row>
    <row r="821" spans="1:13" ht="18" customHeight="1">
      <c r="A821" s="815"/>
      <c r="B821" s="816"/>
      <c r="C821" s="816"/>
      <c r="D821" s="816" t="s">
        <v>737</v>
      </c>
      <c r="E821" s="816"/>
      <c r="F821" s="817"/>
      <c r="G821" s="818"/>
      <c r="H821" s="847"/>
      <c r="I821" s="819">
        <f>SUM(I811:I820)</f>
        <v>1890595</v>
      </c>
      <c r="J821" s="819">
        <f>SUM(J811:J820)</f>
        <v>2257807.5</v>
      </c>
      <c r="K821" s="819">
        <f>SUM(K811:K820)</f>
        <v>6923749.5</v>
      </c>
      <c r="L821" s="819">
        <f>SUM(L811:L820)</f>
        <v>9181557</v>
      </c>
      <c r="M821" s="819">
        <f>SUM(M811:M820)</f>
        <v>6181557</v>
      </c>
    </row>
    <row r="822" spans="1:13" ht="18" customHeight="1">
      <c r="A822" s="803"/>
      <c r="B822" s="804" t="s">
        <v>553</v>
      </c>
      <c r="C822" s="804"/>
      <c r="D822" s="804"/>
      <c r="E822" s="804"/>
      <c r="F822" s="805"/>
      <c r="G822" s="806"/>
      <c r="H822" s="844"/>
      <c r="I822" s="811"/>
      <c r="J822" s="812"/>
      <c r="K822" s="812"/>
      <c r="L822" s="812"/>
      <c r="M822" s="812"/>
    </row>
    <row r="823" spans="1:13" ht="18" customHeight="1">
      <c r="A823" s="803"/>
      <c r="B823" s="804"/>
      <c r="C823" s="804"/>
      <c r="D823" s="804" t="s">
        <v>1582</v>
      </c>
      <c r="E823" s="804"/>
      <c r="F823" s="805"/>
      <c r="G823" s="806"/>
      <c r="H823" s="810" t="s">
        <v>1583</v>
      </c>
      <c r="I823" s="811">
        <v>0</v>
      </c>
      <c r="J823" s="812">
        <v>250000</v>
      </c>
      <c r="K823" s="812">
        <f>500000-J823</f>
        <v>250000</v>
      </c>
      <c r="L823" s="812">
        <f>SUM(K823+J823)</f>
        <v>500000</v>
      </c>
      <c r="M823" s="812">
        <v>0</v>
      </c>
    </row>
    <row r="824" spans="1:13" ht="18" customHeight="1">
      <c r="A824" s="803"/>
      <c r="B824" s="804"/>
      <c r="C824" s="804"/>
      <c r="D824" s="804" t="s">
        <v>839</v>
      </c>
      <c r="E824" s="804"/>
      <c r="F824" s="805"/>
      <c r="G824" s="806"/>
      <c r="H824" s="810" t="s">
        <v>840</v>
      </c>
      <c r="I824" s="811">
        <f>18990</f>
        <v>18990</v>
      </c>
      <c r="J824" s="812">
        <v>0</v>
      </c>
      <c r="K824" s="812">
        <f>0-J824</f>
        <v>0</v>
      </c>
      <c r="L824" s="812">
        <f>SUM(K824+J824)</f>
        <v>0</v>
      </c>
      <c r="M824" s="812">
        <v>0</v>
      </c>
    </row>
    <row r="825" spans="1:13" ht="18" customHeight="1">
      <c r="A825" s="803"/>
      <c r="B825" s="804"/>
      <c r="C825" s="804"/>
      <c r="D825" s="804" t="s">
        <v>833</v>
      </c>
      <c r="E825" s="804"/>
      <c r="F825" s="805"/>
      <c r="G825" s="806" t="s">
        <v>834</v>
      </c>
      <c r="H825" s="810" t="s">
        <v>835</v>
      </c>
      <c r="I825" s="811">
        <f>47992</f>
        <v>47992</v>
      </c>
      <c r="J825" s="812">
        <v>0</v>
      </c>
      <c r="K825" s="812">
        <f>0-J825</f>
        <v>0</v>
      </c>
      <c r="L825" s="812">
        <f>SUM(K825+J825)</f>
        <v>0</v>
      </c>
      <c r="M825" s="812">
        <v>0</v>
      </c>
    </row>
    <row r="826" spans="1:13" ht="18" customHeight="1">
      <c r="A826" s="815"/>
      <c r="B826" s="816"/>
      <c r="C826" s="816"/>
      <c r="D826" s="816" t="s">
        <v>782</v>
      </c>
      <c r="E826" s="816"/>
      <c r="F826" s="817"/>
      <c r="G826" s="818"/>
      <c r="H826" s="847"/>
      <c r="I826" s="819">
        <f>SUM(I823:I825)</f>
        <v>66982</v>
      </c>
      <c r="J826" s="819">
        <f>SUM(J823:J825)</f>
        <v>250000</v>
      </c>
      <c r="K826" s="819">
        <f>SUM(K823:K825)</f>
        <v>250000</v>
      </c>
      <c r="L826" s="819">
        <f>SUM(L823:L825)</f>
        <v>500000</v>
      </c>
      <c r="M826" s="819">
        <f>SUM(M823:M825)</f>
        <v>0</v>
      </c>
    </row>
    <row r="827" spans="1:13" ht="18" customHeight="1">
      <c r="A827" s="815"/>
      <c r="B827" s="816"/>
      <c r="C827" s="816"/>
      <c r="D827" s="816"/>
      <c r="E827" s="816"/>
      <c r="F827" s="817"/>
      <c r="G827" s="818"/>
      <c r="H827" s="847"/>
      <c r="I827" s="819"/>
      <c r="J827" s="822"/>
      <c r="K827" s="822"/>
      <c r="L827" s="822"/>
      <c r="M827" s="822"/>
    </row>
    <row r="828" spans="1:13" ht="18" customHeight="1">
      <c r="A828" s="823" t="s">
        <v>613</v>
      </c>
      <c r="B828" s="824"/>
      <c r="C828" s="824"/>
      <c r="D828" s="824"/>
      <c r="E828" s="824"/>
      <c r="F828" s="825"/>
      <c r="G828" s="826"/>
      <c r="H828" s="848"/>
      <c r="I828" s="828">
        <f>SUM(I826+I821+I809)</f>
        <v>10352005.41</v>
      </c>
      <c r="J828" s="828">
        <f>SUM(J826+J821+J809)</f>
        <v>6428285.0600000005</v>
      </c>
      <c r="K828" s="828">
        <f>SUM(K826+K821+K809)</f>
        <v>13481499.939999999</v>
      </c>
      <c r="L828" s="828">
        <f>SUM(L826+L821+L809)</f>
        <v>19909785</v>
      </c>
      <c r="M828" s="828">
        <f>SUM(M826+M821+M809)</f>
        <v>16779041</v>
      </c>
    </row>
    <row r="829" spans="1:13" ht="18" customHeight="1">
      <c r="A829" s="791"/>
      <c r="B829" s="829"/>
      <c r="C829" s="791"/>
      <c r="D829" s="791"/>
      <c r="E829" s="791"/>
      <c r="F829" s="791"/>
      <c r="G829" s="791"/>
      <c r="H829" s="830"/>
      <c r="I829" s="967"/>
      <c r="J829" s="831"/>
      <c r="K829" s="831"/>
      <c r="L829" s="831"/>
      <c r="M829" s="831"/>
    </row>
    <row r="830" spans="1:13" s="1329" customFormat="1" ht="18" customHeight="1">
      <c r="A830" s="1484" t="s">
        <v>1796</v>
      </c>
      <c r="B830" s="1484"/>
      <c r="C830" s="1484"/>
      <c r="D830" s="1484"/>
      <c r="E830" s="1484"/>
      <c r="F830" s="1484"/>
      <c r="G830" s="1484"/>
      <c r="H830" s="1484"/>
      <c r="I830" s="1484"/>
      <c r="J830" s="1484"/>
      <c r="K830" s="1484"/>
      <c r="L830" s="1484"/>
      <c r="M830" s="1484"/>
    </row>
    <row r="831" spans="1:13" s="1323" customFormat="1" ht="18" customHeight="1">
      <c r="A831" s="1324"/>
      <c r="B831" s="1325"/>
      <c r="C831" s="1324"/>
      <c r="D831" s="1324"/>
      <c r="E831" s="1324"/>
      <c r="F831" s="1326"/>
      <c r="G831" s="1327"/>
      <c r="H831" s="1328"/>
      <c r="I831" s="1328"/>
      <c r="K831" s="1044"/>
      <c r="L831" s="1044"/>
      <c r="M831" s="831"/>
    </row>
    <row r="832" spans="1:13" s="1336" customFormat="1" ht="20.100000000000001" customHeight="1">
      <c r="A832" s="1485" t="s">
        <v>1578</v>
      </c>
      <c r="B832" s="1485"/>
      <c r="C832" s="1485"/>
      <c r="D832" s="1485"/>
      <c r="E832" s="1485"/>
      <c r="F832" s="1485"/>
      <c r="G832" s="1485"/>
      <c r="H832" s="1485"/>
      <c r="I832" s="1485"/>
      <c r="J832" s="1485"/>
      <c r="K832" s="1485"/>
      <c r="L832" s="1485"/>
      <c r="M832" s="1485"/>
    </row>
    <row r="833" spans="1:14" s="1336" customFormat="1" ht="20.100000000000001" customHeight="1">
      <c r="A833" s="1335"/>
      <c r="B833" s="1335"/>
      <c r="C833" s="1335"/>
      <c r="D833" s="1335"/>
      <c r="E833" s="1335"/>
      <c r="F833" s="1335"/>
      <c r="G833" s="1335"/>
      <c r="H833" s="1335"/>
      <c r="I833" s="1335"/>
      <c r="J833" s="1335"/>
      <c r="K833" s="1335"/>
      <c r="L833" s="1335"/>
      <c r="M833" s="1335"/>
    </row>
    <row r="834" spans="1:14" s="1253" customFormat="1" ht="15" customHeight="1">
      <c r="A834" s="1467" t="s">
        <v>861</v>
      </c>
      <c r="B834" s="1467"/>
      <c r="C834" s="1467"/>
      <c r="D834" s="1467"/>
      <c r="E834" s="1467"/>
      <c r="F834" s="1467"/>
      <c r="G834" s="1467"/>
      <c r="H834" s="1467"/>
      <c r="I834" s="1467"/>
      <c r="J834" s="1467"/>
      <c r="K834" s="1467"/>
      <c r="L834" s="1467"/>
      <c r="M834" s="1467"/>
      <c r="N834" s="1319"/>
    </row>
    <row r="835" spans="1:14" s="1253" customFormat="1" ht="15" customHeight="1">
      <c r="A835" s="1467" t="s">
        <v>174</v>
      </c>
      <c r="B835" s="1467"/>
      <c r="C835" s="1467"/>
      <c r="D835" s="1467"/>
      <c r="E835" s="1467"/>
      <c r="F835" s="1467"/>
      <c r="G835" s="1467"/>
      <c r="H835" s="1467"/>
      <c r="I835" s="1467"/>
      <c r="J835" s="1467"/>
      <c r="K835" s="1467"/>
      <c r="L835" s="1467"/>
      <c r="M835" s="1467"/>
      <c r="N835" s="1319"/>
    </row>
    <row r="836" spans="1:14" s="1253" customFormat="1" ht="15" customHeight="1">
      <c r="A836" s="1467" t="s">
        <v>1780</v>
      </c>
      <c r="B836" s="1467"/>
      <c r="C836" s="1467"/>
      <c r="D836" s="1467"/>
      <c r="E836" s="1467"/>
      <c r="F836" s="1467"/>
      <c r="G836" s="1467"/>
      <c r="H836" s="1467"/>
      <c r="I836" s="1467"/>
      <c r="J836" s="1467"/>
      <c r="K836" s="1467"/>
      <c r="L836" s="1467"/>
      <c r="M836" s="1467"/>
      <c r="N836" s="1319"/>
    </row>
    <row r="837" spans="1:14" s="1253" customFormat="1" ht="15" customHeight="1">
      <c r="A837" s="1467"/>
      <c r="B837" s="1467"/>
      <c r="C837" s="1467"/>
      <c r="D837" s="1467"/>
      <c r="E837" s="1467"/>
      <c r="F837" s="1467"/>
      <c r="G837" s="1467"/>
      <c r="H837" s="1467"/>
      <c r="I837" s="1467"/>
      <c r="J837" s="1467"/>
      <c r="K837" s="1467"/>
      <c r="L837" s="1467"/>
      <c r="M837" s="1467"/>
      <c r="N837" s="1319"/>
    </row>
    <row r="838" spans="1:14" s="1253" customFormat="1" ht="15" customHeight="1">
      <c r="A838" s="1254"/>
      <c r="B838" s="1254"/>
      <c r="C838" s="1254"/>
      <c r="D838" s="1254"/>
      <c r="E838" s="1254"/>
      <c r="F838" s="1254"/>
      <c r="G838" s="1254"/>
      <c r="H838" s="1254"/>
      <c r="I838" s="1254"/>
      <c r="J838" s="1254"/>
      <c r="K838" s="1254"/>
      <c r="L838" s="1254"/>
      <c r="M838" s="1254"/>
      <c r="N838" s="1319"/>
    </row>
    <row r="839" spans="1:14" s="1253" customFormat="1" ht="15" customHeight="1">
      <c r="A839" s="1254"/>
      <c r="B839" s="1254"/>
      <c r="C839" s="1254"/>
      <c r="D839" s="1254"/>
      <c r="E839" s="1254"/>
      <c r="F839" s="1254"/>
      <c r="G839" s="1254"/>
      <c r="H839" s="1254"/>
      <c r="I839" s="1254"/>
      <c r="J839" s="1254"/>
      <c r="K839" s="1254"/>
      <c r="L839" s="1254"/>
      <c r="M839" s="1254"/>
      <c r="N839" s="1319"/>
    </row>
    <row r="840" spans="1:14" s="1253" customFormat="1" ht="15" customHeight="1">
      <c r="A840" s="1254"/>
      <c r="B840" s="1254"/>
      <c r="C840" s="1254"/>
      <c r="D840" s="1254"/>
      <c r="E840" s="1254"/>
      <c r="F840" s="1254"/>
      <c r="G840" s="1254"/>
      <c r="H840" s="1254"/>
      <c r="I840" s="1254"/>
      <c r="J840" s="1254"/>
      <c r="K840" s="1254"/>
      <c r="L840" s="1254"/>
      <c r="M840" s="1254"/>
      <c r="N840" s="1319"/>
    </row>
    <row r="841" spans="1:14" s="1253" customFormat="1" ht="18" customHeight="1">
      <c r="A841" s="1468" t="s">
        <v>1781</v>
      </c>
      <c r="B841" s="1468"/>
      <c r="C841" s="1468"/>
      <c r="D841" s="1468"/>
      <c r="E841" s="1468"/>
      <c r="F841" s="1468"/>
      <c r="G841" s="1468"/>
      <c r="H841" s="1468"/>
      <c r="I841" s="1468"/>
      <c r="J841" s="1468"/>
      <c r="K841" s="1468"/>
      <c r="L841" s="1468"/>
      <c r="M841" s="1468"/>
      <c r="N841" s="1320"/>
    </row>
    <row r="842" spans="1:14" s="1253" customFormat="1">
      <c r="A842" s="1469" t="s">
        <v>1817</v>
      </c>
      <c r="B842" s="1469"/>
      <c r="C842" s="1469"/>
      <c r="D842" s="1469"/>
      <c r="E842" s="1469"/>
      <c r="F842" s="1469"/>
      <c r="G842" s="1469"/>
      <c r="H842" s="1469"/>
      <c r="I842" s="1469"/>
      <c r="J842" s="1469"/>
      <c r="K842" s="1469"/>
      <c r="L842" s="1469"/>
      <c r="M842" s="1469"/>
      <c r="N842" s="1321"/>
    </row>
    <row r="843" spans="1:14" s="1253" customFormat="1" ht="15.75">
      <c r="A843" s="1253" t="s">
        <v>1851</v>
      </c>
      <c r="G843" s="1254"/>
      <c r="I843" s="1255"/>
      <c r="L843" s="1256"/>
      <c r="M843" s="1256"/>
    </row>
    <row r="844" spans="1:14" s="1253" customFormat="1" ht="15.75">
      <c r="A844" s="1253" t="s">
        <v>1811</v>
      </c>
      <c r="G844" s="1254"/>
      <c r="I844" s="1255"/>
      <c r="L844" s="1256"/>
      <c r="M844" s="1256"/>
    </row>
    <row r="845" spans="1:14" s="1253" customFormat="1" ht="8.1" customHeight="1">
      <c r="A845" s="1257" t="s">
        <v>1812</v>
      </c>
      <c r="G845" s="1254"/>
      <c r="I845" s="1255"/>
      <c r="L845" s="1256"/>
      <c r="M845" s="1256"/>
    </row>
    <row r="846" spans="1:14" s="1394" customFormat="1" ht="15.75" customHeight="1">
      <c r="A846" s="1394" t="s">
        <v>1852</v>
      </c>
      <c r="C846" s="1501" t="s">
        <v>1853</v>
      </c>
      <c r="D846" s="1501"/>
      <c r="E846" s="1501"/>
      <c r="F846" s="1501"/>
      <c r="G846" s="1501"/>
      <c r="H846" s="1501"/>
      <c r="I846" s="1501"/>
      <c r="J846" s="1501"/>
      <c r="K846" s="1501"/>
      <c r="L846" s="1501"/>
      <c r="M846" s="1501"/>
      <c r="N846" s="1396"/>
    </row>
    <row r="847" spans="1:14" s="778" customFormat="1" ht="18" customHeight="1" thickBot="1">
      <c r="A847" s="1506"/>
      <c r="B847" s="1506"/>
      <c r="C847" s="1506"/>
      <c r="D847" s="1506"/>
      <c r="E847" s="1506"/>
      <c r="F847" s="1506"/>
      <c r="G847" s="1506"/>
      <c r="H847" s="1506"/>
      <c r="I847" s="1506"/>
      <c r="J847" s="1506"/>
      <c r="K847" s="1506"/>
      <c r="L847" s="1506"/>
      <c r="M847" s="1506"/>
    </row>
    <row r="848" spans="1:14" ht="18" customHeight="1">
      <c r="A848" s="780"/>
      <c r="B848" s="781"/>
      <c r="C848" s="781"/>
      <c r="D848" s="781"/>
      <c r="E848" s="781"/>
      <c r="F848" s="782"/>
      <c r="G848" s="783"/>
      <c r="H848" s="784"/>
      <c r="I848" s="784" t="s">
        <v>6</v>
      </c>
      <c r="J848" s="1488" t="s">
        <v>1914</v>
      </c>
      <c r="K848" s="1489"/>
      <c r="L848" s="1490"/>
      <c r="M848" s="785" t="s">
        <v>7</v>
      </c>
    </row>
    <row r="849" spans="1:13" ht="18" customHeight="1">
      <c r="A849" s="1491"/>
      <c r="B849" s="1492"/>
      <c r="C849" s="1492"/>
      <c r="D849" s="1492"/>
      <c r="E849" s="1492"/>
      <c r="F849" s="1493"/>
      <c r="G849" s="1371"/>
      <c r="H849" s="786"/>
      <c r="I849" s="786">
        <v>2021</v>
      </c>
      <c r="J849" s="786" t="s">
        <v>560</v>
      </c>
      <c r="K849" s="786" t="s">
        <v>561</v>
      </c>
      <c r="L849" s="786">
        <v>2022</v>
      </c>
      <c r="M849" s="787">
        <v>2023</v>
      </c>
    </row>
    <row r="850" spans="1:13" ht="18" customHeight="1">
      <c r="A850" s="1491" t="s">
        <v>21</v>
      </c>
      <c r="B850" s="1492"/>
      <c r="C850" s="1492"/>
      <c r="D850" s="1492"/>
      <c r="E850" s="1492"/>
      <c r="F850" s="1493"/>
      <c r="G850" s="788"/>
      <c r="H850" s="789" t="s">
        <v>612</v>
      </c>
      <c r="I850" s="786" t="s">
        <v>909</v>
      </c>
      <c r="J850" s="786" t="s">
        <v>559</v>
      </c>
      <c r="K850" s="786" t="s">
        <v>562</v>
      </c>
      <c r="L850" s="786" t="s">
        <v>909</v>
      </c>
      <c r="M850" s="787" t="s">
        <v>909</v>
      </c>
    </row>
    <row r="851" spans="1:13" ht="18" customHeight="1">
      <c r="A851" s="790"/>
      <c r="B851" s="791"/>
      <c r="C851" s="791"/>
      <c r="D851" s="791"/>
      <c r="E851" s="791"/>
      <c r="F851" s="792"/>
      <c r="G851" s="788"/>
      <c r="H851" s="786"/>
      <c r="I851" s="786" t="s">
        <v>559</v>
      </c>
      <c r="J851" s="786">
        <v>2022</v>
      </c>
      <c r="K851" s="786">
        <v>2022</v>
      </c>
      <c r="L851" s="786" t="s">
        <v>910</v>
      </c>
      <c r="M851" s="787" t="s">
        <v>564</v>
      </c>
    </row>
    <row r="852" spans="1:13" ht="18" customHeight="1" thickBot="1">
      <c r="A852" s="1497"/>
      <c r="B852" s="1498"/>
      <c r="C852" s="1498"/>
      <c r="D852" s="1498"/>
      <c r="E852" s="1498"/>
      <c r="F852" s="1499"/>
      <c r="G852" s="1372"/>
      <c r="H852" s="793"/>
      <c r="I852" s="1393"/>
      <c r="J852" s="793"/>
      <c r="K852" s="793"/>
      <c r="L852" s="793"/>
      <c r="M852" s="794"/>
    </row>
    <row r="853" spans="1:13" ht="18" customHeight="1">
      <c r="A853" s="795"/>
      <c r="B853" s="796" t="s">
        <v>359</v>
      </c>
      <c r="C853" s="797"/>
      <c r="D853" s="796"/>
      <c r="E853" s="796"/>
      <c r="F853" s="798"/>
      <c r="G853" s="799"/>
      <c r="H853" s="841"/>
      <c r="I853" s="842"/>
      <c r="J853" s="843"/>
      <c r="K853" s="843"/>
      <c r="L853" s="843"/>
      <c r="M853" s="843"/>
    </row>
    <row r="854" spans="1:13" ht="18" customHeight="1">
      <c r="A854" s="803"/>
      <c r="B854" s="804"/>
      <c r="C854" s="804" t="s">
        <v>515</v>
      </c>
      <c r="D854" s="804"/>
      <c r="E854" s="804"/>
      <c r="F854" s="805"/>
      <c r="G854" s="806"/>
      <c r="H854" s="844"/>
      <c r="I854" s="845"/>
      <c r="J854" s="846"/>
      <c r="K854" s="846"/>
      <c r="L854" s="846"/>
      <c r="M854" s="846"/>
    </row>
    <row r="855" spans="1:13" ht="18" customHeight="1">
      <c r="A855" s="803"/>
      <c r="B855" s="804"/>
      <c r="C855" s="804"/>
      <c r="D855" s="804" t="s">
        <v>516</v>
      </c>
      <c r="E855" s="804"/>
      <c r="F855" s="805"/>
      <c r="G855" s="806" t="s">
        <v>582</v>
      </c>
      <c r="H855" s="810" t="s">
        <v>672</v>
      </c>
      <c r="I855" s="811">
        <f>1839577</f>
        <v>1839577</v>
      </c>
      <c r="J855" s="812">
        <v>977004</v>
      </c>
      <c r="K855" s="812">
        <f>1954008-J855</f>
        <v>977004</v>
      </c>
      <c r="L855" s="812">
        <f>SUM(K855+J855)</f>
        <v>1954008</v>
      </c>
      <c r="M855" s="812">
        <v>2063312</v>
      </c>
    </row>
    <row r="856" spans="1:13" ht="18" customHeight="1">
      <c r="A856" s="803"/>
      <c r="B856" s="804"/>
      <c r="C856" s="804" t="s">
        <v>517</v>
      </c>
      <c r="D856" s="804"/>
      <c r="E856" s="804"/>
      <c r="F856" s="805"/>
      <c r="G856" s="806"/>
      <c r="H856" s="844"/>
      <c r="I856" s="811"/>
      <c r="J856" s="812"/>
      <c r="K856" s="812"/>
      <c r="L856" s="812"/>
      <c r="M856" s="812"/>
    </row>
    <row r="857" spans="1:13" ht="18" customHeight="1">
      <c r="A857" s="803"/>
      <c r="B857" s="804"/>
      <c r="C857" s="804"/>
      <c r="D857" s="804" t="s">
        <v>518</v>
      </c>
      <c r="E857" s="804"/>
      <c r="F857" s="805"/>
      <c r="G857" s="806" t="s">
        <v>583</v>
      </c>
      <c r="H857" s="810" t="s">
        <v>673</v>
      </c>
      <c r="I857" s="811">
        <f>144000</f>
        <v>144000</v>
      </c>
      <c r="J857" s="812">
        <v>72000</v>
      </c>
      <c r="K857" s="812">
        <f>144000-J857</f>
        <v>72000</v>
      </c>
      <c r="L857" s="812">
        <f t="shared" ref="L857:L873" si="28">SUM(K857+J857)</f>
        <v>144000</v>
      </c>
      <c r="M857" s="812">
        <v>144000</v>
      </c>
    </row>
    <row r="858" spans="1:13" ht="18" customHeight="1">
      <c r="A858" s="803"/>
      <c r="B858" s="804"/>
      <c r="C858" s="804"/>
      <c r="D858" s="804" t="s">
        <v>529</v>
      </c>
      <c r="E858" s="804"/>
      <c r="F858" s="805"/>
      <c r="G858" s="806" t="s">
        <v>586</v>
      </c>
      <c r="H858" s="810" t="s">
        <v>676</v>
      </c>
      <c r="I858" s="811">
        <v>36000</v>
      </c>
      <c r="J858" s="812">
        <v>36000</v>
      </c>
      <c r="K858" s="812">
        <f>36000-J858</f>
        <v>0</v>
      </c>
      <c r="L858" s="812">
        <f t="shared" si="28"/>
        <v>36000</v>
      </c>
      <c r="M858" s="812">
        <v>36000</v>
      </c>
    </row>
    <row r="859" spans="1:13" ht="18" customHeight="1">
      <c r="A859" s="803"/>
      <c r="B859" s="804"/>
      <c r="C859" s="804"/>
      <c r="D859" s="804" t="s">
        <v>530</v>
      </c>
      <c r="E859" s="804"/>
      <c r="F859" s="805"/>
      <c r="G859" s="806" t="s">
        <v>587</v>
      </c>
      <c r="H859" s="810" t="s">
        <v>693</v>
      </c>
      <c r="I859" s="811">
        <f>75650+7100</f>
        <v>82750</v>
      </c>
      <c r="J859" s="812">
        <v>38625</v>
      </c>
      <c r="K859" s="812">
        <f>118800-J859</f>
        <v>80175</v>
      </c>
      <c r="L859" s="812">
        <f t="shared" si="28"/>
        <v>118800</v>
      </c>
      <c r="M859" s="812">
        <v>118800</v>
      </c>
    </row>
    <row r="860" spans="1:13" ht="18" customHeight="1">
      <c r="A860" s="803"/>
      <c r="B860" s="804"/>
      <c r="C860" s="804"/>
      <c r="D860" s="804" t="s">
        <v>670</v>
      </c>
      <c r="E860" s="804"/>
      <c r="F860" s="805"/>
      <c r="G860" s="806" t="s">
        <v>588</v>
      </c>
      <c r="H860" s="810" t="s">
        <v>677</v>
      </c>
      <c r="I860" s="811">
        <v>30000</v>
      </c>
      <c r="J860" s="812">
        <v>0</v>
      </c>
      <c r="K860" s="812">
        <f>30000-J860</f>
        <v>30000</v>
      </c>
      <c r="L860" s="812">
        <f t="shared" si="28"/>
        <v>30000</v>
      </c>
      <c r="M860" s="812">
        <v>30000</v>
      </c>
    </row>
    <row r="861" spans="1:13" ht="18" customHeight="1">
      <c r="A861" s="803"/>
      <c r="B861" s="804"/>
      <c r="C861" s="804"/>
      <c r="D861" s="804" t="s">
        <v>531</v>
      </c>
      <c r="E861" s="804"/>
      <c r="F861" s="805"/>
      <c r="G861" s="806" t="s">
        <v>425</v>
      </c>
      <c r="H861" s="810" t="s">
        <v>678</v>
      </c>
      <c r="I861" s="811">
        <f>10000</f>
        <v>10000</v>
      </c>
      <c r="J861" s="812">
        <v>0</v>
      </c>
      <c r="K861" s="812">
        <f>0-J861</f>
        <v>0</v>
      </c>
      <c r="L861" s="812">
        <f t="shared" si="28"/>
        <v>0</v>
      </c>
      <c r="M861" s="812">
        <v>5000</v>
      </c>
    </row>
    <row r="862" spans="1:13" ht="18" customHeight="1">
      <c r="A862" s="803"/>
      <c r="B862" s="804"/>
      <c r="C862" s="804"/>
      <c r="D862" s="804" t="s">
        <v>1580</v>
      </c>
      <c r="E862" s="804"/>
      <c r="F862" s="805"/>
      <c r="G862" s="806" t="s">
        <v>425</v>
      </c>
      <c r="H862" s="810" t="s">
        <v>678</v>
      </c>
      <c r="I862" s="811">
        <f>18000</f>
        <v>18000</v>
      </c>
      <c r="J862" s="812">
        <v>0</v>
      </c>
      <c r="K862" s="812">
        <f>0-J862</f>
        <v>0</v>
      </c>
      <c r="L862" s="812">
        <f t="shared" si="28"/>
        <v>0</v>
      </c>
      <c r="M862" s="812">
        <v>0</v>
      </c>
    </row>
    <row r="863" spans="1:13" ht="18" customHeight="1">
      <c r="A863" s="803"/>
      <c r="B863" s="804"/>
      <c r="C863" s="804"/>
      <c r="D863" s="804" t="s">
        <v>532</v>
      </c>
      <c r="E863" s="804"/>
      <c r="F863" s="805"/>
      <c r="G863" s="806" t="s">
        <v>589</v>
      </c>
      <c r="H863" s="810" t="s">
        <v>694</v>
      </c>
      <c r="I863" s="811">
        <f>157085.5+14280.5</f>
        <v>171366</v>
      </c>
      <c r="J863" s="812">
        <v>85683</v>
      </c>
      <c r="K863" s="812">
        <f>173241-J863</f>
        <v>87558</v>
      </c>
      <c r="L863" s="812">
        <f t="shared" si="28"/>
        <v>173241</v>
      </c>
      <c r="M863" s="812">
        <v>173241</v>
      </c>
    </row>
    <row r="864" spans="1:13" ht="18" customHeight="1">
      <c r="A864" s="803"/>
      <c r="B864" s="804"/>
      <c r="C864" s="804"/>
      <c r="D864" s="804" t="s">
        <v>533</v>
      </c>
      <c r="E864" s="804"/>
      <c r="F864" s="805"/>
      <c r="G864" s="806" t="s">
        <v>591</v>
      </c>
      <c r="H864" s="810" t="s">
        <v>679</v>
      </c>
      <c r="I864" s="811">
        <f>30000</f>
        <v>30000</v>
      </c>
      <c r="J864" s="812">
        <v>0</v>
      </c>
      <c r="K864" s="812">
        <f>30000-J864</f>
        <v>30000</v>
      </c>
      <c r="L864" s="812">
        <f t="shared" si="28"/>
        <v>30000</v>
      </c>
      <c r="M864" s="812">
        <v>30000</v>
      </c>
    </row>
    <row r="865" spans="1:14" ht="18" customHeight="1">
      <c r="A865" s="803"/>
      <c r="B865" s="804"/>
      <c r="C865" s="804"/>
      <c r="D865" s="804" t="s">
        <v>790</v>
      </c>
      <c r="E865" s="804"/>
      <c r="F865" s="804"/>
      <c r="G865" s="814" t="s">
        <v>425</v>
      </c>
      <c r="H865" s="810" t="s">
        <v>678</v>
      </c>
      <c r="I865" s="811">
        <f>151495</f>
        <v>151495</v>
      </c>
      <c r="J865" s="812">
        <v>162834</v>
      </c>
      <c r="K865" s="812">
        <f>162834-J865</f>
        <v>0</v>
      </c>
      <c r="L865" s="812">
        <f t="shared" si="28"/>
        <v>162834</v>
      </c>
      <c r="M865" s="812">
        <v>171501</v>
      </c>
    </row>
    <row r="866" spans="1:14" ht="18" customHeight="1">
      <c r="A866" s="803"/>
      <c r="B866" s="804"/>
      <c r="C866" s="804"/>
      <c r="D866" s="804" t="s">
        <v>534</v>
      </c>
      <c r="E866" s="804"/>
      <c r="F866" s="805"/>
      <c r="G866" s="806" t="s">
        <v>592</v>
      </c>
      <c r="H866" s="810" t="s">
        <v>680</v>
      </c>
      <c r="I866" s="811">
        <f>154586</f>
        <v>154586</v>
      </c>
      <c r="J866" s="812">
        <v>0</v>
      </c>
      <c r="K866" s="812">
        <f>162834-J866</f>
        <v>162834</v>
      </c>
      <c r="L866" s="812">
        <f t="shared" si="28"/>
        <v>162834</v>
      </c>
      <c r="M866" s="812">
        <v>172213</v>
      </c>
    </row>
    <row r="867" spans="1:14" ht="18" customHeight="1">
      <c r="A867" s="803"/>
      <c r="B867" s="804"/>
      <c r="C867" s="804"/>
      <c r="D867" s="804" t="s">
        <v>646</v>
      </c>
      <c r="E867" s="804"/>
      <c r="F867" s="805"/>
      <c r="G867" s="806" t="s">
        <v>593</v>
      </c>
      <c r="H867" s="810" t="s">
        <v>681</v>
      </c>
      <c r="I867" s="811">
        <f>214387.92</f>
        <v>214387.92</v>
      </c>
      <c r="J867" s="812">
        <v>90897</v>
      </c>
      <c r="K867" s="812">
        <f>235000-J867</f>
        <v>144103</v>
      </c>
      <c r="L867" s="812">
        <f t="shared" si="28"/>
        <v>235000</v>
      </c>
      <c r="M867" s="812">
        <v>248000</v>
      </c>
    </row>
    <row r="868" spans="1:14" ht="18" customHeight="1">
      <c r="A868" s="803"/>
      <c r="B868" s="804"/>
      <c r="C868" s="804"/>
      <c r="D868" s="804" t="s">
        <v>535</v>
      </c>
      <c r="E868" s="804"/>
      <c r="F868" s="805"/>
      <c r="G868" s="806" t="s">
        <v>594</v>
      </c>
      <c r="H868" s="810" t="s">
        <v>682</v>
      </c>
      <c r="I868" s="811">
        <f>7200</f>
        <v>7200</v>
      </c>
      <c r="J868" s="812">
        <v>3000</v>
      </c>
      <c r="K868" s="812">
        <f>10800-J868</f>
        <v>7800</v>
      </c>
      <c r="L868" s="812">
        <f t="shared" si="28"/>
        <v>10800</v>
      </c>
      <c r="M868" s="812">
        <v>10800</v>
      </c>
    </row>
    <row r="869" spans="1:14" ht="18" customHeight="1">
      <c r="A869" s="803"/>
      <c r="B869" s="804"/>
      <c r="C869" s="804"/>
      <c r="D869" s="804" t="s">
        <v>536</v>
      </c>
      <c r="E869" s="804"/>
      <c r="F869" s="805"/>
      <c r="G869" s="806" t="s">
        <v>595</v>
      </c>
      <c r="H869" s="810" t="s">
        <v>683</v>
      </c>
      <c r="I869" s="811">
        <f>26370</f>
        <v>26370</v>
      </c>
      <c r="J869" s="812">
        <v>11805</v>
      </c>
      <c r="K869" s="812">
        <f>40000-J869</f>
        <v>28195</v>
      </c>
      <c r="L869" s="812">
        <f t="shared" si="28"/>
        <v>40000</v>
      </c>
      <c r="M869" s="812">
        <v>46500</v>
      </c>
    </row>
    <row r="870" spans="1:14" ht="18" customHeight="1">
      <c r="A870" s="803"/>
      <c r="B870" s="804"/>
      <c r="C870" s="804"/>
      <c r="D870" s="804" t="s">
        <v>642</v>
      </c>
      <c r="E870" s="804"/>
      <c r="F870" s="805"/>
      <c r="G870" s="806" t="s">
        <v>596</v>
      </c>
      <c r="H870" s="810" t="s">
        <v>684</v>
      </c>
      <c r="I870" s="811">
        <v>7200</v>
      </c>
      <c r="J870" s="812">
        <v>3000</v>
      </c>
      <c r="K870" s="812">
        <f>7200-J870</f>
        <v>4200</v>
      </c>
      <c r="L870" s="812">
        <f t="shared" si="28"/>
        <v>7200</v>
      </c>
      <c r="M870" s="812">
        <v>7200</v>
      </c>
    </row>
    <row r="871" spans="1:14" ht="18" customHeight="1">
      <c r="A871" s="803"/>
      <c r="B871" s="804"/>
      <c r="C871" s="804"/>
      <c r="D871" s="804" t="s">
        <v>365</v>
      </c>
      <c r="E871" s="804"/>
      <c r="F871" s="805"/>
      <c r="G871" s="806" t="s">
        <v>597</v>
      </c>
      <c r="H871" s="810" t="s">
        <v>685</v>
      </c>
      <c r="I871" s="811">
        <v>0</v>
      </c>
      <c r="J871" s="812">
        <v>0</v>
      </c>
      <c r="K871" s="812">
        <f>0-J871</f>
        <v>0</v>
      </c>
      <c r="L871" s="812">
        <f t="shared" si="28"/>
        <v>0</v>
      </c>
      <c r="M871" s="812">
        <v>765000</v>
      </c>
    </row>
    <row r="872" spans="1:14" ht="18" customHeight="1">
      <c r="A872" s="803"/>
      <c r="B872" s="804"/>
      <c r="C872" s="804"/>
      <c r="D872" s="804" t="s">
        <v>538</v>
      </c>
      <c r="E872" s="804"/>
      <c r="F872" s="805"/>
      <c r="G872" s="806" t="s">
        <v>388</v>
      </c>
      <c r="H872" s="810" t="s">
        <v>696</v>
      </c>
      <c r="I872" s="811">
        <f>251795</f>
        <v>251795</v>
      </c>
      <c r="J872" s="812">
        <v>0</v>
      </c>
      <c r="K872" s="812">
        <f>0-J872</f>
        <v>0</v>
      </c>
      <c r="L872" s="812">
        <f t="shared" si="28"/>
        <v>0</v>
      </c>
      <c r="M872" s="812">
        <v>0</v>
      </c>
    </row>
    <row r="873" spans="1:14" ht="18" customHeight="1">
      <c r="A873" s="803"/>
      <c r="B873" s="804"/>
      <c r="C873" s="804"/>
      <c r="D873" s="804" t="s">
        <v>1493</v>
      </c>
      <c r="E873" s="804"/>
      <c r="F873" s="805"/>
      <c r="G873" s="806"/>
      <c r="H873" s="810" t="s">
        <v>696</v>
      </c>
      <c r="I873" s="811">
        <v>60000</v>
      </c>
      <c r="J873" s="812">
        <v>0</v>
      </c>
      <c r="K873" s="812">
        <v>0</v>
      </c>
      <c r="L873" s="812">
        <f t="shared" si="28"/>
        <v>0</v>
      </c>
      <c r="M873" s="812">
        <v>0</v>
      </c>
    </row>
    <row r="874" spans="1:14" ht="18" customHeight="1">
      <c r="A874" s="815"/>
      <c r="B874" s="816"/>
      <c r="C874" s="816"/>
      <c r="D874" s="816" t="s">
        <v>364</v>
      </c>
      <c r="E874" s="816"/>
      <c r="F874" s="817"/>
      <c r="G874" s="818"/>
      <c r="H874" s="847"/>
      <c r="I874" s="819">
        <f>SUM(I855:I873)</f>
        <v>3234726.92</v>
      </c>
      <c r="J874" s="819">
        <f>SUM(J855:J873)</f>
        <v>1480848</v>
      </c>
      <c r="K874" s="819">
        <f>SUM(K855:K873)</f>
        <v>1623869</v>
      </c>
      <c r="L874" s="819">
        <f>SUM(L855:L873)</f>
        <v>3104717</v>
      </c>
      <c r="M874" s="819">
        <f>SUM(M855:M873)</f>
        <v>4021567</v>
      </c>
    </row>
    <row r="875" spans="1:14" ht="18" customHeight="1">
      <c r="A875" s="803"/>
      <c r="B875" s="804" t="s">
        <v>539</v>
      </c>
      <c r="C875" s="804"/>
      <c r="D875" s="804"/>
      <c r="E875" s="804"/>
      <c r="F875" s="805"/>
      <c r="G875" s="806"/>
      <c r="H875" s="844"/>
      <c r="I875" s="811"/>
      <c r="J875" s="812"/>
      <c r="K875" s="812"/>
      <c r="L875" s="812"/>
      <c r="M875" s="812"/>
    </row>
    <row r="876" spans="1:14" ht="18" customHeight="1">
      <c r="A876" s="803"/>
      <c r="B876" s="804"/>
      <c r="C876" s="804"/>
      <c r="D876" s="804" t="s">
        <v>540</v>
      </c>
      <c r="E876" s="804"/>
      <c r="F876" s="805"/>
      <c r="G876" s="806" t="s">
        <v>376</v>
      </c>
      <c r="H876" s="810" t="s">
        <v>686</v>
      </c>
      <c r="I876" s="811">
        <v>0</v>
      </c>
      <c r="J876" s="812">
        <v>16800</v>
      </c>
      <c r="K876" s="812">
        <f>95166-J876</f>
        <v>78366</v>
      </c>
      <c r="L876" s="812">
        <f t="shared" ref="L876:L882" si="29">SUM(K876+J876)</f>
        <v>95166</v>
      </c>
      <c r="M876" s="812">
        <v>95166</v>
      </c>
    </row>
    <row r="877" spans="1:14" ht="18" customHeight="1">
      <c r="A877" s="803"/>
      <c r="B877" s="804"/>
      <c r="C877" s="804"/>
      <c r="D877" s="804" t="s">
        <v>421</v>
      </c>
      <c r="E877" s="804"/>
      <c r="F877" s="805"/>
      <c r="G877" s="806" t="s">
        <v>377</v>
      </c>
      <c r="H877" s="810" t="s">
        <v>687</v>
      </c>
      <c r="I877" s="811">
        <f>12000+3360</f>
        <v>15360</v>
      </c>
      <c r="J877" s="812">
        <v>0</v>
      </c>
      <c r="K877" s="812">
        <f>43923-J877</f>
        <v>43923</v>
      </c>
      <c r="L877" s="812">
        <f t="shared" si="29"/>
        <v>43923</v>
      </c>
      <c r="M877" s="812">
        <v>43923</v>
      </c>
    </row>
    <row r="878" spans="1:14" ht="18" customHeight="1">
      <c r="A878" s="803"/>
      <c r="B878" s="804"/>
      <c r="C878" s="804"/>
      <c r="D878" s="804" t="s">
        <v>371</v>
      </c>
      <c r="E878" s="804"/>
      <c r="F878" s="805"/>
      <c r="G878" s="806" t="s">
        <v>379</v>
      </c>
      <c r="H878" s="810" t="s">
        <v>688</v>
      </c>
      <c r="I878" s="811">
        <f>87117.5</f>
        <v>87117.5</v>
      </c>
      <c r="J878" s="812">
        <v>30425</v>
      </c>
      <c r="K878" s="812">
        <f>121598-J878</f>
        <v>91173</v>
      </c>
      <c r="L878" s="812">
        <f t="shared" si="29"/>
        <v>121598</v>
      </c>
      <c r="M878" s="812">
        <v>121598</v>
      </c>
      <c r="N878" s="855"/>
    </row>
    <row r="879" spans="1:14" ht="18" customHeight="1">
      <c r="A879" s="803"/>
      <c r="B879" s="804"/>
      <c r="C879" s="804"/>
      <c r="D879" s="804" t="s">
        <v>542</v>
      </c>
      <c r="E879" s="804"/>
      <c r="F879" s="805"/>
      <c r="G879" s="806" t="s">
        <v>378</v>
      </c>
      <c r="H879" s="810" t="s">
        <v>698</v>
      </c>
      <c r="I879" s="811">
        <f>1155417.5</f>
        <v>1155417.5</v>
      </c>
      <c r="J879" s="812">
        <v>398587.5</v>
      </c>
      <c r="K879" s="812">
        <f>1397420-J879</f>
        <v>998832.5</v>
      </c>
      <c r="L879" s="812">
        <f t="shared" si="29"/>
        <v>1397420</v>
      </c>
      <c r="M879" s="812">
        <v>1397420</v>
      </c>
      <c r="N879" s="855"/>
    </row>
    <row r="880" spans="1:14" ht="18" customHeight="1">
      <c r="A880" s="803"/>
      <c r="B880" s="804"/>
      <c r="C880" s="804"/>
      <c r="D880" s="804" t="s">
        <v>902</v>
      </c>
      <c r="E880" s="804"/>
      <c r="F880" s="805"/>
      <c r="G880" s="806" t="s">
        <v>381</v>
      </c>
      <c r="H880" s="810" t="s">
        <v>691</v>
      </c>
      <c r="I880" s="811">
        <f>22880</f>
        <v>22880</v>
      </c>
      <c r="J880" s="812">
        <v>0</v>
      </c>
      <c r="K880" s="812">
        <f>14641-J880</f>
        <v>14641</v>
      </c>
      <c r="L880" s="812">
        <f t="shared" si="29"/>
        <v>14641</v>
      </c>
      <c r="M880" s="812">
        <v>14641</v>
      </c>
      <c r="N880" s="855"/>
    </row>
    <row r="881" spans="1:14" ht="18" customHeight="1">
      <c r="A881" s="803"/>
      <c r="B881" s="804"/>
      <c r="C881" s="804"/>
      <c r="D881" s="804" t="s">
        <v>552</v>
      </c>
      <c r="E881" s="804"/>
      <c r="F881" s="805"/>
      <c r="G881" s="806" t="s">
        <v>382</v>
      </c>
      <c r="H881" s="810" t="s">
        <v>692</v>
      </c>
      <c r="I881" s="811">
        <v>0</v>
      </c>
      <c r="J881" s="812">
        <v>0</v>
      </c>
      <c r="K881" s="812">
        <f>75141-J881</f>
        <v>75141</v>
      </c>
      <c r="L881" s="812">
        <f t="shared" si="29"/>
        <v>75141</v>
      </c>
      <c r="M881" s="812">
        <v>75141</v>
      </c>
      <c r="N881" s="855"/>
    </row>
    <row r="882" spans="1:14" ht="18" customHeight="1">
      <c r="A882" s="803"/>
      <c r="B882" s="804"/>
      <c r="C882" s="804"/>
      <c r="D882" s="804" t="s">
        <v>1681</v>
      </c>
      <c r="E882" s="804"/>
      <c r="F882" s="805"/>
      <c r="G882" s="806"/>
      <c r="H882" s="810" t="s">
        <v>692</v>
      </c>
      <c r="I882" s="811">
        <f>150000</f>
        <v>150000</v>
      </c>
      <c r="J882" s="812">
        <v>0</v>
      </c>
      <c r="K882" s="812">
        <f>0-J882</f>
        <v>0</v>
      </c>
      <c r="L882" s="812">
        <f t="shared" si="29"/>
        <v>0</v>
      </c>
      <c r="M882" s="812">
        <v>0</v>
      </c>
      <c r="N882" s="855"/>
    </row>
    <row r="883" spans="1:14" ht="18" customHeight="1">
      <c r="A883" s="815"/>
      <c r="B883" s="816"/>
      <c r="C883" s="816"/>
      <c r="D883" s="816" t="s">
        <v>737</v>
      </c>
      <c r="E883" s="816"/>
      <c r="F883" s="817"/>
      <c r="G883" s="818"/>
      <c r="H883" s="847"/>
      <c r="I883" s="819">
        <f>SUM(I876:I882)</f>
        <v>1430775</v>
      </c>
      <c r="J883" s="819">
        <f>SUM(J876:J882)</f>
        <v>445812.5</v>
      </c>
      <c r="K883" s="819">
        <f>SUM(K876:K882)</f>
        <v>1302076.5</v>
      </c>
      <c r="L883" s="819">
        <f>SUM(L876:L882)</f>
        <v>1747889</v>
      </c>
      <c r="M883" s="819">
        <f>SUM(M876:M882)</f>
        <v>1747889</v>
      </c>
    </row>
    <row r="884" spans="1:14" ht="18" customHeight="1">
      <c r="A884" s="803"/>
      <c r="B884" s="804" t="s">
        <v>553</v>
      </c>
      <c r="C884" s="804"/>
      <c r="D884" s="804"/>
      <c r="E884" s="804"/>
      <c r="F884" s="805"/>
      <c r="G884" s="806"/>
      <c r="H884" s="844"/>
      <c r="I884" s="811"/>
      <c r="J884" s="812"/>
      <c r="K884" s="812"/>
      <c r="L884" s="812"/>
      <c r="M884" s="812"/>
    </row>
    <row r="885" spans="1:14" ht="18" hidden="1" customHeight="1">
      <c r="A885" s="803"/>
      <c r="B885" s="804"/>
      <c r="C885" s="804"/>
      <c r="D885" s="804" t="s">
        <v>671</v>
      </c>
      <c r="E885" s="804"/>
      <c r="F885" s="805"/>
      <c r="G885" s="806" t="s">
        <v>830</v>
      </c>
      <c r="H885" s="810" t="s">
        <v>831</v>
      </c>
      <c r="I885" s="811">
        <v>0</v>
      </c>
      <c r="J885" s="812">
        <v>0</v>
      </c>
      <c r="K885" s="812">
        <f>0-J885</f>
        <v>0</v>
      </c>
      <c r="L885" s="812">
        <f>SUM(K885+J885)</f>
        <v>0</v>
      </c>
      <c r="M885" s="812"/>
    </row>
    <row r="886" spans="1:14" ht="18" customHeight="1">
      <c r="A886" s="803"/>
      <c r="B886" s="804"/>
      <c r="C886" s="804"/>
      <c r="D886" s="804" t="s">
        <v>829</v>
      </c>
      <c r="E886" s="804"/>
      <c r="F886" s="805"/>
      <c r="G886" s="806" t="s">
        <v>832</v>
      </c>
      <c r="H886" s="810" t="s">
        <v>1527</v>
      </c>
      <c r="I886" s="811">
        <v>0</v>
      </c>
      <c r="J886" s="812">
        <v>0</v>
      </c>
      <c r="K886" s="812">
        <f>60000-J886</f>
        <v>60000</v>
      </c>
      <c r="L886" s="812">
        <f t="shared" ref="L886:L887" si="30">SUM(K886+J886)</f>
        <v>60000</v>
      </c>
      <c r="M886" s="812">
        <v>0</v>
      </c>
    </row>
    <row r="887" spans="1:14" ht="18" customHeight="1">
      <c r="A887" s="803"/>
      <c r="B887" s="804"/>
      <c r="C887" s="804"/>
      <c r="D887" s="804" t="s">
        <v>1584</v>
      </c>
      <c r="E887" s="804"/>
      <c r="F887" s="805"/>
      <c r="G887" s="806"/>
      <c r="H887" s="810" t="s">
        <v>1583</v>
      </c>
      <c r="I887" s="811">
        <v>0</v>
      </c>
      <c r="J887" s="812">
        <v>0</v>
      </c>
      <c r="K887" s="812">
        <f>30000-J887</f>
        <v>30000</v>
      </c>
      <c r="L887" s="812">
        <f t="shared" si="30"/>
        <v>30000</v>
      </c>
      <c r="M887" s="812">
        <v>0</v>
      </c>
    </row>
    <row r="888" spans="1:14" ht="18" customHeight="1">
      <c r="A888" s="815"/>
      <c r="B888" s="816"/>
      <c r="C888" s="816"/>
      <c r="D888" s="816" t="s">
        <v>782</v>
      </c>
      <c r="E888" s="816"/>
      <c r="F888" s="817"/>
      <c r="G888" s="818"/>
      <c r="H888" s="847"/>
      <c r="I888" s="819">
        <f>SUM(I885:I887)</f>
        <v>0</v>
      </c>
      <c r="J888" s="819">
        <f t="shared" ref="J888:M888" si="31">SUM(J885:J887)</f>
        <v>0</v>
      </c>
      <c r="K888" s="819">
        <f t="shared" si="31"/>
        <v>90000</v>
      </c>
      <c r="L888" s="819">
        <f t="shared" si="31"/>
        <v>90000</v>
      </c>
      <c r="M888" s="819">
        <f t="shared" si="31"/>
        <v>0</v>
      </c>
      <c r="N888" s="889"/>
    </row>
    <row r="889" spans="1:14" ht="18" customHeight="1">
      <c r="A889" s="815"/>
      <c r="B889" s="816"/>
      <c r="C889" s="816"/>
      <c r="D889" s="816"/>
      <c r="E889" s="816"/>
      <c r="F889" s="817"/>
      <c r="G889" s="818"/>
      <c r="H889" s="847"/>
      <c r="I889" s="819"/>
      <c r="J889" s="822"/>
      <c r="K889" s="822"/>
      <c r="L889" s="822"/>
      <c r="M889" s="822"/>
    </row>
    <row r="890" spans="1:14" ht="18" customHeight="1">
      <c r="A890" s="823" t="s">
        <v>613</v>
      </c>
      <c r="B890" s="824"/>
      <c r="C890" s="824"/>
      <c r="D890" s="824"/>
      <c r="E890" s="824"/>
      <c r="F890" s="825"/>
      <c r="G890" s="826"/>
      <c r="H890" s="848"/>
      <c r="I890" s="828">
        <f>SUM(I888+I883+I874)</f>
        <v>4665501.92</v>
      </c>
      <c r="J890" s="828">
        <f>SUM(J888+J883+J874)</f>
        <v>1926660.5</v>
      </c>
      <c r="K890" s="828">
        <f>SUM(K888+K883+K874)</f>
        <v>3015945.5</v>
      </c>
      <c r="L890" s="828">
        <f>SUM(L888+L883+L874)</f>
        <v>4942606</v>
      </c>
      <c r="M890" s="828">
        <f>SUM(M888+M883+M874)</f>
        <v>5769456</v>
      </c>
    </row>
    <row r="891" spans="1:14" ht="18" customHeight="1">
      <c r="A891" s="791"/>
      <c r="B891" s="829"/>
      <c r="C891" s="791"/>
      <c r="D891" s="791"/>
      <c r="E891" s="791"/>
      <c r="F891" s="791"/>
      <c r="G891" s="791"/>
      <c r="H891" s="830"/>
      <c r="I891" s="967"/>
      <c r="J891" s="831"/>
      <c r="K891" s="831"/>
      <c r="L891" s="831"/>
      <c r="M891" s="831"/>
    </row>
    <row r="892" spans="1:14" s="1329" customFormat="1" ht="18" customHeight="1">
      <c r="A892" s="1484" t="s">
        <v>1796</v>
      </c>
      <c r="B892" s="1484"/>
      <c r="C892" s="1484"/>
      <c r="D892" s="1484"/>
      <c r="E892" s="1484"/>
      <c r="F892" s="1484"/>
      <c r="G892" s="1484"/>
      <c r="H892" s="1484"/>
      <c r="I892" s="1484"/>
      <c r="J892" s="1484"/>
      <c r="K892" s="1484"/>
      <c r="L892" s="1484"/>
      <c r="M892" s="1484"/>
    </row>
    <row r="893" spans="1:14" s="1329" customFormat="1" ht="18" customHeight="1">
      <c r="A893" s="1330"/>
      <c r="B893" s="1330"/>
      <c r="C893" s="1330"/>
      <c r="D893" s="1330"/>
      <c r="E893" s="1330"/>
      <c r="F893" s="1330"/>
      <c r="G893" s="1330"/>
      <c r="H893" s="1330"/>
      <c r="I893" s="1330"/>
      <c r="J893" s="1330"/>
      <c r="K893" s="1330"/>
      <c r="L893" s="1330"/>
      <c r="M893" s="1330"/>
    </row>
    <row r="894" spans="1:14" s="1323" customFormat="1" ht="18" customHeight="1">
      <c r="A894" s="1324"/>
      <c r="B894" s="1325"/>
      <c r="C894" s="1324"/>
      <c r="D894" s="1324"/>
      <c r="E894" s="1324"/>
      <c r="F894" s="1326"/>
      <c r="G894" s="1327"/>
      <c r="H894" s="1328"/>
      <c r="I894" s="1328"/>
      <c r="K894" s="1044"/>
      <c r="L894" s="1044"/>
      <c r="M894" s="831"/>
    </row>
    <row r="895" spans="1:14" s="1323" customFormat="1" ht="18" customHeight="1">
      <c r="A895" s="1324"/>
      <c r="B895" s="1325"/>
      <c r="C895" s="1324"/>
      <c r="D895" s="1324"/>
      <c r="E895" s="1324"/>
      <c r="F895" s="1326"/>
      <c r="G895" s="1327"/>
      <c r="H895" s="1328"/>
      <c r="I895" s="1328"/>
      <c r="K895" s="1044"/>
      <c r="L895" s="1044"/>
      <c r="M895" s="831"/>
    </row>
    <row r="896" spans="1:14" s="1336" customFormat="1" ht="20.100000000000001" customHeight="1">
      <c r="A896" s="1485" t="s">
        <v>1854</v>
      </c>
      <c r="B896" s="1485"/>
      <c r="C896" s="1485"/>
      <c r="D896" s="1485"/>
      <c r="E896" s="1485"/>
      <c r="F896" s="1485"/>
      <c r="G896" s="1485"/>
      <c r="H896" s="1485"/>
      <c r="I896" s="1485"/>
      <c r="J896" s="1485"/>
      <c r="K896" s="1485"/>
      <c r="L896" s="1485"/>
      <c r="M896" s="1485"/>
    </row>
    <row r="897" spans="1:14" s="778" customFormat="1" ht="18" customHeight="1">
      <c r="A897" s="777"/>
      <c r="B897" s="776"/>
      <c r="C897" s="777"/>
      <c r="D897" s="777"/>
      <c r="E897" s="777"/>
      <c r="F897" s="837"/>
      <c r="G897" s="838"/>
      <c r="H897" s="830"/>
      <c r="I897" s="967"/>
      <c r="K897" s="840"/>
      <c r="L897" s="840"/>
      <c r="M897" s="831"/>
    </row>
    <row r="898" spans="1:14" s="1253" customFormat="1" ht="15" customHeight="1">
      <c r="A898" s="1467" t="s">
        <v>861</v>
      </c>
      <c r="B898" s="1467"/>
      <c r="C898" s="1467"/>
      <c r="D898" s="1467"/>
      <c r="E898" s="1467"/>
      <c r="F898" s="1467"/>
      <c r="G898" s="1467"/>
      <c r="H898" s="1467"/>
      <c r="I898" s="1467"/>
      <c r="J898" s="1467"/>
      <c r="K898" s="1467"/>
      <c r="L898" s="1467"/>
      <c r="M898" s="1467"/>
      <c r="N898" s="1319"/>
    </row>
    <row r="899" spans="1:14" s="1253" customFormat="1" ht="15" customHeight="1">
      <c r="A899" s="1467" t="s">
        <v>174</v>
      </c>
      <c r="B899" s="1467"/>
      <c r="C899" s="1467"/>
      <c r="D899" s="1467"/>
      <c r="E899" s="1467"/>
      <c r="F899" s="1467"/>
      <c r="G899" s="1467"/>
      <c r="H899" s="1467"/>
      <c r="I899" s="1467"/>
      <c r="J899" s="1467"/>
      <c r="K899" s="1467"/>
      <c r="L899" s="1467"/>
      <c r="M899" s="1467"/>
      <c r="N899" s="1319"/>
    </row>
    <row r="900" spans="1:14" s="1253" customFormat="1" ht="15" customHeight="1">
      <c r="A900" s="1467" t="s">
        <v>1780</v>
      </c>
      <c r="B900" s="1467"/>
      <c r="C900" s="1467"/>
      <c r="D900" s="1467"/>
      <c r="E900" s="1467"/>
      <c r="F900" s="1467"/>
      <c r="G900" s="1467"/>
      <c r="H900" s="1467"/>
      <c r="I900" s="1467"/>
      <c r="J900" s="1467"/>
      <c r="K900" s="1467"/>
      <c r="L900" s="1467"/>
      <c r="M900" s="1467"/>
      <c r="N900" s="1319"/>
    </row>
    <row r="901" spans="1:14" s="1253" customFormat="1" ht="15" customHeight="1">
      <c r="A901" s="1467"/>
      <c r="B901" s="1467"/>
      <c r="C901" s="1467"/>
      <c r="D901" s="1467"/>
      <c r="E901" s="1467"/>
      <c r="F901" s="1467"/>
      <c r="G901" s="1467"/>
      <c r="H901" s="1467"/>
      <c r="I901" s="1467"/>
      <c r="J901" s="1467"/>
      <c r="K901" s="1467"/>
      <c r="L901" s="1467"/>
      <c r="M901" s="1467"/>
      <c r="N901" s="1319"/>
    </row>
    <row r="902" spans="1:14" s="1253" customFormat="1" ht="15" customHeight="1">
      <c r="A902" s="1254"/>
      <c r="B902" s="1254"/>
      <c r="C902" s="1254"/>
      <c r="D902" s="1254"/>
      <c r="E902" s="1254"/>
      <c r="F902" s="1254"/>
      <c r="G902" s="1254"/>
      <c r="H902" s="1254"/>
      <c r="I902" s="1254"/>
      <c r="J902" s="1254"/>
      <c r="K902" s="1254"/>
      <c r="L902" s="1254"/>
      <c r="M902" s="1254"/>
      <c r="N902" s="1319"/>
    </row>
    <row r="903" spans="1:14" s="1253" customFormat="1" ht="15" customHeight="1">
      <c r="A903" s="1254"/>
      <c r="B903" s="1254"/>
      <c r="C903" s="1254"/>
      <c r="D903" s="1254"/>
      <c r="E903" s="1254"/>
      <c r="F903" s="1254"/>
      <c r="G903" s="1254"/>
      <c r="H903" s="1254"/>
      <c r="I903" s="1254"/>
      <c r="J903" s="1254"/>
      <c r="K903" s="1254"/>
      <c r="L903" s="1254"/>
      <c r="M903" s="1254"/>
      <c r="N903" s="1319"/>
    </row>
    <row r="904" spans="1:14" s="1253" customFormat="1" ht="15" customHeight="1">
      <c r="A904" s="1254"/>
      <c r="B904" s="1254"/>
      <c r="C904" s="1254"/>
      <c r="D904" s="1254"/>
      <c r="E904" s="1254"/>
      <c r="F904" s="1254"/>
      <c r="G904" s="1254"/>
      <c r="H904" s="1254"/>
      <c r="I904" s="1254"/>
      <c r="J904" s="1254"/>
      <c r="K904" s="1254"/>
      <c r="L904" s="1254"/>
      <c r="M904" s="1254"/>
      <c r="N904" s="1319"/>
    </row>
    <row r="905" spans="1:14" s="1253" customFormat="1" ht="18" customHeight="1">
      <c r="A905" s="1468" t="s">
        <v>1781</v>
      </c>
      <c r="B905" s="1468"/>
      <c r="C905" s="1468"/>
      <c r="D905" s="1468"/>
      <c r="E905" s="1468"/>
      <c r="F905" s="1468"/>
      <c r="G905" s="1468"/>
      <c r="H905" s="1468"/>
      <c r="I905" s="1468"/>
      <c r="J905" s="1468"/>
      <c r="K905" s="1468"/>
      <c r="L905" s="1468"/>
      <c r="M905" s="1468"/>
      <c r="N905" s="1320"/>
    </row>
    <row r="906" spans="1:14" s="1253" customFormat="1">
      <c r="A906" s="1469" t="s">
        <v>1817</v>
      </c>
      <c r="B906" s="1469"/>
      <c r="C906" s="1469"/>
      <c r="D906" s="1469"/>
      <c r="E906" s="1469"/>
      <c r="F906" s="1469"/>
      <c r="G906" s="1469"/>
      <c r="H906" s="1469"/>
      <c r="I906" s="1469"/>
      <c r="J906" s="1469"/>
      <c r="K906" s="1469"/>
      <c r="L906" s="1469"/>
      <c r="M906" s="1469"/>
      <c r="N906" s="1321"/>
    </row>
    <row r="907" spans="1:14" s="1253" customFormat="1" ht="15.75">
      <c r="A907" s="1253" t="s">
        <v>1855</v>
      </c>
      <c r="G907" s="1254"/>
      <c r="I907" s="1255"/>
      <c r="L907" s="1256"/>
      <c r="M907" s="1256"/>
    </row>
    <row r="908" spans="1:14" s="1253" customFormat="1" ht="15.75">
      <c r="A908" s="1253" t="s">
        <v>1811</v>
      </c>
      <c r="G908" s="1254"/>
      <c r="I908" s="1255"/>
      <c r="L908" s="1256"/>
      <c r="M908" s="1256"/>
    </row>
    <row r="909" spans="1:14" s="1253" customFormat="1" ht="8.1" customHeight="1">
      <c r="A909" s="1257" t="s">
        <v>1812</v>
      </c>
      <c r="G909" s="1254"/>
      <c r="I909" s="1255"/>
      <c r="L909" s="1256"/>
      <c r="M909" s="1256"/>
    </row>
    <row r="910" spans="1:14" s="1394" customFormat="1" ht="15.75" customHeight="1">
      <c r="A910" s="1394" t="s">
        <v>1856</v>
      </c>
      <c r="C910" s="1483" t="s">
        <v>1857</v>
      </c>
      <c r="D910" s="1483"/>
      <c r="E910" s="1483"/>
      <c r="F910" s="1483"/>
      <c r="G910" s="1483"/>
      <c r="H910" s="1483"/>
      <c r="I910" s="1483"/>
      <c r="J910" s="1483"/>
      <c r="K910" s="1483"/>
      <c r="L910" s="1483"/>
      <c r="M910" s="1483"/>
      <c r="N910" s="1396"/>
    </row>
    <row r="911" spans="1:14" s="1253" customFormat="1" ht="18" customHeight="1">
      <c r="A911" s="1338"/>
      <c r="B911" s="1338"/>
      <c r="C911" s="1483"/>
      <c r="D911" s="1483"/>
      <c r="E911" s="1483"/>
      <c r="F911" s="1483"/>
      <c r="G911" s="1483"/>
      <c r="H911" s="1483"/>
      <c r="I911" s="1483"/>
      <c r="J911" s="1483"/>
      <c r="K911" s="1483"/>
      <c r="L911" s="1483"/>
      <c r="M911" s="1483"/>
    </row>
    <row r="912" spans="1:14" s="778" customFormat="1" ht="18" customHeight="1" thickBot="1">
      <c r="A912" s="1506"/>
      <c r="B912" s="1506"/>
      <c r="C912" s="1506"/>
      <c r="D912" s="1506"/>
      <c r="E912" s="1506"/>
      <c r="F912" s="1506"/>
      <c r="G912" s="1506"/>
      <c r="H912" s="1506"/>
      <c r="I912" s="1506"/>
      <c r="J912" s="1506"/>
      <c r="K912" s="1506"/>
      <c r="L912" s="1506"/>
      <c r="M912" s="1506"/>
    </row>
    <row r="913" spans="1:13" ht="18" customHeight="1">
      <c r="A913" s="780"/>
      <c r="B913" s="781"/>
      <c r="C913" s="781"/>
      <c r="D913" s="781"/>
      <c r="E913" s="781"/>
      <c r="F913" s="782"/>
      <c r="G913" s="783"/>
      <c r="H913" s="784"/>
      <c r="I913" s="784" t="s">
        <v>6</v>
      </c>
      <c r="J913" s="1488" t="s">
        <v>1914</v>
      </c>
      <c r="K913" s="1489"/>
      <c r="L913" s="1490"/>
      <c r="M913" s="785" t="s">
        <v>7</v>
      </c>
    </row>
    <row r="914" spans="1:13" ht="18" customHeight="1">
      <c r="A914" s="1491"/>
      <c r="B914" s="1492"/>
      <c r="C914" s="1492"/>
      <c r="D914" s="1492"/>
      <c r="E914" s="1492"/>
      <c r="F914" s="1493"/>
      <c r="G914" s="1371"/>
      <c r="H914" s="786"/>
      <c r="I914" s="786">
        <v>2021</v>
      </c>
      <c r="J914" s="786" t="s">
        <v>560</v>
      </c>
      <c r="K914" s="786" t="s">
        <v>561</v>
      </c>
      <c r="L914" s="786">
        <v>2022</v>
      </c>
      <c r="M914" s="787">
        <v>2023</v>
      </c>
    </row>
    <row r="915" spans="1:13" ht="18" customHeight="1">
      <c r="A915" s="1491" t="s">
        <v>21</v>
      </c>
      <c r="B915" s="1492"/>
      <c r="C915" s="1492"/>
      <c r="D915" s="1492"/>
      <c r="E915" s="1492"/>
      <c r="F915" s="1493"/>
      <c r="G915" s="788"/>
      <c r="H915" s="789" t="s">
        <v>612</v>
      </c>
      <c r="I915" s="786" t="s">
        <v>909</v>
      </c>
      <c r="J915" s="786" t="s">
        <v>559</v>
      </c>
      <c r="K915" s="786" t="s">
        <v>562</v>
      </c>
      <c r="L915" s="786" t="s">
        <v>909</v>
      </c>
      <c r="M915" s="787" t="s">
        <v>909</v>
      </c>
    </row>
    <row r="916" spans="1:13" ht="18" customHeight="1">
      <c r="A916" s="790"/>
      <c r="B916" s="791"/>
      <c r="C916" s="791"/>
      <c r="D916" s="791"/>
      <c r="E916" s="791"/>
      <c r="F916" s="792"/>
      <c r="G916" s="788"/>
      <c r="H916" s="786"/>
      <c r="I916" s="786" t="s">
        <v>559</v>
      </c>
      <c r="J916" s="786">
        <v>2022</v>
      </c>
      <c r="K916" s="786">
        <v>2022</v>
      </c>
      <c r="L916" s="786" t="s">
        <v>910</v>
      </c>
      <c r="M916" s="787" t="s">
        <v>564</v>
      </c>
    </row>
    <row r="917" spans="1:13" ht="18" customHeight="1" thickBot="1">
      <c r="A917" s="1497"/>
      <c r="B917" s="1498"/>
      <c r="C917" s="1498"/>
      <c r="D917" s="1498"/>
      <c r="E917" s="1498"/>
      <c r="F917" s="1499"/>
      <c r="G917" s="1372"/>
      <c r="H917" s="793"/>
      <c r="I917" s="1393"/>
      <c r="J917" s="793"/>
      <c r="K917" s="793"/>
      <c r="L917" s="793"/>
      <c r="M917" s="794"/>
    </row>
    <row r="918" spans="1:13" ht="18" customHeight="1">
      <c r="A918" s="795"/>
      <c r="B918" s="796" t="s">
        <v>359</v>
      </c>
      <c r="C918" s="797"/>
      <c r="D918" s="796"/>
      <c r="E918" s="796"/>
      <c r="F918" s="798"/>
      <c r="G918" s="799"/>
      <c r="H918" s="841"/>
      <c r="I918" s="842"/>
      <c r="J918" s="843"/>
      <c r="K918" s="843"/>
      <c r="L918" s="843"/>
      <c r="M918" s="843"/>
    </row>
    <row r="919" spans="1:13" ht="18" customHeight="1">
      <c r="A919" s="803"/>
      <c r="B919" s="804"/>
      <c r="C919" s="804" t="s">
        <v>515</v>
      </c>
      <c r="D919" s="804"/>
      <c r="E919" s="804"/>
      <c r="F919" s="805"/>
      <c r="G919" s="806"/>
      <c r="H919" s="844"/>
      <c r="I919" s="845"/>
      <c r="J919" s="846"/>
      <c r="K919" s="846"/>
      <c r="L919" s="846"/>
      <c r="M919" s="846"/>
    </row>
    <row r="920" spans="1:13" ht="18" customHeight="1">
      <c r="A920" s="803"/>
      <c r="B920" s="804"/>
      <c r="C920" s="804"/>
      <c r="D920" s="804" t="s">
        <v>516</v>
      </c>
      <c r="E920" s="804"/>
      <c r="F920" s="805"/>
      <c r="G920" s="806" t="s">
        <v>582</v>
      </c>
      <c r="H920" s="810" t="s">
        <v>672</v>
      </c>
      <c r="I920" s="811">
        <f>694212</f>
        <v>694212</v>
      </c>
      <c r="J920" s="812">
        <v>362838</v>
      </c>
      <c r="K920" s="812">
        <f>726110-J920</f>
        <v>363272</v>
      </c>
      <c r="L920" s="812">
        <f>SUM(K920+J920)</f>
        <v>726110</v>
      </c>
      <c r="M920" s="812">
        <v>763047</v>
      </c>
    </row>
    <row r="921" spans="1:13" ht="18" customHeight="1">
      <c r="A921" s="803"/>
      <c r="B921" s="804"/>
      <c r="C921" s="804" t="s">
        <v>517</v>
      </c>
      <c r="D921" s="804"/>
      <c r="E921" s="804"/>
      <c r="F921" s="805"/>
      <c r="G921" s="806"/>
      <c r="H921" s="810"/>
      <c r="I921" s="811"/>
      <c r="J921" s="812"/>
      <c r="K921" s="812"/>
      <c r="L921" s="812"/>
      <c r="M921" s="812"/>
    </row>
    <row r="922" spans="1:13" ht="18" customHeight="1">
      <c r="A922" s="803"/>
      <c r="B922" s="804"/>
      <c r="C922" s="804"/>
      <c r="D922" s="804" t="s">
        <v>518</v>
      </c>
      <c r="E922" s="804"/>
      <c r="F922" s="805"/>
      <c r="G922" s="806" t="s">
        <v>583</v>
      </c>
      <c r="H922" s="810" t="s">
        <v>673</v>
      </c>
      <c r="I922" s="811">
        <f>48000</f>
        <v>48000</v>
      </c>
      <c r="J922" s="812">
        <v>24000</v>
      </c>
      <c r="K922" s="812">
        <f>48000-J922</f>
        <v>24000</v>
      </c>
      <c r="L922" s="812">
        <f t="shared" ref="L922:L935" si="32">SUM(K922+J922)</f>
        <v>48000</v>
      </c>
      <c r="M922" s="812">
        <v>48000</v>
      </c>
    </row>
    <row r="923" spans="1:13" ht="18" customHeight="1">
      <c r="A923" s="803"/>
      <c r="B923" s="804"/>
      <c r="C923" s="804"/>
      <c r="D923" s="804" t="s">
        <v>529</v>
      </c>
      <c r="E923" s="804"/>
      <c r="F923" s="805"/>
      <c r="G923" s="806" t="s">
        <v>586</v>
      </c>
      <c r="H923" s="810" t="s">
        <v>676</v>
      </c>
      <c r="I923" s="811">
        <f>12000</f>
        <v>12000</v>
      </c>
      <c r="J923" s="812">
        <v>12000</v>
      </c>
      <c r="K923" s="812">
        <f>12000-J923</f>
        <v>0</v>
      </c>
      <c r="L923" s="812">
        <f t="shared" si="32"/>
        <v>12000</v>
      </c>
      <c r="M923" s="812">
        <v>12000</v>
      </c>
    </row>
    <row r="924" spans="1:13" ht="18" customHeight="1">
      <c r="A924" s="803"/>
      <c r="B924" s="804"/>
      <c r="C924" s="804"/>
      <c r="D924" s="804" t="s">
        <v>670</v>
      </c>
      <c r="E924" s="804"/>
      <c r="F924" s="805"/>
      <c r="G924" s="806" t="s">
        <v>588</v>
      </c>
      <c r="H924" s="810" t="s">
        <v>677</v>
      </c>
      <c r="I924" s="811">
        <f>10000</f>
        <v>10000</v>
      </c>
      <c r="J924" s="812">
        <v>0</v>
      </c>
      <c r="K924" s="812">
        <f>10000-J924</f>
        <v>10000</v>
      </c>
      <c r="L924" s="812">
        <f t="shared" si="32"/>
        <v>10000</v>
      </c>
      <c r="M924" s="812">
        <v>10000</v>
      </c>
    </row>
    <row r="925" spans="1:13" ht="18" customHeight="1">
      <c r="A925" s="803"/>
      <c r="B925" s="804"/>
      <c r="C925" s="804"/>
      <c r="D925" s="804" t="s">
        <v>533</v>
      </c>
      <c r="E925" s="804"/>
      <c r="F925" s="805"/>
      <c r="G925" s="806" t="s">
        <v>591</v>
      </c>
      <c r="H925" s="810" t="s">
        <v>679</v>
      </c>
      <c r="I925" s="811">
        <v>10000</v>
      </c>
      <c r="J925" s="812">
        <v>0</v>
      </c>
      <c r="K925" s="812">
        <f>10000-J925</f>
        <v>10000</v>
      </c>
      <c r="L925" s="812">
        <f t="shared" si="32"/>
        <v>10000</v>
      </c>
      <c r="M925" s="812">
        <v>10000</v>
      </c>
    </row>
    <row r="926" spans="1:13" ht="18" customHeight="1">
      <c r="A926" s="803"/>
      <c r="B926" s="804"/>
      <c r="C926" s="804"/>
      <c r="D926" s="804" t="s">
        <v>790</v>
      </c>
      <c r="E926" s="804"/>
      <c r="F926" s="804"/>
      <c r="G926" s="814" t="s">
        <v>425</v>
      </c>
      <c r="H926" s="810" t="s">
        <v>678</v>
      </c>
      <c r="I926" s="811">
        <f>57851</f>
        <v>57851</v>
      </c>
      <c r="J926" s="812">
        <v>60473</v>
      </c>
      <c r="K926" s="812">
        <f>60473-J926</f>
        <v>0</v>
      </c>
      <c r="L926" s="812">
        <f t="shared" si="32"/>
        <v>60473</v>
      </c>
      <c r="M926" s="812">
        <v>63527</v>
      </c>
    </row>
    <row r="927" spans="1:13" ht="18" customHeight="1">
      <c r="A927" s="803"/>
      <c r="B927" s="804"/>
      <c r="C927" s="804"/>
      <c r="D927" s="804" t="s">
        <v>1580</v>
      </c>
      <c r="E927" s="804"/>
      <c r="F927" s="805"/>
      <c r="G927" s="806" t="s">
        <v>425</v>
      </c>
      <c r="H927" s="810" t="s">
        <v>678</v>
      </c>
      <c r="I927" s="811">
        <f>6000</f>
        <v>6000</v>
      </c>
      <c r="J927" s="812">
        <v>0</v>
      </c>
      <c r="K927" s="812">
        <f>0-J927</f>
        <v>0</v>
      </c>
      <c r="L927" s="812">
        <f t="shared" si="32"/>
        <v>0</v>
      </c>
      <c r="M927" s="812">
        <v>0</v>
      </c>
    </row>
    <row r="928" spans="1:13" ht="18" customHeight="1">
      <c r="A928" s="803"/>
      <c r="B928" s="804"/>
      <c r="C928" s="804"/>
      <c r="D928" s="804" t="s">
        <v>531</v>
      </c>
      <c r="E928" s="804"/>
      <c r="F928" s="805"/>
      <c r="G928" s="806"/>
      <c r="H928" s="810" t="s">
        <v>678</v>
      </c>
      <c r="I928" s="811">
        <v>0</v>
      </c>
      <c r="J928" s="812">
        <v>0</v>
      </c>
      <c r="K928" s="812">
        <f>0-J928</f>
        <v>0</v>
      </c>
      <c r="L928" s="812">
        <f t="shared" si="32"/>
        <v>0</v>
      </c>
      <c r="M928" s="812">
        <v>5000</v>
      </c>
    </row>
    <row r="929" spans="1:13" ht="18" customHeight="1">
      <c r="A929" s="803"/>
      <c r="B929" s="804"/>
      <c r="C929" s="804"/>
      <c r="D929" s="804" t="s">
        <v>534</v>
      </c>
      <c r="E929" s="804"/>
      <c r="F929" s="805"/>
      <c r="G929" s="806" t="s">
        <v>592</v>
      </c>
      <c r="H929" s="810" t="s">
        <v>680</v>
      </c>
      <c r="I929" s="811">
        <f>57851</f>
        <v>57851</v>
      </c>
      <c r="J929" s="812">
        <v>0</v>
      </c>
      <c r="K929" s="812">
        <f>60473-J929</f>
        <v>60473</v>
      </c>
      <c r="L929" s="812">
        <f t="shared" si="32"/>
        <v>60473</v>
      </c>
      <c r="M929" s="812">
        <v>63768</v>
      </c>
    </row>
    <row r="930" spans="1:13" ht="18" customHeight="1">
      <c r="A930" s="803"/>
      <c r="B930" s="804"/>
      <c r="C930" s="804"/>
      <c r="D930" s="804" t="s">
        <v>646</v>
      </c>
      <c r="E930" s="804"/>
      <c r="F930" s="805"/>
      <c r="G930" s="806" t="s">
        <v>593</v>
      </c>
      <c r="H930" s="810" t="s">
        <v>681</v>
      </c>
      <c r="I930" s="811">
        <f>80890.2</f>
        <v>80890.2</v>
      </c>
      <c r="J930" s="812">
        <v>34710.6</v>
      </c>
      <c r="K930" s="812">
        <f>89000-J930</f>
        <v>54289.4</v>
      </c>
      <c r="L930" s="812">
        <f t="shared" si="32"/>
        <v>89000</v>
      </c>
      <c r="M930" s="812">
        <v>92000</v>
      </c>
    </row>
    <row r="931" spans="1:13" ht="18" customHeight="1">
      <c r="A931" s="803"/>
      <c r="B931" s="804"/>
      <c r="C931" s="804"/>
      <c r="D931" s="804" t="s">
        <v>535</v>
      </c>
      <c r="E931" s="804"/>
      <c r="F931" s="805"/>
      <c r="G931" s="806" t="s">
        <v>594</v>
      </c>
      <c r="H931" s="810" t="s">
        <v>682</v>
      </c>
      <c r="I931" s="811">
        <f>2400</f>
        <v>2400</v>
      </c>
      <c r="J931" s="812">
        <v>1000</v>
      </c>
      <c r="K931" s="812">
        <f>3600-J931</f>
        <v>2600</v>
      </c>
      <c r="L931" s="812">
        <f t="shared" si="32"/>
        <v>3600</v>
      </c>
      <c r="M931" s="812">
        <v>3600</v>
      </c>
    </row>
    <row r="932" spans="1:13" ht="18" customHeight="1">
      <c r="A932" s="803"/>
      <c r="B932" s="804"/>
      <c r="C932" s="804"/>
      <c r="D932" s="804" t="s">
        <v>536</v>
      </c>
      <c r="E932" s="804"/>
      <c r="F932" s="805"/>
      <c r="G932" s="806" t="s">
        <v>595</v>
      </c>
      <c r="H932" s="810" t="s">
        <v>683</v>
      </c>
      <c r="I932" s="811">
        <f>10215</f>
        <v>10215</v>
      </c>
      <c r="J932" s="812">
        <v>4395</v>
      </c>
      <c r="K932" s="812">
        <f>16000-J932</f>
        <v>11605</v>
      </c>
      <c r="L932" s="812">
        <f t="shared" si="32"/>
        <v>16000</v>
      </c>
      <c r="M932" s="812">
        <v>17500</v>
      </c>
    </row>
    <row r="933" spans="1:13" ht="18" customHeight="1">
      <c r="A933" s="803"/>
      <c r="B933" s="804"/>
      <c r="C933" s="804"/>
      <c r="D933" s="804" t="s">
        <v>642</v>
      </c>
      <c r="E933" s="804"/>
      <c r="F933" s="805"/>
      <c r="G933" s="806" t="s">
        <v>596</v>
      </c>
      <c r="H933" s="810" t="s">
        <v>684</v>
      </c>
      <c r="I933" s="811">
        <f>2400</f>
        <v>2400</v>
      </c>
      <c r="J933" s="812">
        <v>1000</v>
      </c>
      <c r="K933" s="812">
        <f>2400-J933</f>
        <v>1400</v>
      </c>
      <c r="L933" s="812">
        <f t="shared" si="32"/>
        <v>2400</v>
      </c>
      <c r="M933" s="812">
        <v>2400</v>
      </c>
    </row>
    <row r="934" spans="1:13" ht="18" customHeight="1">
      <c r="A934" s="803"/>
      <c r="B934" s="804"/>
      <c r="C934" s="804"/>
      <c r="D934" s="804" t="s">
        <v>538</v>
      </c>
      <c r="E934" s="804"/>
      <c r="F934" s="805"/>
      <c r="G934" s="806" t="s">
        <v>388</v>
      </c>
      <c r="H934" s="810" t="s">
        <v>696</v>
      </c>
      <c r="I934" s="811">
        <f>91227.34</f>
        <v>91227.34</v>
      </c>
      <c r="J934" s="812">
        <v>0</v>
      </c>
      <c r="K934" s="812">
        <f>0-J934</f>
        <v>0</v>
      </c>
      <c r="L934" s="812">
        <f t="shared" si="32"/>
        <v>0</v>
      </c>
      <c r="M934" s="812">
        <v>0</v>
      </c>
    </row>
    <row r="935" spans="1:13" ht="18" customHeight="1">
      <c r="A935" s="803"/>
      <c r="B935" s="804"/>
      <c r="C935" s="804"/>
      <c r="D935" s="804" t="s">
        <v>1493</v>
      </c>
      <c r="E935" s="804"/>
      <c r="F935" s="805"/>
      <c r="G935" s="806"/>
      <c r="H935" s="810" t="s">
        <v>696</v>
      </c>
      <c r="I935" s="811">
        <v>20000</v>
      </c>
      <c r="J935" s="812">
        <v>0</v>
      </c>
      <c r="K935" s="812">
        <v>0</v>
      </c>
      <c r="L935" s="812">
        <f t="shared" si="32"/>
        <v>0</v>
      </c>
      <c r="M935" s="812">
        <v>0</v>
      </c>
    </row>
    <row r="936" spans="1:13" ht="18" customHeight="1">
      <c r="A936" s="815"/>
      <c r="B936" s="816"/>
      <c r="C936" s="816"/>
      <c r="D936" s="816" t="s">
        <v>364</v>
      </c>
      <c r="E936" s="816"/>
      <c r="F936" s="817"/>
      <c r="G936" s="818"/>
      <c r="H936" s="847"/>
      <c r="I936" s="819">
        <f>SUM(I920:I935)</f>
        <v>1103046.54</v>
      </c>
      <c r="J936" s="819">
        <f>SUM(J920:J935)</f>
        <v>500416.6</v>
      </c>
      <c r="K936" s="819">
        <f>SUM(K920:K935)</f>
        <v>537639.4</v>
      </c>
      <c r="L936" s="819">
        <f>SUM(L920:L935)</f>
        <v>1038056</v>
      </c>
      <c r="M936" s="819">
        <f>SUM(M920:M935)</f>
        <v>1090842</v>
      </c>
    </row>
    <row r="937" spans="1:13" ht="18" customHeight="1">
      <c r="A937" s="803"/>
      <c r="B937" s="804" t="s">
        <v>539</v>
      </c>
      <c r="C937" s="804"/>
      <c r="D937" s="804"/>
      <c r="E937" s="804"/>
      <c r="F937" s="805"/>
      <c r="G937" s="806"/>
      <c r="H937" s="844"/>
      <c r="I937" s="811"/>
      <c r="J937" s="812"/>
      <c r="K937" s="812"/>
      <c r="L937" s="812"/>
      <c r="M937" s="812"/>
    </row>
    <row r="938" spans="1:13" ht="18" customHeight="1">
      <c r="A938" s="803"/>
      <c r="B938" s="804"/>
      <c r="C938" s="804"/>
      <c r="D938" s="804" t="s">
        <v>540</v>
      </c>
      <c r="E938" s="804"/>
      <c r="F938" s="805"/>
      <c r="G938" s="806" t="s">
        <v>376</v>
      </c>
      <c r="H938" s="810" t="s">
        <v>686</v>
      </c>
      <c r="I938" s="811">
        <f>0</f>
        <v>0</v>
      </c>
      <c r="J938" s="812">
        <v>9150</v>
      </c>
      <c r="K938" s="812">
        <f>88000-J938</f>
        <v>78850</v>
      </c>
      <c r="L938" s="812">
        <f t="shared" ref="L938:L944" si="33">SUM(K938+J938)</f>
        <v>88000</v>
      </c>
      <c r="M938" s="812">
        <v>88000</v>
      </c>
    </row>
    <row r="939" spans="1:13" ht="18" customHeight="1">
      <c r="A939" s="803"/>
      <c r="B939" s="804"/>
      <c r="C939" s="804"/>
      <c r="D939" s="804" t="s">
        <v>421</v>
      </c>
      <c r="E939" s="804"/>
      <c r="F939" s="805"/>
      <c r="G939" s="806" t="s">
        <v>377</v>
      </c>
      <c r="H939" s="810" t="s">
        <v>687</v>
      </c>
      <c r="I939" s="811">
        <f>20000</f>
        <v>20000</v>
      </c>
      <c r="J939" s="812">
        <v>0</v>
      </c>
      <c r="K939" s="812">
        <f>100000-J939</f>
        <v>100000</v>
      </c>
      <c r="L939" s="812">
        <f t="shared" si="33"/>
        <v>100000</v>
      </c>
      <c r="M939" s="812">
        <v>100000</v>
      </c>
    </row>
    <row r="940" spans="1:13" ht="18" customHeight="1">
      <c r="A940" s="803"/>
      <c r="B940" s="804"/>
      <c r="C940" s="804"/>
      <c r="D940" s="804" t="s">
        <v>371</v>
      </c>
      <c r="E940" s="804"/>
      <c r="F940" s="805"/>
      <c r="G940" s="806" t="s">
        <v>379</v>
      </c>
      <c r="H940" s="810" t="s">
        <v>688</v>
      </c>
      <c r="I940" s="811">
        <f>57633</f>
        <v>57633</v>
      </c>
      <c r="J940" s="812">
        <v>17876</v>
      </c>
      <c r="K940" s="812">
        <f>80000-J940</f>
        <v>62124</v>
      </c>
      <c r="L940" s="812">
        <f t="shared" si="33"/>
        <v>80000</v>
      </c>
      <c r="M940" s="812">
        <v>80000</v>
      </c>
    </row>
    <row r="941" spans="1:13" ht="18" customHeight="1">
      <c r="A941" s="803"/>
      <c r="B941" s="804"/>
      <c r="C941" s="804"/>
      <c r="D941" s="804" t="s">
        <v>546</v>
      </c>
      <c r="E941" s="804"/>
      <c r="F941" s="805"/>
      <c r="G941" s="806" t="s">
        <v>380</v>
      </c>
      <c r="H941" s="810" t="s">
        <v>690</v>
      </c>
      <c r="I941" s="811">
        <f>36000</f>
        <v>36000</v>
      </c>
      <c r="J941" s="812">
        <v>18000</v>
      </c>
      <c r="K941" s="812">
        <f>36000-J941</f>
        <v>18000</v>
      </c>
      <c r="L941" s="812">
        <f t="shared" si="33"/>
        <v>36000</v>
      </c>
      <c r="M941" s="812">
        <v>36000</v>
      </c>
    </row>
    <row r="942" spans="1:13" ht="18" customHeight="1">
      <c r="A942" s="803"/>
      <c r="B942" s="804"/>
      <c r="C942" s="804"/>
      <c r="D942" s="804" t="s">
        <v>902</v>
      </c>
      <c r="E942" s="804"/>
      <c r="F942" s="805"/>
      <c r="G942" s="806" t="s">
        <v>381</v>
      </c>
      <c r="H942" s="810" t="s">
        <v>691</v>
      </c>
      <c r="I942" s="811">
        <v>0</v>
      </c>
      <c r="J942" s="812">
        <v>0</v>
      </c>
      <c r="K942" s="812">
        <f>20000-J942</f>
        <v>20000</v>
      </c>
      <c r="L942" s="812">
        <f t="shared" si="33"/>
        <v>20000</v>
      </c>
      <c r="M942" s="812">
        <v>20000</v>
      </c>
    </row>
    <row r="943" spans="1:13" ht="18" customHeight="1">
      <c r="A943" s="803"/>
      <c r="B943" s="804"/>
      <c r="C943" s="804"/>
      <c r="D943" s="804" t="s">
        <v>552</v>
      </c>
      <c r="E943" s="804"/>
      <c r="F943" s="805"/>
      <c r="G943" s="806" t="s">
        <v>382</v>
      </c>
      <c r="H943" s="810" t="s">
        <v>692</v>
      </c>
      <c r="I943" s="811">
        <f>1360</f>
        <v>1360</v>
      </c>
      <c r="J943" s="812">
        <v>0</v>
      </c>
      <c r="K943" s="812">
        <f>15000-J943</f>
        <v>15000</v>
      </c>
      <c r="L943" s="812">
        <f t="shared" si="33"/>
        <v>15000</v>
      </c>
      <c r="M943" s="812">
        <v>15000</v>
      </c>
    </row>
    <row r="944" spans="1:13" ht="18" customHeight="1">
      <c r="A944" s="803"/>
      <c r="B944" s="804"/>
      <c r="C944" s="804"/>
      <c r="D944" s="804" t="s">
        <v>1681</v>
      </c>
      <c r="E944" s="804"/>
      <c r="F944" s="805"/>
      <c r="G944" s="806"/>
      <c r="H944" s="810" t="s">
        <v>692</v>
      </c>
      <c r="I944" s="811">
        <f>50000</f>
        <v>50000</v>
      </c>
      <c r="J944" s="812">
        <v>0</v>
      </c>
      <c r="K944" s="812">
        <f>0-J944</f>
        <v>0</v>
      </c>
      <c r="L944" s="812">
        <f t="shared" si="33"/>
        <v>0</v>
      </c>
      <c r="M944" s="812">
        <v>0</v>
      </c>
    </row>
    <row r="945" spans="1:13" ht="18" customHeight="1">
      <c r="A945" s="815"/>
      <c r="B945" s="816"/>
      <c r="C945" s="816"/>
      <c r="D945" s="816" t="s">
        <v>737</v>
      </c>
      <c r="E945" s="816"/>
      <c r="F945" s="817"/>
      <c r="G945" s="818"/>
      <c r="H945" s="847"/>
      <c r="I945" s="819">
        <f>SUM(I938:I944)</f>
        <v>164993</v>
      </c>
      <c r="J945" s="819">
        <f>SUM(J938:J944)</f>
        <v>45026</v>
      </c>
      <c r="K945" s="819">
        <f>SUM(K938:K944)</f>
        <v>293974</v>
      </c>
      <c r="L945" s="819">
        <f>SUM(L938:L944)</f>
        <v>339000</v>
      </c>
      <c r="M945" s="819">
        <f>SUM(M938:M944)</f>
        <v>339000</v>
      </c>
    </row>
    <row r="946" spans="1:13" ht="18" customHeight="1">
      <c r="A946" s="803"/>
      <c r="B946" s="804" t="s">
        <v>553</v>
      </c>
      <c r="C946" s="804"/>
      <c r="D946" s="804"/>
      <c r="E946" s="804"/>
      <c r="F946" s="805"/>
      <c r="G946" s="806"/>
      <c r="H946" s="844"/>
      <c r="I946" s="811"/>
      <c r="J946" s="812"/>
      <c r="K946" s="812"/>
      <c r="L946" s="812"/>
      <c r="M946" s="812"/>
    </row>
    <row r="947" spans="1:13" ht="18" customHeight="1">
      <c r="A947" s="803"/>
      <c r="B947" s="804"/>
      <c r="C947" s="804"/>
      <c r="D947" s="804" t="s">
        <v>671</v>
      </c>
      <c r="E947" s="804"/>
      <c r="F947" s="805"/>
      <c r="G947" s="806" t="s">
        <v>830</v>
      </c>
      <c r="H947" s="810" t="s">
        <v>831</v>
      </c>
      <c r="I947" s="811">
        <f>57200</f>
        <v>57200</v>
      </c>
      <c r="J947" s="812">
        <v>19600</v>
      </c>
      <c r="K947" s="812">
        <f>200000-J947</f>
        <v>180400</v>
      </c>
      <c r="L947" s="812">
        <f>SUM(K947+J947)</f>
        <v>200000</v>
      </c>
      <c r="M947" s="812">
        <v>0</v>
      </c>
    </row>
    <row r="948" spans="1:13" ht="18" customHeight="1">
      <c r="A948" s="803"/>
      <c r="B948" s="804"/>
      <c r="C948" s="804"/>
      <c r="D948" s="804" t="s">
        <v>839</v>
      </c>
      <c r="E948" s="804"/>
      <c r="F948" s="805"/>
      <c r="G948" s="806" t="s">
        <v>890</v>
      </c>
      <c r="H948" s="810" t="s">
        <v>840</v>
      </c>
      <c r="I948" s="811">
        <f>19999</f>
        <v>19999</v>
      </c>
      <c r="J948" s="812">
        <v>0</v>
      </c>
      <c r="K948" s="812">
        <f>0-J948</f>
        <v>0</v>
      </c>
      <c r="L948" s="812">
        <f>SUM(K948+J948)</f>
        <v>0</v>
      </c>
      <c r="M948" s="812">
        <v>0</v>
      </c>
    </row>
    <row r="949" spans="1:13" ht="18" customHeight="1">
      <c r="A949" s="803"/>
      <c r="B949" s="804"/>
      <c r="C949" s="804"/>
      <c r="D949" s="804" t="s">
        <v>833</v>
      </c>
      <c r="E949" s="804"/>
      <c r="F949" s="805"/>
      <c r="G949" s="806" t="s">
        <v>834</v>
      </c>
      <c r="H949" s="810" t="s">
        <v>835</v>
      </c>
      <c r="I949" s="811">
        <f>41700</f>
        <v>41700</v>
      </c>
      <c r="J949" s="812">
        <v>0</v>
      </c>
      <c r="K949" s="812">
        <f>50000-J949</f>
        <v>50000</v>
      </c>
      <c r="L949" s="812">
        <f>SUM(K949+J949)</f>
        <v>50000</v>
      </c>
      <c r="M949" s="812">
        <v>0</v>
      </c>
    </row>
    <row r="950" spans="1:13" ht="18" customHeight="1">
      <c r="A950" s="815"/>
      <c r="B950" s="816"/>
      <c r="C950" s="816"/>
      <c r="D950" s="816" t="s">
        <v>782</v>
      </c>
      <c r="E950" s="816"/>
      <c r="F950" s="817"/>
      <c r="G950" s="818"/>
      <c r="H950" s="847"/>
      <c r="I950" s="819">
        <f>SUM(I947:I949)</f>
        <v>118899</v>
      </c>
      <c r="J950" s="819">
        <f>SUM(J947:J949)</f>
        <v>19600</v>
      </c>
      <c r="K950" s="819">
        <f>SUM(K947:K949)</f>
        <v>230400</v>
      </c>
      <c r="L950" s="819">
        <f>SUM(L947:L949)</f>
        <v>250000</v>
      </c>
      <c r="M950" s="819">
        <f>SUM(M947:M949)</f>
        <v>0</v>
      </c>
    </row>
    <row r="951" spans="1:13" ht="18" customHeight="1">
      <c r="A951" s="815"/>
      <c r="B951" s="816"/>
      <c r="C951" s="816"/>
      <c r="D951" s="816"/>
      <c r="E951" s="816"/>
      <c r="F951" s="817"/>
      <c r="G951" s="818"/>
      <c r="H951" s="847"/>
      <c r="I951" s="819"/>
      <c r="J951" s="822"/>
      <c r="K951" s="822"/>
      <c r="L951" s="822"/>
      <c r="M951" s="822"/>
    </row>
    <row r="952" spans="1:13" ht="18" customHeight="1">
      <c r="A952" s="823" t="s">
        <v>613</v>
      </c>
      <c r="B952" s="824"/>
      <c r="C952" s="824"/>
      <c r="D952" s="824"/>
      <c r="E952" s="824"/>
      <c r="F952" s="825"/>
      <c r="G952" s="826"/>
      <c r="H952" s="848"/>
      <c r="I952" s="828">
        <f>SUM(I950+I945+I936)</f>
        <v>1386938.54</v>
      </c>
      <c r="J952" s="828">
        <f>SUM(J950+J945+J936)</f>
        <v>565042.6</v>
      </c>
      <c r="K952" s="828">
        <f>SUM(K950+K945+K936)</f>
        <v>1062013.3999999999</v>
      </c>
      <c r="L952" s="828">
        <f>SUM(L950+L945+L936)</f>
        <v>1627056</v>
      </c>
      <c r="M952" s="828">
        <f>SUM(M950+M945+M936)</f>
        <v>1429842</v>
      </c>
    </row>
    <row r="953" spans="1:13" ht="18" customHeight="1">
      <c r="A953" s="791"/>
      <c r="B953" s="829"/>
      <c r="C953" s="791"/>
      <c r="D953" s="791"/>
      <c r="E953" s="791"/>
      <c r="F953" s="791"/>
      <c r="G953" s="791"/>
      <c r="H953" s="830"/>
      <c r="I953" s="967"/>
      <c r="J953" s="831"/>
      <c r="K953" s="831"/>
      <c r="L953" s="831"/>
      <c r="M953" s="831"/>
    </row>
    <row r="954" spans="1:13" s="1329" customFormat="1" ht="18" customHeight="1">
      <c r="A954" s="1484" t="s">
        <v>1796</v>
      </c>
      <c r="B954" s="1484"/>
      <c r="C954" s="1484"/>
      <c r="D954" s="1484"/>
      <c r="E954" s="1484"/>
      <c r="F954" s="1484"/>
      <c r="G954" s="1484"/>
      <c r="H954" s="1484"/>
      <c r="I954" s="1484"/>
      <c r="J954" s="1484"/>
      <c r="K954" s="1484"/>
      <c r="L954" s="1484"/>
      <c r="M954" s="1484"/>
    </row>
    <row r="955" spans="1:13" s="1329" customFormat="1" ht="18" customHeight="1">
      <c r="A955" s="1330"/>
      <c r="B955" s="1330"/>
      <c r="C955" s="1330"/>
      <c r="D955" s="1330"/>
      <c r="E955" s="1330"/>
      <c r="F955" s="1330"/>
      <c r="G955" s="1330"/>
      <c r="H955" s="1330"/>
      <c r="I955" s="1330"/>
      <c r="J955" s="1330"/>
      <c r="K955" s="1330"/>
      <c r="L955" s="1330"/>
      <c r="M955" s="1330"/>
    </row>
    <row r="956" spans="1:13" s="1329" customFormat="1" ht="18" customHeight="1">
      <c r="A956" s="1373"/>
      <c r="B956" s="1373"/>
      <c r="C956" s="1373"/>
      <c r="D956" s="1373"/>
      <c r="E956" s="1373"/>
      <c r="F956" s="1373"/>
      <c r="G956" s="1373"/>
      <c r="H956" s="1373"/>
      <c r="I956" s="1373"/>
      <c r="J956" s="1373"/>
      <c r="K956" s="1373"/>
      <c r="L956" s="1373"/>
      <c r="M956" s="1373"/>
    </row>
    <row r="957" spans="1:13" s="1329" customFormat="1" ht="18" customHeight="1">
      <c r="A957" s="1373"/>
      <c r="B957" s="1373"/>
      <c r="C957" s="1373"/>
      <c r="D957" s="1373"/>
      <c r="E957" s="1373"/>
      <c r="F957" s="1373"/>
      <c r="G957" s="1373"/>
      <c r="H957" s="1373"/>
      <c r="I957" s="1373"/>
      <c r="J957" s="1373"/>
      <c r="K957" s="1373"/>
      <c r="L957" s="1373"/>
      <c r="M957" s="1373"/>
    </row>
    <row r="958" spans="1:13" s="1323" customFormat="1" ht="18" customHeight="1">
      <c r="A958" s="1324"/>
      <c r="B958" s="1325"/>
      <c r="C958" s="1324"/>
      <c r="D958" s="1324"/>
      <c r="E958" s="1324"/>
      <c r="F958" s="1326"/>
      <c r="G958" s="1327"/>
      <c r="H958" s="1328"/>
      <c r="I958" s="1328"/>
      <c r="K958" s="1044"/>
      <c r="L958" s="1044"/>
      <c r="M958" s="831"/>
    </row>
    <row r="959" spans="1:13" s="1323" customFormat="1" ht="18" customHeight="1">
      <c r="A959" s="1324"/>
      <c r="B959" s="1325"/>
      <c r="C959" s="1324"/>
      <c r="D959" s="1324"/>
      <c r="E959" s="1324"/>
      <c r="F959" s="1326"/>
      <c r="G959" s="1327"/>
      <c r="H959" s="1328"/>
      <c r="I959" s="1328"/>
      <c r="K959" s="1044"/>
      <c r="L959" s="1044"/>
      <c r="M959" s="831"/>
    </row>
    <row r="960" spans="1:13" s="1336" customFormat="1" ht="20.100000000000001" customHeight="1">
      <c r="A960" s="1485" t="s">
        <v>950</v>
      </c>
      <c r="B960" s="1485"/>
      <c r="C960" s="1485"/>
      <c r="D960" s="1485"/>
      <c r="E960" s="1485"/>
      <c r="F960" s="1485"/>
      <c r="G960" s="1485"/>
      <c r="H960" s="1485"/>
      <c r="I960" s="1485"/>
      <c r="J960" s="1485"/>
      <c r="K960" s="1485"/>
      <c r="L960" s="1485"/>
      <c r="M960" s="1485"/>
    </row>
    <row r="961" spans="1:14" s="778" customFormat="1" ht="18" customHeight="1">
      <c r="A961" s="777"/>
      <c r="B961" s="776"/>
      <c r="C961" s="777"/>
      <c r="D961" s="777"/>
      <c r="E961" s="777"/>
      <c r="F961" s="837"/>
      <c r="G961" s="838"/>
      <c r="H961" s="830"/>
      <c r="I961" s="967"/>
      <c r="K961" s="840"/>
      <c r="L961" s="840"/>
      <c r="M961" s="831"/>
    </row>
    <row r="962" spans="1:14" s="1253" customFormat="1" ht="15" customHeight="1">
      <c r="A962" s="1467" t="s">
        <v>861</v>
      </c>
      <c r="B962" s="1467"/>
      <c r="C962" s="1467"/>
      <c r="D962" s="1467"/>
      <c r="E962" s="1467"/>
      <c r="F962" s="1467"/>
      <c r="G962" s="1467"/>
      <c r="H962" s="1467"/>
      <c r="I962" s="1467"/>
      <c r="J962" s="1467"/>
      <c r="K962" s="1467"/>
      <c r="L962" s="1467"/>
      <c r="M962" s="1467"/>
      <c r="N962" s="1319"/>
    </row>
    <row r="963" spans="1:14" s="1253" customFormat="1" ht="15" customHeight="1">
      <c r="A963" s="1467" t="s">
        <v>174</v>
      </c>
      <c r="B963" s="1467"/>
      <c r="C963" s="1467"/>
      <c r="D963" s="1467"/>
      <c r="E963" s="1467"/>
      <c r="F963" s="1467"/>
      <c r="G963" s="1467"/>
      <c r="H963" s="1467"/>
      <c r="I963" s="1467"/>
      <c r="J963" s="1467"/>
      <c r="K963" s="1467"/>
      <c r="L963" s="1467"/>
      <c r="M963" s="1467"/>
      <c r="N963" s="1319"/>
    </row>
    <row r="964" spans="1:14" s="1253" customFormat="1" ht="15" customHeight="1">
      <c r="A964" s="1467" t="s">
        <v>1780</v>
      </c>
      <c r="B964" s="1467"/>
      <c r="C964" s="1467"/>
      <c r="D964" s="1467"/>
      <c r="E964" s="1467"/>
      <c r="F964" s="1467"/>
      <c r="G964" s="1467"/>
      <c r="H964" s="1467"/>
      <c r="I964" s="1467"/>
      <c r="J964" s="1467"/>
      <c r="K964" s="1467"/>
      <c r="L964" s="1467"/>
      <c r="M964" s="1467"/>
      <c r="N964" s="1319"/>
    </row>
    <row r="965" spans="1:14" s="1253" customFormat="1" ht="15" customHeight="1">
      <c r="A965" s="1467"/>
      <c r="B965" s="1467"/>
      <c r="C965" s="1467"/>
      <c r="D965" s="1467"/>
      <c r="E965" s="1467"/>
      <c r="F965" s="1467"/>
      <c r="G965" s="1467"/>
      <c r="H965" s="1467"/>
      <c r="I965" s="1467"/>
      <c r="J965" s="1467"/>
      <c r="K965" s="1467"/>
      <c r="L965" s="1467"/>
      <c r="M965" s="1467"/>
      <c r="N965" s="1319"/>
    </row>
    <row r="966" spans="1:14" s="1253" customFormat="1" ht="15" customHeight="1">
      <c r="A966" s="1254"/>
      <c r="B966" s="1254"/>
      <c r="C966" s="1254"/>
      <c r="D966" s="1254"/>
      <c r="E966" s="1254"/>
      <c r="F966" s="1254"/>
      <c r="G966" s="1254"/>
      <c r="H966" s="1254"/>
      <c r="I966" s="1254"/>
      <c r="J966" s="1254"/>
      <c r="K966" s="1254"/>
      <c r="L966" s="1254"/>
      <c r="M966" s="1254"/>
      <c r="N966" s="1319"/>
    </row>
    <row r="967" spans="1:14" s="1253" customFormat="1" ht="15" customHeight="1">
      <c r="A967" s="1254"/>
      <c r="B967" s="1254"/>
      <c r="C967" s="1254"/>
      <c r="D967" s="1254"/>
      <c r="E967" s="1254"/>
      <c r="F967" s="1254"/>
      <c r="G967" s="1254"/>
      <c r="H967" s="1254"/>
      <c r="I967" s="1254"/>
      <c r="J967" s="1254"/>
      <c r="K967" s="1254"/>
      <c r="L967" s="1254"/>
      <c r="M967" s="1254"/>
      <c r="N967" s="1319"/>
    </row>
    <row r="968" spans="1:14" s="1253" customFormat="1" ht="15" customHeight="1">
      <c r="A968" s="1254"/>
      <c r="B968" s="1254"/>
      <c r="C968" s="1254"/>
      <c r="D968" s="1254"/>
      <c r="E968" s="1254"/>
      <c r="F968" s="1254"/>
      <c r="G968" s="1254"/>
      <c r="H968" s="1254"/>
      <c r="I968" s="1254"/>
      <c r="J968" s="1254"/>
      <c r="K968" s="1254"/>
      <c r="L968" s="1254"/>
      <c r="M968" s="1254"/>
      <c r="N968" s="1319"/>
    </row>
    <row r="969" spans="1:14" s="1253" customFormat="1" ht="18" customHeight="1">
      <c r="A969" s="1468" t="s">
        <v>1781</v>
      </c>
      <c r="B969" s="1468"/>
      <c r="C969" s="1468"/>
      <c r="D969" s="1468"/>
      <c r="E969" s="1468"/>
      <c r="F969" s="1468"/>
      <c r="G969" s="1468"/>
      <c r="H969" s="1468"/>
      <c r="I969" s="1468"/>
      <c r="J969" s="1468"/>
      <c r="K969" s="1468"/>
      <c r="L969" s="1468"/>
      <c r="M969" s="1468"/>
      <c r="N969" s="1320"/>
    </row>
    <row r="970" spans="1:14" s="1253" customFormat="1">
      <c r="A970" s="1469" t="s">
        <v>1817</v>
      </c>
      <c r="B970" s="1469"/>
      <c r="C970" s="1469"/>
      <c r="D970" s="1469"/>
      <c r="E970" s="1469"/>
      <c r="F970" s="1469"/>
      <c r="G970" s="1469"/>
      <c r="H970" s="1469"/>
      <c r="I970" s="1469"/>
      <c r="J970" s="1469"/>
      <c r="K970" s="1469"/>
      <c r="L970" s="1469"/>
      <c r="M970" s="1469"/>
      <c r="N970" s="1321"/>
    </row>
    <row r="971" spans="1:14" s="1253" customFormat="1" ht="15.75">
      <c r="A971" s="1253" t="s">
        <v>1858</v>
      </c>
      <c r="G971" s="1254"/>
      <c r="I971" s="1255"/>
      <c r="L971" s="1256"/>
      <c r="M971" s="1256"/>
    </row>
    <row r="972" spans="1:14" s="1253" customFormat="1" ht="15.75">
      <c r="A972" s="1253" t="s">
        <v>1811</v>
      </c>
      <c r="G972" s="1254"/>
      <c r="I972" s="1255"/>
      <c r="L972" s="1256"/>
      <c r="M972" s="1256"/>
    </row>
    <row r="973" spans="1:14" s="1253" customFormat="1" ht="8.1" customHeight="1">
      <c r="A973" s="1257" t="s">
        <v>1812</v>
      </c>
      <c r="G973" s="1254"/>
      <c r="I973" s="1255"/>
      <c r="L973" s="1256"/>
      <c r="M973" s="1256"/>
    </row>
    <row r="974" spans="1:14" s="1253" customFormat="1" ht="15.75" customHeight="1">
      <c r="A974" s="1253" t="s">
        <v>1859</v>
      </c>
      <c r="C974" s="1483" t="s">
        <v>1860</v>
      </c>
      <c r="D974" s="1483"/>
      <c r="E974" s="1483"/>
      <c r="F974" s="1483"/>
      <c r="G974" s="1483"/>
      <c r="H974" s="1483"/>
      <c r="I974" s="1483"/>
      <c r="J974" s="1483"/>
      <c r="K974" s="1483"/>
      <c r="L974" s="1483"/>
      <c r="M974" s="1483"/>
      <c r="N974" s="1322"/>
    </row>
    <row r="975" spans="1:14" s="778" customFormat="1" ht="18" customHeight="1" thickBot="1">
      <c r="A975" s="1506"/>
      <c r="B975" s="1506"/>
      <c r="C975" s="1506"/>
      <c r="D975" s="1506"/>
      <c r="E975" s="1506"/>
      <c r="F975" s="1506"/>
      <c r="G975" s="1506"/>
      <c r="H975" s="1506"/>
      <c r="I975" s="1506"/>
      <c r="J975" s="1506"/>
      <c r="K975" s="1506"/>
      <c r="L975" s="1506"/>
      <c r="M975" s="1506"/>
    </row>
    <row r="976" spans="1:14" ht="18" customHeight="1">
      <c r="A976" s="780"/>
      <c r="B976" s="781"/>
      <c r="C976" s="781"/>
      <c r="D976" s="781"/>
      <c r="E976" s="781"/>
      <c r="F976" s="782"/>
      <c r="G976" s="783"/>
      <c r="H976" s="784"/>
      <c r="I976" s="784" t="s">
        <v>6</v>
      </c>
      <c r="J976" s="1488" t="s">
        <v>1914</v>
      </c>
      <c r="K976" s="1489"/>
      <c r="L976" s="1490"/>
      <c r="M976" s="785" t="s">
        <v>7</v>
      </c>
    </row>
    <row r="977" spans="1:13" ht="18" customHeight="1">
      <c r="A977" s="1491"/>
      <c r="B977" s="1492"/>
      <c r="C977" s="1492"/>
      <c r="D977" s="1492"/>
      <c r="E977" s="1492"/>
      <c r="F977" s="1493"/>
      <c r="G977" s="1371"/>
      <c r="H977" s="786"/>
      <c r="I977" s="786">
        <v>2021</v>
      </c>
      <c r="J977" s="786" t="s">
        <v>560</v>
      </c>
      <c r="K977" s="786" t="s">
        <v>561</v>
      </c>
      <c r="L977" s="786">
        <v>2022</v>
      </c>
      <c r="M977" s="787">
        <v>2023</v>
      </c>
    </row>
    <row r="978" spans="1:13" ht="18" customHeight="1">
      <c r="A978" s="1491" t="s">
        <v>21</v>
      </c>
      <c r="B978" s="1492"/>
      <c r="C978" s="1492"/>
      <c r="D978" s="1492"/>
      <c r="E978" s="1492"/>
      <c r="F978" s="1493"/>
      <c r="G978" s="788"/>
      <c r="H978" s="789" t="s">
        <v>612</v>
      </c>
      <c r="I978" s="786" t="s">
        <v>909</v>
      </c>
      <c r="J978" s="786" t="s">
        <v>559</v>
      </c>
      <c r="K978" s="786" t="s">
        <v>562</v>
      </c>
      <c r="L978" s="786" t="s">
        <v>909</v>
      </c>
      <c r="M978" s="787" t="s">
        <v>909</v>
      </c>
    </row>
    <row r="979" spans="1:13" ht="18" customHeight="1">
      <c r="A979" s="790"/>
      <c r="B979" s="791"/>
      <c r="C979" s="791"/>
      <c r="D979" s="791"/>
      <c r="E979" s="791"/>
      <c r="F979" s="792"/>
      <c r="G979" s="788"/>
      <c r="H979" s="786"/>
      <c r="I979" s="786" t="s">
        <v>559</v>
      </c>
      <c r="J979" s="786">
        <v>2022</v>
      </c>
      <c r="K979" s="786">
        <v>2022</v>
      </c>
      <c r="L979" s="786" t="s">
        <v>910</v>
      </c>
      <c r="M979" s="787" t="s">
        <v>564</v>
      </c>
    </row>
    <row r="980" spans="1:13" ht="18" customHeight="1" thickBot="1">
      <c r="A980" s="1497"/>
      <c r="B980" s="1498"/>
      <c r="C980" s="1498"/>
      <c r="D980" s="1498"/>
      <c r="E980" s="1498"/>
      <c r="F980" s="1499"/>
      <c r="G980" s="1372"/>
      <c r="H980" s="793"/>
      <c r="I980" s="1393"/>
      <c r="J980" s="793"/>
      <c r="K980" s="793"/>
      <c r="L980" s="793"/>
      <c r="M980" s="794"/>
    </row>
    <row r="981" spans="1:13" ht="18" customHeight="1">
      <c r="A981" s="795"/>
      <c r="B981" s="796" t="s">
        <v>359</v>
      </c>
      <c r="C981" s="797"/>
      <c r="D981" s="796"/>
      <c r="E981" s="796"/>
      <c r="F981" s="798"/>
      <c r="G981" s="799"/>
      <c r="H981" s="841"/>
      <c r="I981" s="842"/>
      <c r="J981" s="843"/>
      <c r="K981" s="843"/>
      <c r="L981" s="843"/>
      <c r="M981" s="843"/>
    </row>
    <row r="982" spans="1:13" ht="18" customHeight="1">
      <c r="A982" s="803"/>
      <c r="B982" s="804"/>
      <c r="C982" s="804" t="s">
        <v>515</v>
      </c>
      <c r="D982" s="804"/>
      <c r="E982" s="804"/>
      <c r="F982" s="805"/>
      <c r="G982" s="806"/>
      <c r="H982" s="844"/>
      <c r="I982" s="845"/>
      <c r="J982" s="846"/>
      <c r="K982" s="846"/>
      <c r="L982" s="846"/>
      <c r="M982" s="846"/>
    </row>
    <row r="983" spans="1:13" ht="18" customHeight="1">
      <c r="A983" s="803"/>
      <c r="B983" s="804"/>
      <c r="C983" s="804"/>
      <c r="D983" s="804" t="s">
        <v>516</v>
      </c>
      <c r="E983" s="804"/>
      <c r="F983" s="805"/>
      <c r="G983" s="806" t="s">
        <v>582</v>
      </c>
      <c r="H983" s="810" t="s">
        <v>672</v>
      </c>
      <c r="I983" s="811">
        <f>3638244.91</f>
        <v>3638244.91</v>
      </c>
      <c r="J983" s="812">
        <v>1836455</v>
      </c>
      <c r="K983" s="812">
        <f>3940171-J983</f>
        <v>2103716</v>
      </c>
      <c r="L983" s="812">
        <f>SUM(K983+J983)</f>
        <v>3940171</v>
      </c>
      <c r="M983" s="812">
        <v>4087998</v>
      </c>
    </row>
    <row r="984" spans="1:13" ht="18" customHeight="1">
      <c r="A984" s="803"/>
      <c r="B984" s="804"/>
      <c r="C984" s="804"/>
      <c r="D984" s="804" t="s">
        <v>420</v>
      </c>
      <c r="E984" s="804"/>
      <c r="F984" s="805"/>
      <c r="G984" s="806" t="s">
        <v>390</v>
      </c>
      <c r="H984" s="810" t="s">
        <v>728</v>
      </c>
      <c r="I984" s="811">
        <f>1227480</f>
        <v>1227480</v>
      </c>
      <c r="J984" s="812">
        <v>0</v>
      </c>
      <c r="K984" s="812">
        <f>0-J984</f>
        <v>0</v>
      </c>
      <c r="L984" s="812">
        <f>SUM(K984+J984)</f>
        <v>0</v>
      </c>
      <c r="M984" s="812">
        <v>0</v>
      </c>
    </row>
    <row r="985" spans="1:13" ht="18" customHeight="1">
      <c r="A985" s="803"/>
      <c r="B985" s="804"/>
      <c r="C985" s="804" t="s">
        <v>517</v>
      </c>
      <c r="D985" s="804"/>
      <c r="E985" s="804"/>
      <c r="F985" s="805"/>
      <c r="G985" s="806"/>
      <c r="H985" s="844"/>
      <c r="I985" s="811"/>
      <c r="J985" s="812"/>
      <c r="K985" s="812"/>
      <c r="L985" s="812"/>
      <c r="M985" s="812"/>
    </row>
    <row r="986" spans="1:13" ht="18" customHeight="1">
      <c r="A986" s="803"/>
      <c r="B986" s="804"/>
      <c r="C986" s="804"/>
      <c r="D986" s="804" t="s">
        <v>518</v>
      </c>
      <c r="E986" s="804"/>
      <c r="F986" s="805"/>
      <c r="G986" s="806" t="s">
        <v>583</v>
      </c>
      <c r="H986" s="810" t="s">
        <v>673</v>
      </c>
      <c r="I986" s="811">
        <f>800000</f>
        <v>800000</v>
      </c>
      <c r="J986" s="812">
        <v>264000</v>
      </c>
      <c r="K986" s="812">
        <f>576000-J986</f>
        <v>312000</v>
      </c>
      <c r="L986" s="812">
        <f t="shared" ref="L986:L1005" si="34">SUM(K986+J986)</f>
        <v>576000</v>
      </c>
      <c r="M986" s="812">
        <v>576000</v>
      </c>
    </row>
    <row r="987" spans="1:13" ht="18" customHeight="1">
      <c r="A987" s="803"/>
      <c r="B987" s="804"/>
      <c r="C987" s="804"/>
      <c r="D987" s="804" t="s">
        <v>529</v>
      </c>
      <c r="E987" s="804"/>
      <c r="F987" s="805"/>
      <c r="G987" s="806" t="s">
        <v>586</v>
      </c>
      <c r="H987" s="810" t="s">
        <v>676</v>
      </c>
      <c r="I987" s="811">
        <f>198000</f>
        <v>198000</v>
      </c>
      <c r="J987" s="812">
        <v>138000</v>
      </c>
      <c r="K987" s="812">
        <f>144000-J987</f>
        <v>6000</v>
      </c>
      <c r="L987" s="812">
        <f t="shared" si="34"/>
        <v>144000</v>
      </c>
      <c r="M987" s="812">
        <v>144000</v>
      </c>
    </row>
    <row r="988" spans="1:13" ht="18" customHeight="1">
      <c r="A988" s="803"/>
      <c r="B988" s="804"/>
      <c r="C988" s="804"/>
      <c r="D988" s="804" t="s">
        <v>1495</v>
      </c>
      <c r="E988" s="804"/>
      <c r="F988" s="805"/>
      <c r="G988" s="806" t="s">
        <v>587</v>
      </c>
      <c r="H988" s="810" t="s">
        <v>693</v>
      </c>
      <c r="I988" s="811">
        <f>18675</f>
        <v>18675</v>
      </c>
      <c r="J988" s="812">
        <v>6000</v>
      </c>
      <c r="K988" s="812">
        <f>19800-J988</f>
        <v>13800</v>
      </c>
      <c r="L988" s="812">
        <f t="shared" si="34"/>
        <v>19800</v>
      </c>
      <c r="M988" s="812">
        <v>19800</v>
      </c>
    </row>
    <row r="989" spans="1:13" ht="18" customHeight="1">
      <c r="A989" s="803"/>
      <c r="B989" s="804"/>
      <c r="C989" s="804"/>
      <c r="D989" s="804" t="s">
        <v>670</v>
      </c>
      <c r="E989" s="804"/>
      <c r="F989" s="805"/>
      <c r="G989" s="806" t="s">
        <v>588</v>
      </c>
      <c r="H989" s="810" t="s">
        <v>677</v>
      </c>
      <c r="I989" s="811">
        <f>170000</f>
        <v>170000</v>
      </c>
      <c r="J989" s="812">
        <v>0</v>
      </c>
      <c r="K989" s="812">
        <f>120000-J989</f>
        <v>120000</v>
      </c>
      <c r="L989" s="812">
        <f t="shared" si="34"/>
        <v>120000</v>
      </c>
      <c r="M989" s="812">
        <v>120000</v>
      </c>
    </row>
    <row r="990" spans="1:13" ht="18" customHeight="1">
      <c r="A990" s="803"/>
      <c r="B990" s="804"/>
      <c r="C990" s="804"/>
      <c r="D990" s="804" t="s">
        <v>531</v>
      </c>
      <c r="E990" s="804"/>
      <c r="F990" s="805"/>
      <c r="G990" s="806" t="s">
        <v>425</v>
      </c>
      <c r="H990" s="810" t="s">
        <v>678</v>
      </c>
      <c r="I990" s="811">
        <f>10000</f>
        <v>10000</v>
      </c>
      <c r="J990" s="812">
        <v>20000</v>
      </c>
      <c r="K990" s="812">
        <f>20000-J990</f>
        <v>0</v>
      </c>
      <c r="L990" s="812">
        <f t="shared" si="34"/>
        <v>20000</v>
      </c>
      <c r="M990" s="812">
        <v>5000</v>
      </c>
    </row>
    <row r="991" spans="1:13" ht="18" customHeight="1">
      <c r="A991" s="803"/>
      <c r="B991" s="804"/>
      <c r="C991" s="804"/>
      <c r="D991" s="804" t="s">
        <v>1580</v>
      </c>
      <c r="E991" s="804"/>
      <c r="F991" s="805"/>
      <c r="G991" s="806" t="s">
        <v>425</v>
      </c>
      <c r="H991" s="810" t="s">
        <v>678</v>
      </c>
      <c r="I991" s="811">
        <f>93000</f>
        <v>93000</v>
      </c>
      <c r="J991" s="812">
        <v>0</v>
      </c>
      <c r="K991" s="812">
        <f>0-J991</f>
        <v>0</v>
      </c>
      <c r="L991" s="812">
        <f t="shared" si="34"/>
        <v>0</v>
      </c>
      <c r="M991" s="812">
        <v>0</v>
      </c>
    </row>
    <row r="992" spans="1:13" ht="18" hidden="1" customHeight="1">
      <c r="A992" s="803"/>
      <c r="B992" s="804"/>
      <c r="C992" s="804"/>
      <c r="D992" s="804" t="s">
        <v>1492</v>
      </c>
      <c r="E992" s="804"/>
      <c r="F992" s="805"/>
      <c r="G992" s="806"/>
      <c r="H992" s="810" t="s">
        <v>678</v>
      </c>
      <c r="I992" s="811">
        <v>0</v>
      </c>
      <c r="J992" s="812">
        <v>0</v>
      </c>
      <c r="K992" s="812">
        <f>0-J992</f>
        <v>0</v>
      </c>
      <c r="L992" s="812">
        <f t="shared" si="34"/>
        <v>0</v>
      </c>
      <c r="M992" s="812">
        <v>0</v>
      </c>
    </row>
    <row r="993" spans="1:17" ht="18" customHeight="1">
      <c r="A993" s="803"/>
      <c r="B993" s="804"/>
      <c r="C993" s="804"/>
      <c r="D993" s="804" t="s">
        <v>532</v>
      </c>
      <c r="E993" s="804"/>
      <c r="F993" s="805"/>
      <c r="G993" s="806" t="s">
        <v>589</v>
      </c>
      <c r="H993" s="810" t="s">
        <v>694</v>
      </c>
      <c r="I993" s="811">
        <f>8890</f>
        <v>8890</v>
      </c>
      <c r="J993" s="812">
        <v>3556</v>
      </c>
      <c r="K993" s="812">
        <f>21336-J993</f>
        <v>17780</v>
      </c>
      <c r="L993" s="812">
        <f t="shared" si="34"/>
        <v>21336</v>
      </c>
      <c r="M993" s="812">
        <v>21336</v>
      </c>
    </row>
    <row r="994" spans="1:17" ht="18" customHeight="1">
      <c r="A994" s="803"/>
      <c r="B994" s="804"/>
      <c r="C994" s="804"/>
      <c r="D994" s="804" t="s">
        <v>360</v>
      </c>
      <c r="E994" s="804"/>
      <c r="F994" s="805"/>
      <c r="G994" s="806" t="s">
        <v>590</v>
      </c>
      <c r="H994" s="810" t="s">
        <v>695</v>
      </c>
      <c r="I994" s="811">
        <f>54587.14+8982.72</f>
        <v>63569.86</v>
      </c>
      <c r="J994" s="812">
        <v>0</v>
      </c>
      <c r="K994" s="812">
        <f>100000-J994</f>
        <v>100000</v>
      </c>
      <c r="L994" s="812">
        <f t="shared" si="34"/>
        <v>100000</v>
      </c>
      <c r="M994" s="812">
        <v>100000</v>
      </c>
    </row>
    <row r="995" spans="1:17" ht="18" customHeight="1">
      <c r="A995" s="803"/>
      <c r="B995" s="804"/>
      <c r="C995" s="804"/>
      <c r="D995" s="804" t="s">
        <v>533</v>
      </c>
      <c r="E995" s="804"/>
      <c r="F995" s="805"/>
      <c r="G995" s="806" t="s">
        <v>591</v>
      </c>
      <c r="H995" s="810" t="s">
        <v>679</v>
      </c>
      <c r="I995" s="811">
        <f>167500</f>
        <v>167500</v>
      </c>
      <c r="J995" s="812">
        <v>0</v>
      </c>
      <c r="K995" s="812">
        <f>120000-J995</f>
        <v>120000</v>
      </c>
      <c r="L995" s="812">
        <f t="shared" si="34"/>
        <v>120000</v>
      </c>
      <c r="M995" s="812">
        <v>120000</v>
      </c>
    </row>
    <row r="996" spans="1:17" ht="18" customHeight="1">
      <c r="A996" s="803"/>
      <c r="B996" s="804"/>
      <c r="C996" s="804"/>
      <c r="D996" s="804" t="s">
        <v>790</v>
      </c>
      <c r="E996" s="804"/>
      <c r="F996" s="804"/>
      <c r="G996" s="814" t="s">
        <v>425</v>
      </c>
      <c r="H996" s="810" t="s">
        <v>678</v>
      </c>
      <c r="I996" s="811">
        <f>393101</f>
        <v>393101</v>
      </c>
      <c r="J996" s="812">
        <v>295138</v>
      </c>
      <c r="K996" s="812">
        <f>328301-J996</f>
        <v>33163</v>
      </c>
      <c r="L996" s="812">
        <f t="shared" si="34"/>
        <v>328301</v>
      </c>
      <c r="M996" s="812">
        <v>340620</v>
      </c>
    </row>
    <row r="997" spans="1:17" ht="18" customHeight="1">
      <c r="A997" s="803"/>
      <c r="B997" s="804"/>
      <c r="C997" s="804"/>
      <c r="D997" s="804" t="s">
        <v>534</v>
      </c>
      <c r="E997" s="804"/>
      <c r="F997" s="805"/>
      <c r="G997" s="806" t="s">
        <v>592</v>
      </c>
      <c r="H997" s="810" t="s">
        <v>680</v>
      </c>
      <c r="I997" s="811">
        <f>410840</f>
        <v>410840</v>
      </c>
      <c r="J997" s="812">
        <v>0</v>
      </c>
      <c r="K997" s="812">
        <f>328392-J997</f>
        <v>328392</v>
      </c>
      <c r="L997" s="812">
        <f t="shared" si="34"/>
        <v>328392</v>
      </c>
      <c r="M997" s="812">
        <v>340713</v>
      </c>
    </row>
    <row r="998" spans="1:17" ht="18" customHeight="1">
      <c r="A998" s="803"/>
      <c r="B998" s="804"/>
      <c r="C998" s="804"/>
      <c r="D998" s="804" t="s">
        <v>646</v>
      </c>
      <c r="E998" s="804"/>
      <c r="F998" s="805"/>
      <c r="G998" s="806" t="s">
        <v>593</v>
      </c>
      <c r="H998" s="810" t="s">
        <v>681</v>
      </c>
      <c r="I998" s="811">
        <f>575216.52</f>
        <v>575216.52</v>
      </c>
      <c r="J998" s="812">
        <v>182219.88</v>
      </c>
      <c r="K998" s="812">
        <f>474000-J998</f>
        <v>291780.12</v>
      </c>
      <c r="L998" s="812">
        <f t="shared" si="34"/>
        <v>474000</v>
      </c>
      <c r="M998" s="812">
        <v>491000</v>
      </c>
    </row>
    <row r="999" spans="1:17" ht="18" customHeight="1">
      <c r="A999" s="803"/>
      <c r="B999" s="804"/>
      <c r="C999" s="804"/>
      <c r="D999" s="804" t="s">
        <v>535</v>
      </c>
      <c r="E999" s="804"/>
      <c r="F999" s="805"/>
      <c r="G999" s="806" t="s">
        <v>594</v>
      </c>
      <c r="H999" s="810" t="s">
        <v>682</v>
      </c>
      <c r="I999" s="811">
        <f>40000</f>
        <v>40000</v>
      </c>
      <c r="J999" s="812">
        <v>11200</v>
      </c>
      <c r="K999" s="812">
        <f>43200-J999</f>
        <v>32000</v>
      </c>
      <c r="L999" s="812">
        <f t="shared" si="34"/>
        <v>43200</v>
      </c>
      <c r="M999" s="812">
        <v>43200</v>
      </c>
    </row>
    <row r="1000" spans="1:17" ht="18" customHeight="1">
      <c r="A1000" s="803"/>
      <c r="B1000" s="804"/>
      <c r="C1000" s="804"/>
      <c r="D1000" s="804" t="s">
        <v>536</v>
      </c>
      <c r="E1000" s="804"/>
      <c r="F1000" s="805"/>
      <c r="G1000" s="806" t="s">
        <v>595</v>
      </c>
      <c r="H1000" s="810" t="s">
        <v>683</v>
      </c>
      <c r="I1000" s="811">
        <f>70440</f>
        <v>70440</v>
      </c>
      <c r="J1000" s="812">
        <v>21900</v>
      </c>
      <c r="K1000" s="812">
        <f>80000-J1000</f>
        <v>58100</v>
      </c>
      <c r="L1000" s="812">
        <f t="shared" si="34"/>
        <v>80000</v>
      </c>
      <c r="M1000" s="812">
        <v>92000</v>
      </c>
    </row>
    <row r="1001" spans="1:17" ht="18" customHeight="1">
      <c r="A1001" s="803"/>
      <c r="B1001" s="804"/>
      <c r="C1001" s="804"/>
      <c r="D1001" s="804" t="s">
        <v>642</v>
      </c>
      <c r="E1001" s="804"/>
      <c r="F1001" s="805"/>
      <c r="G1001" s="806" t="s">
        <v>596</v>
      </c>
      <c r="H1001" s="810" t="s">
        <v>684</v>
      </c>
      <c r="I1001" s="811">
        <f>39111.32</f>
        <v>39111.32</v>
      </c>
      <c r="J1001" s="812">
        <v>11600</v>
      </c>
      <c r="K1001" s="812">
        <f>28800-J1001</f>
        <v>17200</v>
      </c>
      <c r="L1001" s="812">
        <f t="shared" si="34"/>
        <v>28800</v>
      </c>
      <c r="M1001" s="812">
        <v>28800</v>
      </c>
    </row>
    <row r="1002" spans="1:17" ht="18" customHeight="1">
      <c r="A1002" s="803"/>
      <c r="B1002" s="804"/>
      <c r="C1002" s="804"/>
      <c r="D1002" s="804" t="s">
        <v>365</v>
      </c>
      <c r="E1002" s="804"/>
      <c r="F1002" s="804"/>
      <c r="G1002" s="814"/>
      <c r="H1002" s="810" t="s">
        <v>685</v>
      </c>
      <c r="I1002" s="811">
        <v>0</v>
      </c>
      <c r="J1002" s="812">
        <v>0</v>
      </c>
      <c r="K1002" s="812">
        <f>0-J1002</f>
        <v>0</v>
      </c>
      <c r="L1002" s="812">
        <f t="shared" si="34"/>
        <v>0</v>
      </c>
      <c r="M1002" s="812">
        <v>77000</v>
      </c>
    </row>
    <row r="1003" spans="1:17" ht="18" customHeight="1">
      <c r="A1003" s="803"/>
      <c r="B1003" s="804"/>
      <c r="C1003" s="804"/>
      <c r="D1003" s="804" t="s">
        <v>538</v>
      </c>
      <c r="E1003" s="804"/>
      <c r="F1003" s="805"/>
      <c r="G1003" s="806" t="s">
        <v>388</v>
      </c>
      <c r="H1003" s="810" t="s">
        <v>696</v>
      </c>
      <c r="I1003" s="811">
        <f>363482.89</f>
        <v>363482.89</v>
      </c>
      <c r="J1003" s="812">
        <v>383522.67</v>
      </c>
      <c r="K1003" s="812">
        <f>405000-J1003</f>
        <v>21477.330000000016</v>
      </c>
      <c r="L1003" s="812">
        <f t="shared" si="34"/>
        <v>405000</v>
      </c>
      <c r="M1003" s="812">
        <v>400000</v>
      </c>
    </row>
    <row r="1004" spans="1:17" ht="18" customHeight="1">
      <c r="A1004" s="803"/>
      <c r="B1004" s="804"/>
      <c r="C1004" s="804"/>
      <c r="D1004" s="804" t="s">
        <v>1714</v>
      </c>
      <c r="E1004" s="804"/>
      <c r="F1004" s="805"/>
      <c r="G1004" s="806"/>
      <c r="H1004" s="810" t="s">
        <v>696</v>
      </c>
      <c r="I1004" s="811">
        <v>0</v>
      </c>
      <c r="J1004" s="812">
        <v>0</v>
      </c>
      <c r="K1004" s="812">
        <f>220000-J1004+240000</f>
        <v>460000</v>
      </c>
      <c r="L1004" s="812">
        <f t="shared" si="34"/>
        <v>460000</v>
      </c>
      <c r="M1004" s="812">
        <f>550000+50000</f>
        <v>600000</v>
      </c>
    </row>
    <row r="1005" spans="1:17" ht="18" hidden="1" customHeight="1">
      <c r="A1005" s="803"/>
      <c r="B1005" s="804"/>
      <c r="C1005" s="804"/>
      <c r="D1005" s="804" t="s">
        <v>1715</v>
      </c>
      <c r="E1005" s="804"/>
      <c r="F1005" s="805"/>
      <c r="G1005" s="806"/>
      <c r="H1005" s="810" t="s">
        <v>696</v>
      </c>
      <c r="I1005" s="811">
        <v>0</v>
      </c>
      <c r="J1005" s="812">
        <v>0</v>
      </c>
      <c r="K1005" s="812">
        <f>0-J1005</f>
        <v>0</v>
      </c>
      <c r="L1005" s="812">
        <f t="shared" si="34"/>
        <v>0</v>
      </c>
      <c r="M1005" s="812">
        <v>0</v>
      </c>
    </row>
    <row r="1006" spans="1:17" ht="18" customHeight="1">
      <c r="A1006" s="815"/>
      <c r="B1006" s="816"/>
      <c r="C1006" s="816"/>
      <c r="D1006" s="816" t="s">
        <v>364</v>
      </c>
      <c r="E1006" s="816"/>
      <c r="F1006" s="817"/>
      <c r="G1006" s="818"/>
      <c r="H1006" s="847"/>
      <c r="I1006" s="819">
        <f>SUM(I983:I1005)</f>
        <v>8287551.5000000009</v>
      </c>
      <c r="J1006" s="819">
        <f t="shared" ref="J1006:M1006" si="35">SUM(J983:J1005)</f>
        <v>3173591.55</v>
      </c>
      <c r="K1006" s="819">
        <f t="shared" si="35"/>
        <v>4035408.45</v>
      </c>
      <c r="L1006" s="819">
        <f t="shared" si="35"/>
        <v>7209000</v>
      </c>
      <c r="M1006" s="819">
        <f t="shared" si="35"/>
        <v>7607467</v>
      </c>
      <c r="Q1006" s="855"/>
    </row>
    <row r="1007" spans="1:17" ht="18" customHeight="1">
      <c r="A1007" s="803"/>
      <c r="B1007" s="804" t="s">
        <v>539</v>
      </c>
      <c r="C1007" s="804"/>
      <c r="D1007" s="804"/>
      <c r="E1007" s="804"/>
      <c r="F1007" s="805"/>
      <c r="G1007" s="806"/>
      <c r="H1007" s="844"/>
      <c r="I1007" s="811"/>
      <c r="J1007" s="812"/>
      <c r="K1007" s="812"/>
      <c r="L1007" s="812"/>
      <c r="M1007" s="812"/>
    </row>
    <row r="1008" spans="1:17" ht="18" customHeight="1">
      <c r="A1008" s="803"/>
      <c r="B1008" s="804"/>
      <c r="C1008" s="804"/>
      <c r="D1008" s="804" t="s">
        <v>540</v>
      </c>
      <c r="E1008" s="804"/>
      <c r="F1008" s="805"/>
      <c r="G1008" s="806" t="s">
        <v>376</v>
      </c>
      <c r="H1008" s="810" t="s">
        <v>686</v>
      </c>
      <c r="I1008" s="811">
        <v>0</v>
      </c>
      <c r="J1008" s="812">
        <v>8200</v>
      </c>
      <c r="K1008" s="812">
        <f>44000-J1008</f>
        <v>35800</v>
      </c>
      <c r="L1008" s="812">
        <f t="shared" ref="L1008:L1018" si="36">SUM(K1008+J1008)</f>
        <v>44000</v>
      </c>
      <c r="M1008" s="812">
        <v>50000</v>
      </c>
    </row>
    <row r="1009" spans="1:13" ht="18" customHeight="1">
      <c r="A1009" s="803"/>
      <c r="B1009" s="804"/>
      <c r="C1009" s="804"/>
      <c r="D1009" s="804" t="s">
        <v>421</v>
      </c>
      <c r="E1009" s="804"/>
      <c r="F1009" s="805"/>
      <c r="G1009" s="806" t="s">
        <v>377</v>
      </c>
      <c r="H1009" s="810" t="s">
        <v>687</v>
      </c>
      <c r="I1009" s="811">
        <v>0</v>
      </c>
      <c r="J1009" s="812">
        <v>0</v>
      </c>
      <c r="K1009" s="812">
        <f>40000-J1009</f>
        <v>40000</v>
      </c>
      <c r="L1009" s="812">
        <f t="shared" si="36"/>
        <v>40000</v>
      </c>
      <c r="M1009" s="812">
        <v>40000</v>
      </c>
    </row>
    <row r="1010" spans="1:13" ht="18" customHeight="1">
      <c r="A1010" s="803"/>
      <c r="B1010" s="804"/>
      <c r="C1010" s="804"/>
      <c r="D1010" s="804" t="s">
        <v>371</v>
      </c>
      <c r="E1010" s="804"/>
      <c r="F1010" s="805"/>
      <c r="G1010" s="806" t="s">
        <v>379</v>
      </c>
      <c r="H1010" s="810" t="s">
        <v>688</v>
      </c>
      <c r="I1010" s="811">
        <f>304397</f>
        <v>304397</v>
      </c>
      <c r="J1010" s="812">
        <v>64140</v>
      </c>
      <c r="K1010" s="812">
        <f>450000-J1010</f>
        <v>385860</v>
      </c>
      <c r="L1010" s="812">
        <f t="shared" si="36"/>
        <v>450000</v>
      </c>
      <c r="M1010" s="812">
        <v>450000</v>
      </c>
    </row>
    <row r="1011" spans="1:13" ht="18" customHeight="1">
      <c r="A1011" s="803"/>
      <c r="B1011" s="804"/>
      <c r="C1011" s="804"/>
      <c r="D1011" s="804" t="s">
        <v>370</v>
      </c>
      <c r="E1011" s="804"/>
      <c r="F1011" s="805"/>
      <c r="G1011" s="806" t="s">
        <v>609</v>
      </c>
      <c r="H1011" s="810" t="s">
        <v>729</v>
      </c>
      <c r="I1011" s="811">
        <f>1342987.19</f>
        <v>1342987.19</v>
      </c>
      <c r="J1011" s="812">
        <v>0</v>
      </c>
      <c r="K1011" s="812">
        <f>0-J1011</f>
        <v>0</v>
      </c>
      <c r="L1011" s="812">
        <f t="shared" si="36"/>
        <v>0</v>
      </c>
      <c r="M1011" s="812">
        <v>0</v>
      </c>
    </row>
    <row r="1012" spans="1:13" ht="18" customHeight="1">
      <c r="A1012" s="803"/>
      <c r="B1012" s="804"/>
      <c r="C1012" s="804"/>
      <c r="D1012" s="804" t="s">
        <v>546</v>
      </c>
      <c r="E1012" s="804"/>
      <c r="F1012" s="805"/>
      <c r="G1012" s="806" t="s">
        <v>380</v>
      </c>
      <c r="H1012" s="810" t="s">
        <v>690</v>
      </c>
      <c r="I1012" s="811">
        <f>12000</f>
        <v>12000</v>
      </c>
      <c r="J1012" s="812">
        <v>6000</v>
      </c>
      <c r="K1012" s="812">
        <f>36000-J1012</f>
        <v>30000</v>
      </c>
      <c r="L1012" s="812">
        <f t="shared" si="36"/>
        <v>36000</v>
      </c>
      <c r="M1012" s="812">
        <v>12000</v>
      </c>
    </row>
    <row r="1013" spans="1:13" ht="18" customHeight="1">
      <c r="A1013" s="803"/>
      <c r="B1013" s="804"/>
      <c r="C1013" s="804"/>
      <c r="D1013" s="804" t="s">
        <v>369</v>
      </c>
      <c r="E1013" s="804"/>
      <c r="F1013" s="805"/>
      <c r="G1013" s="806" t="s">
        <v>610</v>
      </c>
      <c r="H1013" s="810" t="s">
        <v>730</v>
      </c>
      <c r="I1013" s="811">
        <f>713825</f>
        <v>713825</v>
      </c>
      <c r="J1013" s="812">
        <v>0</v>
      </c>
      <c r="K1013" s="812">
        <f>0-J1013</f>
        <v>0</v>
      </c>
      <c r="L1013" s="812">
        <f t="shared" si="36"/>
        <v>0</v>
      </c>
      <c r="M1013" s="812">
        <v>0</v>
      </c>
    </row>
    <row r="1014" spans="1:13" ht="18" customHeight="1">
      <c r="A1014" s="803"/>
      <c r="B1014" s="804"/>
      <c r="C1014" s="804"/>
      <c r="D1014" s="804" t="s">
        <v>928</v>
      </c>
      <c r="E1014" s="804"/>
      <c r="F1014" s="805"/>
      <c r="G1014" s="806"/>
      <c r="H1014" s="810" t="s">
        <v>929</v>
      </c>
      <c r="I1014" s="811">
        <f>157729.86+289742.78</f>
        <v>447472.64000000001</v>
      </c>
      <c r="J1014" s="812">
        <v>0</v>
      </c>
      <c r="K1014" s="812">
        <f>276000-J1014</f>
        <v>276000</v>
      </c>
      <c r="L1014" s="812">
        <f t="shared" si="36"/>
        <v>276000</v>
      </c>
      <c r="M1014" s="812">
        <v>276000</v>
      </c>
    </row>
    <row r="1015" spans="1:13" ht="18" customHeight="1">
      <c r="A1015" s="803"/>
      <c r="B1015" s="804"/>
      <c r="C1015" s="804"/>
      <c r="D1015" s="804" t="s">
        <v>902</v>
      </c>
      <c r="E1015" s="804"/>
      <c r="F1015" s="805"/>
      <c r="G1015" s="806" t="s">
        <v>381</v>
      </c>
      <c r="H1015" s="810" t="s">
        <v>930</v>
      </c>
      <c r="I1015" s="811">
        <f>9800</f>
        <v>9800</v>
      </c>
      <c r="J1015" s="812">
        <v>0</v>
      </c>
      <c r="K1015" s="812">
        <f>40000-J1015</f>
        <v>40000</v>
      </c>
      <c r="L1015" s="812">
        <f t="shared" si="36"/>
        <v>40000</v>
      </c>
      <c r="M1015" s="812">
        <v>40000</v>
      </c>
    </row>
    <row r="1016" spans="1:13" ht="18" customHeight="1">
      <c r="A1016" s="803"/>
      <c r="B1016" s="804"/>
      <c r="C1016" s="804"/>
      <c r="D1016" s="804" t="s">
        <v>368</v>
      </c>
      <c r="E1016" s="804"/>
      <c r="F1016" s="805"/>
      <c r="G1016" s="806" t="s">
        <v>611</v>
      </c>
      <c r="H1016" s="810" t="s">
        <v>731</v>
      </c>
      <c r="I1016" s="811">
        <f>270000</f>
        <v>270000</v>
      </c>
      <c r="J1016" s="812">
        <v>259235.24</v>
      </c>
      <c r="K1016" s="812">
        <f>270000-J1016</f>
        <v>10764.760000000009</v>
      </c>
      <c r="L1016" s="812">
        <f t="shared" si="36"/>
        <v>270000</v>
      </c>
      <c r="M1016" s="812">
        <v>270000</v>
      </c>
    </row>
    <row r="1017" spans="1:13" ht="18" hidden="1" customHeight="1">
      <c r="A1017" s="803"/>
      <c r="B1017" s="804"/>
      <c r="C1017" s="804"/>
      <c r="D1017" s="804" t="s">
        <v>552</v>
      </c>
      <c r="E1017" s="804"/>
      <c r="F1017" s="805"/>
      <c r="G1017" s="806" t="s">
        <v>382</v>
      </c>
      <c r="H1017" s="810" t="s">
        <v>692</v>
      </c>
      <c r="I1017" s="811">
        <v>0</v>
      </c>
      <c r="J1017" s="812">
        <v>0</v>
      </c>
      <c r="K1017" s="812">
        <f>0-J1017</f>
        <v>0</v>
      </c>
      <c r="L1017" s="812">
        <f t="shared" si="36"/>
        <v>0</v>
      </c>
      <c r="M1017" s="812">
        <v>0</v>
      </c>
    </row>
    <row r="1018" spans="1:13" ht="18" customHeight="1">
      <c r="A1018" s="803"/>
      <c r="B1018" s="804"/>
      <c r="C1018" s="804"/>
      <c r="D1018" s="804" t="s">
        <v>1681</v>
      </c>
      <c r="E1018" s="804"/>
      <c r="F1018" s="805"/>
      <c r="G1018" s="806"/>
      <c r="H1018" s="810" t="s">
        <v>692</v>
      </c>
      <c r="I1018" s="811">
        <f>597500</f>
        <v>597500</v>
      </c>
      <c r="J1018" s="812">
        <v>0</v>
      </c>
      <c r="K1018" s="812">
        <f>0-J1018</f>
        <v>0</v>
      </c>
      <c r="L1018" s="812">
        <f t="shared" si="36"/>
        <v>0</v>
      </c>
      <c r="M1018" s="812">
        <v>0</v>
      </c>
    </row>
    <row r="1019" spans="1:13" ht="18" customHeight="1">
      <c r="A1019" s="815"/>
      <c r="B1019" s="816"/>
      <c r="C1019" s="816"/>
      <c r="D1019" s="816" t="s">
        <v>737</v>
      </c>
      <c r="E1019" s="816"/>
      <c r="F1019" s="817"/>
      <c r="G1019" s="818"/>
      <c r="H1019" s="847"/>
      <c r="I1019" s="819">
        <f>SUM(I1008:I1018)</f>
        <v>3697981.83</v>
      </c>
      <c r="J1019" s="819">
        <f>SUM(J1008:J1018)</f>
        <v>337575.24</v>
      </c>
      <c r="K1019" s="819">
        <f>SUM(K1008:K1018)</f>
        <v>818424.76</v>
      </c>
      <c r="L1019" s="819">
        <f>SUM(L1008:L1018)</f>
        <v>1156000</v>
      </c>
      <c r="M1019" s="819">
        <f>SUM(M1008:M1018)</f>
        <v>1138000</v>
      </c>
    </row>
    <row r="1020" spans="1:13" ht="18" customHeight="1">
      <c r="A1020" s="803"/>
      <c r="B1020" s="804" t="s">
        <v>553</v>
      </c>
      <c r="C1020" s="804"/>
      <c r="D1020" s="804"/>
      <c r="E1020" s="804"/>
      <c r="F1020" s="805"/>
      <c r="G1020" s="806"/>
      <c r="H1020" s="844"/>
      <c r="I1020" s="811"/>
      <c r="J1020" s="812"/>
      <c r="K1020" s="812"/>
      <c r="L1020" s="812"/>
      <c r="M1020" s="812"/>
    </row>
    <row r="1021" spans="1:13" ht="18" customHeight="1">
      <c r="A1021" s="803"/>
      <c r="B1021" s="804"/>
      <c r="C1021" s="804"/>
      <c r="D1021" s="804" t="s">
        <v>671</v>
      </c>
      <c r="E1021" s="804"/>
      <c r="F1021" s="805"/>
      <c r="G1021" s="806" t="s">
        <v>830</v>
      </c>
      <c r="H1021" s="844" t="s">
        <v>831</v>
      </c>
      <c r="I1021" s="811">
        <v>0</v>
      </c>
      <c r="J1021" s="812">
        <v>0</v>
      </c>
      <c r="K1021" s="812">
        <f>30000-J1021</f>
        <v>30000</v>
      </c>
      <c r="L1021" s="812">
        <f>SUM(K1021+J1021)</f>
        <v>30000</v>
      </c>
      <c r="M1021" s="812">
        <v>0</v>
      </c>
    </row>
    <row r="1022" spans="1:13" ht="18" customHeight="1">
      <c r="A1022" s="803"/>
      <c r="B1022" s="804"/>
      <c r="C1022" s="804"/>
      <c r="D1022" s="804" t="s">
        <v>829</v>
      </c>
      <c r="E1022" s="804"/>
      <c r="F1022" s="805"/>
      <c r="G1022" s="806" t="s">
        <v>832</v>
      </c>
      <c r="H1022" s="810" t="s">
        <v>1527</v>
      </c>
      <c r="I1022" s="811">
        <v>0</v>
      </c>
      <c r="J1022" s="812">
        <v>0</v>
      </c>
      <c r="K1022" s="812">
        <f>0-J1022</f>
        <v>0</v>
      </c>
      <c r="L1022" s="812">
        <f>SUM(K1022+J1022)</f>
        <v>0</v>
      </c>
      <c r="M1022" s="812">
        <v>100000</v>
      </c>
    </row>
    <row r="1023" spans="1:13" ht="18" customHeight="1">
      <c r="A1023" s="803"/>
      <c r="B1023" s="804"/>
      <c r="C1023" s="804"/>
      <c r="D1023" s="804" t="s">
        <v>1605</v>
      </c>
      <c r="E1023" s="804"/>
      <c r="F1023" s="805"/>
      <c r="G1023" s="806"/>
      <c r="H1023" s="810" t="s">
        <v>934</v>
      </c>
      <c r="I1023" s="811">
        <f>14215</f>
        <v>14215</v>
      </c>
      <c r="J1023" s="812">
        <v>0</v>
      </c>
      <c r="K1023" s="812">
        <f>230000-J1023</f>
        <v>230000</v>
      </c>
      <c r="L1023" s="812">
        <f>SUM(K1023+J1023)</f>
        <v>230000</v>
      </c>
      <c r="M1023" s="812">
        <v>0</v>
      </c>
    </row>
    <row r="1024" spans="1:13" ht="18" customHeight="1">
      <c r="A1024" s="803"/>
      <c r="B1024" s="804"/>
      <c r="C1024" s="804"/>
      <c r="D1024" s="804" t="s">
        <v>1528</v>
      </c>
      <c r="E1024" s="804"/>
      <c r="F1024" s="805"/>
      <c r="G1024" s="806"/>
      <c r="H1024" s="810" t="s">
        <v>841</v>
      </c>
      <c r="I1024" s="811">
        <f>86550</f>
        <v>86550</v>
      </c>
      <c r="J1024" s="812">
        <v>0</v>
      </c>
      <c r="K1024" s="812">
        <f>0-J1024</f>
        <v>0</v>
      </c>
      <c r="L1024" s="812">
        <f>SUM(K1024+J1024)</f>
        <v>0</v>
      </c>
      <c r="M1024" s="812">
        <v>0</v>
      </c>
    </row>
    <row r="1025" spans="1:13" ht="18" hidden="1" customHeight="1">
      <c r="A1025" s="803"/>
      <c r="B1025" s="804"/>
      <c r="C1025" s="804"/>
      <c r="D1025" s="804" t="s">
        <v>1530</v>
      </c>
      <c r="E1025" s="804"/>
      <c r="F1025" s="805"/>
      <c r="G1025" s="806"/>
      <c r="H1025" s="810" t="s">
        <v>1531</v>
      </c>
      <c r="I1025" s="811">
        <v>0</v>
      </c>
      <c r="J1025" s="812">
        <v>0</v>
      </c>
      <c r="K1025" s="812">
        <f>0-J1025</f>
        <v>0</v>
      </c>
      <c r="L1025" s="812">
        <f>SUM(K1025+J1025)</f>
        <v>0</v>
      </c>
      <c r="M1025" s="812">
        <v>0</v>
      </c>
    </row>
    <row r="1026" spans="1:13" s="820" customFormat="1" ht="18" customHeight="1">
      <c r="A1026" s="815"/>
      <c r="B1026" s="816"/>
      <c r="C1026" s="816"/>
      <c r="D1026" s="816" t="s">
        <v>782</v>
      </c>
      <c r="E1026" s="816"/>
      <c r="F1026" s="817"/>
      <c r="G1026" s="818"/>
      <c r="H1026" s="847"/>
      <c r="I1026" s="819">
        <f>SUM(I1021:I1025)</f>
        <v>100765</v>
      </c>
      <c r="J1026" s="819">
        <f>SUM(J1021:J1025)</f>
        <v>0</v>
      </c>
      <c r="K1026" s="819">
        <f>SUM(K1021:K1025)</f>
        <v>260000</v>
      </c>
      <c r="L1026" s="819">
        <f>SUM(L1021:L1025)</f>
        <v>260000</v>
      </c>
      <c r="M1026" s="819">
        <f>SUM(M1021:M1025)</f>
        <v>100000</v>
      </c>
    </row>
    <row r="1027" spans="1:13" s="864" customFormat="1" ht="18" hidden="1" customHeight="1">
      <c r="A1027" s="856"/>
      <c r="B1027" s="857" t="s">
        <v>266</v>
      </c>
      <c r="C1027" s="858"/>
      <c r="D1027" s="858"/>
      <c r="E1027" s="858"/>
      <c r="F1027" s="859"/>
      <c r="G1027" s="860"/>
      <c r="H1027" s="861"/>
      <c r="I1027" s="862"/>
      <c r="J1027" s="863"/>
      <c r="K1027" s="863"/>
      <c r="L1027" s="863"/>
      <c r="M1027" s="863"/>
    </row>
    <row r="1028" spans="1:13" s="873" customFormat="1" ht="18" hidden="1" customHeight="1">
      <c r="A1028" s="865"/>
      <c r="B1028" s="866"/>
      <c r="C1028" s="866"/>
      <c r="D1028" s="858" t="s">
        <v>911</v>
      </c>
      <c r="E1028" s="866"/>
      <c r="F1028" s="867"/>
      <c r="G1028" s="868"/>
      <c r="H1028" s="869"/>
      <c r="I1028" s="870">
        <v>0</v>
      </c>
      <c r="J1028" s="871"/>
      <c r="K1028" s="872">
        <f>-J1028</f>
        <v>0</v>
      </c>
      <c r="L1028" s="872">
        <f>SUM(K1028+J1028)</f>
        <v>0</v>
      </c>
      <c r="M1028" s="871">
        <v>0</v>
      </c>
    </row>
    <row r="1029" spans="1:13" ht="18" customHeight="1">
      <c r="A1029" s="823" t="s">
        <v>613</v>
      </c>
      <c r="B1029" s="824"/>
      <c r="C1029" s="824"/>
      <c r="D1029" s="824"/>
      <c r="E1029" s="824"/>
      <c r="F1029" s="825"/>
      <c r="G1029" s="826"/>
      <c r="H1029" s="848"/>
      <c r="I1029" s="828">
        <f>SUM(I1026+I1019+I1006+I1028)</f>
        <v>12086298.330000002</v>
      </c>
      <c r="J1029" s="828">
        <f>SUM(J1026+J1019+J1006+J1028)</f>
        <v>3511166.79</v>
      </c>
      <c r="K1029" s="828">
        <f>SUM(K1026+K1019+K1006+K1028)</f>
        <v>5113833.21</v>
      </c>
      <c r="L1029" s="828">
        <f>SUM(L1026+L1019+L1006+L1028)</f>
        <v>8625000</v>
      </c>
      <c r="M1029" s="828">
        <f>SUM(M1026+M1019+M1006+M1028)</f>
        <v>8845467</v>
      </c>
    </row>
    <row r="1030" spans="1:13" ht="18" customHeight="1">
      <c r="A1030" s="791"/>
      <c r="B1030" s="829"/>
      <c r="C1030" s="791"/>
      <c r="D1030" s="791"/>
      <c r="E1030" s="791"/>
      <c r="F1030" s="791"/>
      <c r="G1030" s="791"/>
      <c r="H1030" s="830"/>
      <c r="I1030" s="967"/>
      <c r="J1030" s="831"/>
      <c r="K1030" s="831"/>
      <c r="L1030" s="831"/>
      <c r="M1030" s="831"/>
    </row>
    <row r="1031" spans="1:13" s="1323" customFormat="1" ht="18" customHeight="1">
      <c r="A1031" s="1484" t="s">
        <v>1796</v>
      </c>
      <c r="B1031" s="1484"/>
      <c r="C1031" s="1484"/>
      <c r="D1031" s="1484"/>
      <c r="E1031" s="1484"/>
      <c r="F1031" s="1484"/>
      <c r="G1031" s="1484"/>
      <c r="H1031" s="1484"/>
      <c r="I1031" s="1484"/>
      <c r="J1031" s="1484"/>
      <c r="K1031" s="1484"/>
      <c r="L1031" s="1484"/>
      <c r="M1031" s="1484"/>
    </row>
    <row r="1032" spans="1:13" s="1323" customFormat="1" ht="9" customHeight="1">
      <c r="A1032" s="1330"/>
      <c r="B1032" s="1330"/>
      <c r="C1032" s="1330"/>
      <c r="D1032" s="1330"/>
      <c r="E1032" s="1330"/>
      <c r="F1032" s="1330"/>
      <c r="G1032" s="1330"/>
      <c r="H1032" s="1330"/>
      <c r="I1032" s="1330"/>
      <c r="J1032" s="1330"/>
      <c r="K1032" s="1330"/>
      <c r="L1032" s="1330"/>
      <c r="M1032" s="1330"/>
    </row>
    <row r="1033" spans="1:13" s="1336" customFormat="1" ht="20.100000000000001" customHeight="1">
      <c r="A1033" s="1485" t="s">
        <v>952</v>
      </c>
      <c r="B1033" s="1485"/>
      <c r="C1033" s="1485"/>
      <c r="D1033" s="1485"/>
      <c r="E1033" s="1485"/>
      <c r="F1033" s="1485"/>
      <c r="G1033" s="1485"/>
      <c r="H1033" s="1485"/>
      <c r="I1033" s="1485"/>
      <c r="J1033" s="1485"/>
      <c r="K1033" s="1485"/>
      <c r="L1033" s="1485"/>
      <c r="M1033" s="1485"/>
    </row>
    <row r="1034" spans="1:13" s="778" customFormat="1" ht="18" customHeight="1">
      <c r="A1034" s="777"/>
      <c r="B1034" s="776"/>
      <c r="C1034" s="777"/>
      <c r="F1034" s="776"/>
      <c r="G1034" s="1504"/>
      <c r="H1034" s="1504"/>
      <c r="I1034" s="1505"/>
      <c r="J1034" s="1505"/>
      <c r="K1034" s="831"/>
      <c r="L1034" s="832"/>
      <c r="M1034" s="831"/>
    </row>
    <row r="1035" spans="1:13" s="778" customFormat="1" ht="18" customHeight="1">
      <c r="A1035" s="776"/>
      <c r="B1035" s="776"/>
      <c r="C1035" s="776"/>
      <c r="D1035" s="833"/>
      <c r="E1035" s="833"/>
      <c r="F1035" s="834"/>
      <c r="G1035" s="835"/>
      <c r="H1035" s="836"/>
      <c r="I1035" s="1502"/>
      <c r="J1035" s="1502"/>
      <c r="K1035" s="836"/>
      <c r="L1035" s="1502"/>
      <c r="M1035" s="1502"/>
    </row>
    <row r="1036" spans="1:13" s="778" customFormat="1" ht="18" customHeight="1">
      <c r="A1036" s="777"/>
      <c r="B1036" s="776"/>
      <c r="C1036" s="777"/>
      <c r="D1036" s="777"/>
      <c r="E1036" s="777"/>
      <c r="F1036" s="837"/>
      <c r="G1036" s="838"/>
      <c r="H1036" s="838"/>
      <c r="I1036" s="1494"/>
      <c r="J1036" s="1494"/>
      <c r="K1036" s="839"/>
      <c r="L1036" s="1495"/>
      <c r="M1036" s="1495"/>
    </row>
    <row r="1037" spans="1:13" s="778" customFormat="1" ht="18" customHeight="1">
      <c r="A1037" s="777"/>
      <c r="B1037" s="776"/>
      <c r="C1037" s="777"/>
      <c r="D1037" s="777"/>
      <c r="E1037" s="777"/>
      <c r="F1037" s="837"/>
      <c r="G1037" s="838"/>
      <c r="H1037" s="830"/>
      <c r="I1037" s="967"/>
      <c r="K1037" s="840"/>
      <c r="L1037" s="840"/>
      <c r="M1037" s="831"/>
    </row>
    <row r="1038" spans="1:13" s="778" customFormat="1" ht="18" customHeight="1">
      <c r="A1038" s="777"/>
      <c r="B1038" s="776"/>
      <c r="C1038" s="777"/>
      <c r="D1038" s="777"/>
      <c r="E1038" s="777"/>
      <c r="F1038" s="837"/>
      <c r="G1038" s="838"/>
      <c r="H1038" s="830"/>
      <c r="I1038" s="967"/>
      <c r="K1038" s="840"/>
      <c r="L1038" s="840"/>
      <c r="M1038" s="831"/>
    </row>
    <row r="1039" spans="1:13" s="778" customFormat="1" ht="18" customHeight="1">
      <c r="A1039" s="777"/>
      <c r="B1039" s="776"/>
      <c r="C1039" s="777"/>
      <c r="D1039" s="777"/>
      <c r="E1039" s="777"/>
      <c r="F1039" s="837"/>
      <c r="G1039" s="838"/>
      <c r="H1039" s="830"/>
      <c r="I1039" s="967"/>
      <c r="K1039" s="840"/>
      <c r="L1039" s="840"/>
      <c r="M1039" s="831"/>
    </row>
    <row r="1040" spans="1:13" s="778" customFormat="1" ht="18" customHeight="1">
      <c r="A1040" s="777"/>
      <c r="B1040" s="776"/>
      <c r="C1040" s="777"/>
      <c r="D1040" s="777"/>
      <c r="E1040" s="777"/>
      <c r="F1040" s="837"/>
      <c r="G1040" s="838"/>
      <c r="H1040" s="830"/>
      <c r="I1040" s="967"/>
      <c r="K1040" s="840"/>
      <c r="L1040" s="840"/>
      <c r="M1040" s="831"/>
    </row>
    <row r="1041" spans="1:13" s="778" customFormat="1" ht="18" customHeight="1">
      <c r="A1041" s="777"/>
      <c r="B1041" s="776"/>
      <c r="C1041" s="777"/>
      <c r="D1041" s="777"/>
      <c r="E1041" s="777"/>
      <c r="F1041" s="837"/>
      <c r="G1041" s="838"/>
      <c r="H1041" s="830"/>
      <c r="I1041" s="967"/>
      <c r="K1041" s="840"/>
      <c r="L1041" s="840"/>
      <c r="M1041" s="831"/>
    </row>
    <row r="1042" spans="1:13" s="778" customFormat="1" ht="18" customHeight="1">
      <c r="A1042" s="777"/>
      <c r="B1042" s="776"/>
      <c r="C1042" s="777"/>
      <c r="D1042" s="777"/>
      <c r="E1042" s="777"/>
      <c r="F1042" s="837"/>
      <c r="G1042" s="838"/>
      <c r="H1042" s="830"/>
      <c r="I1042" s="967"/>
      <c r="K1042" s="840"/>
      <c r="L1042" s="840"/>
      <c r="M1042" s="831"/>
    </row>
    <row r="1043" spans="1:13" s="854" customFormat="1" ht="20.100000000000001" customHeight="1">
      <c r="A1043" s="1503"/>
      <c r="B1043" s="1503"/>
      <c r="C1043" s="1503"/>
      <c r="D1043" s="1503"/>
      <c r="E1043" s="1503"/>
      <c r="F1043" s="1503"/>
      <c r="G1043" s="1503"/>
      <c r="H1043" s="1503"/>
      <c r="I1043" s="1503"/>
      <c r="J1043" s="1503"/>
      <c r="K1043" s="1503"/>
      <c r="L1043" s="1503"/>
      <c r="M1043" s="1503"/>
    </row>
    <row r="1044" spans="1:13" ht="18" customHeight="1"/>
    <row r="1045" spans="1:13" s="874" customFormat="1" ht="18" customHeight="1">
      <c r="I1045" s="875">
        <f>SUM(I1029+I952+I890+I828+I759+I691+I618+I553+I489+I419+I349+I281+I210+I144+I71)</f>
        <v>101235469.34999999</v>
      </c>
      <c r="J1045" s="875">
        <f>SUM(J1029+J952+J890+J828+J759+J691+J618+J553+J489+J419+J349+J281+J210+J144+J71)</f>
        <v>45209289.18</v>
      </c>
      <c r="K1045" s="875">
        <f>SUM(K1029+K952+K890+K828+K759+K691+K618+K553+K489+K419+K349+K281+K210+K144+K71)</f>
        <v>95765065.820000008</v>
      </c>
      <c r="L1045" s="875">
        <f>SUM(L1029+L952+L890+L828+L759+L691+L618+L553+L489+L419+L349+L281+L210+L144+L71)</f>
        <v>140974355</v>
      </c>
      <c r="M1045" s="875">
        <f>SUM(M1029+M952+M890+M828+M759+M691+M618+M553+M489+M419+M349+M281+M210+M144+M71)</f>
        <v>118611618</v>
      </c>
    </row>
    <row r="1046" spans="1:13" ht="18" customHeight="1">
      <c r="H1046" s="779"/>
    </row>
    <row r="1047" spans="1:13" ht="18" customHeight="1">
      <c r="H1047" s="779"/>
    </row>
    <row r="1048" spans="1:13" ht="18" customHeight="1">
      <c r="H1048" s="779"/>
      <c r="L1048" s="1730"/>
    </row>
    <row r="1049" spans="1:13" ht="18" customHeight="1">
      <c r="H1049" s="779"/>
      <c r="L1049" s="1730"/>
    </row>
    <row r="1050" spans="1:13" ht="18" customHeight="1">
      <c r="H1050" s="779"/>
      <c r="L1050" s="1730"/>
    </row>
    <row r="1051" spans="1:13" ht="18" customHeight="1">
      <c r="H1051" s="779"/>
      <c r="L1051" s="1730"/>
    </row>
    <row r="1052" spans="1:13" ht="18" customHeight="1">
      <c r="H1052" s="779"/>
      <c r="L1052" s="1730"/>
    </row>
    <row r="1053" spans="1:13" ht="18" customHeight="1">
      <c r="H1053" s="779"/>
    </row>
    <row r="1054" spans="1:13" ht="18" customHeight="1">
      <c r="H1054" s="779"/>
    </row>
    <row r="1055" spans="1:13" ht="18" customHeight="1">
      <c r="H1055" s="779"/>
    </row>
    <row r="1056" spans="1:13" ht="18" customHeight="1">
      <c r="H1056" s="779"/>
    </row>
    <row r="1057" spans="8:13" ht="18" customHeight="1">
      <c r="H1057" s="779"/>
    </row>
    <row r="1058" spans="8:13" ht="18" customHeight="1">
      <c r="H1058" s="779"/>
    </row>
    <row r="1059" spans="8:13" ht="18" customHeight="1">
      <c r="H1059" s="779"/>
    </row>
    <row r="1060" spans="8:13" ht="18" customHeight="1">
      <c r="H1060" s="779"/>
    </row>
    <row r="1061" spans="8:13" ht="18" customHeight="1">
      <c r="H1061" s="779"/>
      <c r="I1061" s="779"/>
      <c r="J1061" s="779"/>
      <c r="K1061" s="779"/>
      <c r="L1061" s="779"/>
      <c r="M1061" s="779"/>
    </row>
    <row r="1062" spans="8:13" ht="18" customHeight="1">
      <c r="H1062" s="779"/>
      <c r="I1062" s="779"/>
      <c r="J1062" s="779"/>
      <c r="K1062" s="779"/>
      <c r="L1062" s="779"/>
      <c r="M1062" s="779"/>
    </row>
    <row r="1063" spans="8:13" ht="18" customHeight="1">
      <c r="H1063" s="779"/>
      <c r="I1063" s="779"/>
      <c r="J1063" s="779"/>
      <c r="K1063" s="779"/>
      <c r="L1063" s="779"/>
      <c r="M1063" s="779"/>
    </row>
    <row r="1064" spans="8:13" ht="18" customHeight="1">
      <c r="H1064" s="779"/>
      <c r="I1064" s="779"/>
      <c r="J1064" s="779"/>
      <c r="K1064" s="779"/>
      <c r="L1064" s="779"/>
      <c r="M1064" s="779"/>
    </row>
    <row r="1065" spans="8:13" ht="18" customHeight="1">
      <c r="H1065" s="779"/>
      <c r="I1065" s="779"/>
      <c r="J1065" s="779"/>
      <c r="K1065" s="779"/>
      <c r="L1065" s="779"/>
      <c r="M1065" s="779"/>
    </row>
    <row r="1066" spans="8:13" ht="18" customHeight="1">
      <c r="H1066" s="779"/>
      <c r="I1066" s="779"/>
      <c r="J1066" s="779"/>
      <c r="K1066" s="779"/>
      <c r="L1066" s="779"/>
      <c r="M1066" s="779"/>
    </row>
    <row r="1067" spans="8:13" ht="18" customHeight="1">
      <c r="H1067" s="779"/>
      <c r="I1067" s="779"/>
      <c r="J1067" s="779"/>
      <c r="K1067" s="779"/>
      <c r="L1067" s="779"/>
      <c r="M1067" s="779"/>
    </row>
    <row r="1068" spans="8:13" ht="18" customHeight="1">
      <c r="H1068" s="779"/>
      <c r="I1068" s="779"/>
      <c r="J1068" s="779"/>
      <c r="K1068" s="779"/>
      <c r="L1068" s="779"/>
      <c r="M1068" s="779"/>
    </row>
    <row r="1069" spans="8:13" ht="18" customHeight="1">
      <c r="H1069" s="779"/>
      <c r="I1069" s="779"/>
      <c r="J1069" s="779"/>
      <c r="K1069" s="779"/>
      <c r="L1069" s="779"/>
      <c r="M1069" s="779"/>
    </row>
    <row r="1070" spans="8:13" ht="18" customHeight="1">
      <c r="H1070" s="779"/>
      <c r="I1070" s="779"/>
      <c r="J1070" s="779"/>
      <c r="K1070" s="779"/>
      <c r="L1070" s="779"/>
      <c r="M1070" s="779"/>
    </row>
    <row r="1071" spans="8:13" ht="18" customHeight="1">
      <c r="H1071" s="779"/>
      <c r="I1071" s="779"/>
      <c r="J1071" s="779"/>
      <c r="K1071" s="779"/>
      <c r="L1071" s="779"/>
      <c r="M1071" s="779"/>
    </row>
    <row r="1072" spans="8:13" ht="18" customHeight="1">
      <c r="H1072" s="779"/>
      <c r="I1072" s="779"/>
      <c r="J1072" s="779"/>
      <c r="K1072" s="779"/>
      <c r="L1072" s="779"/>
      <c r="M1072" s="779"/>
    </row>
    <row r="1073" spans="8:13" ht="18" customHeight="1">
      <c r="H1073" s="779"/>
      <c r="I1073" s="779"/>
      <c r="J1073" s="779"/>
      <c r="K1073" s="779"/>
      <c r="L1073" s="779"/>
      <c r="M1073" s="779"/>
    </row>
    <row r="1074" spans="8:13" ht="18" customHeight="1">
      <c r="H1074" s="779"/>
      <c r="I1074" s="779"/>
      <c r="J1074" s="779"/>
      <c r="K1074" s="779"/>
      <c r="L1074" s="779"/>
      <c r="M1074" s="779"/>
    </row>
    <row r="1075" spans="8:13" ht="18" customHeight="1">
      <c r="H1075" s="779"/>
      <c r="I1075" s="779"/>
      <c r="J1075" s="779"/>
      <c r="K1075" s="779"/>
      <c r="L1075" s="779"/>
      <c r="M1075" s="779"/>
    </row>
    <row r="1076" spans="8:13" ht="18" customHeight="1">
      <c r="H1076" s="779"/>
      <c r="I1076" s="779"/>
      <c r="J1076" s="779"/>
      <c r="K1076" s="779"/>
      <c r="L1076" s="779"/>
      <c r="M1076" s="779"/>
    </row>
    <row r="1077" spans="8:13" ht="18" customHeight="1">
      <c r="H1077" s="779"/>
      <c r="I1077" s="779"/>
      <c r="J1077" s="779"/>
      <c r="K1077" s="779"/>
      <c r="L1077" s="779"/>
      <c r="M1077" s="779"/>
    </row>
    <row r="1078" spans="8:13" ht="18" customHeight="1">
      <c r="H1078" s="779"/>
      <c r="I1078" s="779"/>
      <c r="J1078" s="779"/>
      <c r="K1078" s="779"/>
      <c r="L1078" s="779"/>
      <c r="M1078" s="779"/>
    </row>
    <row r="1079" spans="8:13" ht="18" customHeight="1">
      <c r="H1079" s="779"/>
      <c r="I1079" s="779"/>
      <c r="J1079" s="779"/>
      <c r="K1079" s="779"/>
      <c r="L1079" s="779"/>
      <c r="M1079" s="779"/>
    </row>
    <row r="1080" spans="8:13" ht="18" customHeight="1">
      <c r="H1080" s="779"/>
      <c r="I1080" s="779"/>
      <c r="J1080" s="779"/>
      <c r="K1080" s="779"/>
      <c r="L1080" s="779"/>
      <c r="M1080" s="779"/>
    </row>
    <row r="1081" spans="8:13" ht="18" customHeight="1">
      <c r="H1081" s="779"/>
      <c r="I1081" s="779"/>
      <c r="J1081" s="779"/>
      <c r="K1081" s="779"/>
      <c r="L1081" s="779"/>
      <c r="M1081" s="779"/>
    </row>
    <row r="1082" spans="8:13" ht="18" customHeight="1">
      <c r="H1082" s="779"/>
      <c r="I1082" s="779"/>
      <c r="J1082" s="779"/>
      <c r="K1082" s="779"/>
      <c r="L1082" s="779"/>
      <c r="M1082" s="779"/>
    </row>
    <row r="1083" spans="8:13" ht="18" customHeight="1">
      <c r="H1083" s="779"/>
      <c r="I1083" s="779"/>
      <c r="J1083" s="779"/>
      <c r="K1083" s="779"/>
      <c r="L1083" s="779"/>
      <c r="M1083" s="779"/>
    </row>
    <row r="1084" spans="8:13" ht="18" customHeight="1">
      <c r="H1084" s="779"/>
      <c r="I1084" s="779"/>
      <c r="J1084" s="779"/>
      <c r="K1084" s="779"/>
      <c r="L1084" s="779"/>
      <c r="M1084" s="779"/>
    </row>
    <row r="1085" spans="8:13" ht="18" customHeight="1">
      <c r="H1085" s="779"/>
      <c r="I1085" s="779"/>
      <c r="J1085" s="779"/>
      <c r="K1085" s="779"/>
      <c r="L1085" s="779"/>
      <c r="M1085" s="779"/>
    </row>
    <row r="1086" spans="8:13" ht="18" customHeight="1">
      <c r="H1086" s="779"/>
      <c r="I1086" s="779"/>
      <c r="J1086" s="779"/>
      <c r="K1086" s="779"/>
      <c r="L1086" s="779"/>
      <c r="M1086" s="779"/>
    </row>
    <row r="1087" spans="8:13" ht="18" customHeight="1">
      <c r="H1087" s="779"/>
      <c r="I1087" s="779"/>
      <c r="J1087" s="779"/>
      <c r="K1087" s="779"/>
      <c r="L1087" s="779"/>
      <c r="M1087" s="779"/>
    </row>
    <row r="1088" spans="8:13" ht="18" customHeight="1">
      <c r="H1088" s="779"/>
      <c r="I1088" s="779"/>
      <c r="J1088" s="779"/>
      <c r="K1088" s="779"/>
      <c r="L1088" s="779"/>
      <c r="M1088" s="779"/>
    </row>
    <row r="1089" spans="8:13" ht="18" customHeight="1">
      <c r="H1089" s="779"/>
      <c r="I1089" s="779"/>
      <c r="J1089" s="779"/>
      <c r="K1089" s="779"/>
      <c r="L1089" s="779"/>
      <c r="M1089" s="779"/>
    </row>
    <row r="1090" spans="8:13" ht="18" customHeight="1">
      <c r="H1090" s="779"/>
      <c r="I1090" s="779"/>
      <c r="J1090" s="779"/>
      <c r="K1090" s="779"/>
      <c r="L1090" s="779"/>
      <c r="M1090" s="779"/>
    </row>
    <row r="1091" spans="8:13" ht="18" customHeight="1">
      <c r="H1091" s="779"/>
      <c r="I1091" s="779"/>
      <c r="J1091" s="779"/>
      <c r="K1091" s="779"/>
      <c r="L1091" s="779"/>
      <c r="M1091" s="779"/>
    </row>
    <row r="1092" spans="8:13" ht="18" customHeight="1">
      <c r="H1092" s="779"/>
      <c r="I1092" s="779"/>
      <c r="J1092" s="779"/>
      <c r="K1092" s="779"/>
      <c r="L1092" s="779"/>
      <c r="M1092" s="779"/>
    </row>
    <row r="1093" spans="8:13" ht="18" customHeight="1">
      <c r="H1093" s="779"/>
      <c r="I1093" s="779"/>
      <c r="J1093" s="779"/>
      <c r="K1093" s="779"/>
      <c r="L1093" s="779"/>
      <c r="M1093" s="779"/>
    </row>
    <row r="1094" spans="8:13" ht="18" customHeight="1">
      <c r="H1094" s="779"/>
      <c r="I1094" s="779"/>
      <c r="J1094" s="779"/>
      <c r="K1094" s="779"/>
      <c r="L1094" s="779"/>
      <c r="M1094" s="779"/>
    </row>
    <row r="1095" spans="8:13" ht="18" customHeight="1">
      <c r="H1095" s="779"/>
      <c r="I1095" s="779"/>
      <c r="J1095" s="779"/>
      <c r="K1095" s="779"/>
      <c r="L1095" s="779"/>
      <c r="M1095" s="779"/>
    </row>
    <row r="1096" spans="8:13" ht="18" customHeight="1">
      <c r="H1096" s="779"/>
      <c r="I1096" s="779"/>
      <c r="J1096" s="779"/>
      <c r="K1096" s="779"/>
      <c r="L1096" s="779"/>
      <c r="M1096" s="779"/>
    </row>
    <row r="1097" spans="8:13" ht="18" customHeight="1">
      <c r="H1097" s="779"/>
      <c r="I1097" s="779"/>
      <c r="J1097" s="779"/>
      <c r="K1097" s="779"/>
      <c r="L1097" s="779"/>
      <c r="M1097" s="779"/>
    </row>
    <row r="1098" spans="8:13" ht="18" customHeight="1">
      <c r="H1098" s="779"/>
      <c r="I1098" s="779"/>
      <c r="J1098" s="779"/>
      <c r="K1098" s="779"/>
      <c r="L1098" s="779"/>
      <c r="M1098" s="779"/>
    </row>
    <row r="1099" spans="8:13" ht="18" customHeight="1">
      <c r="H1099" s="779"/>
      <c r="I1099" s="779"/>
      <c r="J1099" s="779"/>
      <c r="K1099" s="779"/>
      <c r="L1099" s="779"/>
      <c r="M1099" s="779"/>
    </row>
    <row r="1100" spans="8:13" ht="18" customHeight="1">
      <c r="H1100" s="779"/>
      <c r="I1100" s="779"/>
      <c r="J1100" s="779"/>
      <c r="K1100" s="779"/>
      <c r="L1100" s="779"/>
      <c r="M1100" s="779"/>
    </row>
    <row r="1101" spans="8:13" ht="18" customHeight="1">
      <c r="H1101" s="779"/>
      <c r="I1101" s="779"/>
      <c r="J1101" s="779"/>
      <c r="K1101" s="779"/>
      <c r="L1101" s="779"/>
      <c r="M1101" s="779"/>
    </row>
    <row r="1102" spans="8:13" ht="18" customHeight="1">
      <c r="H1102" s="779"/>
      <c r="I1102" s="779"/>
      <c r="J1102" s="779"/>
      <c r="K1102" s="779"/>
      <c r="L1102" s="779"/>
      <c r="M1102" s="779"/>
    </row>
    <row r="1103" spans="8:13" ht="18" customHeight="1">
      <c r="H1103" s="779"/>
      <c r="I1103" s="779"/>
      <c r="J1103" s="779"/>
      <c r="K1103" s="779"/>
      <c r="L1103" s="779"/>
      <c r="M1103" s="779"/>
    </row>
    <row r="1104" spans="8:13" ht="18" customHeight="1">
      <c r="H1104" s="779"/>
      <c r="I1104" s="779"/>
      <c r="J1104" s="779"/>
      <c r="K1104" s="779"/>
      <c r="L1104" s="779"/>
      <c r="M1104" s="779"/>
    </row>
    <row r="1105" spans="8:13" ht="18" customHeight="1">
      <c r="H1105" s="779"/>
      <c r="I1105" s="779"/>
      <c r="J1105" s="779"/>
      <c r="K1105" s="779"/>
      <c r="L1105" s="779"/>
      <c r="M1105" s="779"/>
    </row>
    <row r="1106" spans="8:13" ht="18" customHeight="1">
      <c r="H1106" s="779"/>
      <c r="I1106" s="779"/>
      <c r="J1106" s="779"/>
      <c r="K1106" s="779"/>
      <c r="L1106" s="779"/>
      <c r="M1106" s="779"/>
    </row>
    <row r="1107" spans="8:13" ht="18" customHeight="1">
      <c r="H1107" s="779"/>
      <c r="I1107" s="779"/>
      <c r="J1107" s="779"/>
      <c r="K1107" s="779"/>
      <c r="L1107" s="779"/>
      <c r="M1107" s="779"/>
    </row>
    <row r="1108" spans="8:13" ht="18" customHeight="1">
      <c r="H1108" s="779"/>
      <c r="I1108" s="779"/>
      <c r="J1108" s="779"/>
      <c r="K1108" s="779"/>
      <c r="L1108" s="779"/>
      <c r="M1108" s="779"/>
    </row>
    <row r="1109" spans="8:13" ht="18" customHeight="1">
      <c r="H1109" s="779"/>
      <c r="I1109" s="779"/>
      <c r="J1109" s="779"/>
      <c r="K1109" s="779"/>
      <c r="L1109" s="779"/>
      <c r="M1109" s="779"/>
    </row>
    <row r="1110" spans="8:13" ht="18" customHeight="1">
      <c r="H1110" s="779"/>
      <c r="I1110" s="779"/>
      <c r="J1110" s="779"/>
      <c r="K1110" s="779"/>
      <c r="L1110" s="779"/>
      <c r="M1110" s="779"/>
    </row>
    <row r="1111" spans="8:13" ht="18" customHeight="1">
      <c r="H1111" s="779"/>
      <c r="I1111" s="779"/>
      <c r="J1111" s="779"/>
      <c r="K1111" s="779"/>
      <c r="L1111" s="779"/>
      <c r="M1111" s="779"/>
    </row>
    <row r="1112" spans="8:13" ht="18" customHeight="1">
      <c r="H1112" s="779"/>
      <c r="I1112" s="779"/>
      <c r="J1112" s="779"/>
      <c r="K1112" s="779"/>
      <c r="L1112" s="779"/>
      <c r="M1112" s="779"/>
    </row>
    <row r="1113" spans="8:13" ht="18" customHeight="1">
      <c r="H1113" s="779"/>
      <c r="I1113" s="779"/>
      <c r="J1113" s="779"/>
      <c r="K1113" s="779"/>
      <c r="L1113" s="779"/>
      <c r="M1113" s="779"/>
    </row>
    <row r="1114" spans="8:13" ht="18" customHeight="1">
      <c r="H1114" s="779"/>
      <c r="I1114" s="779"/>
      <c r="J1114" s="779"/>
      <c r="K1114" s="779"/>
      <c r="L1114" s="779"/>
      <c r="M1114" s="779"/>
    </row>
    <row r="1115" spans="8:13" ht="18" customHeight="1">
      <c r="H1115" s="779"/>
      <c r="I1115" s="779"/>
      <c r="J1115" s="779"/>
      <c r="K1115" s="779"/>
      <c r="L1115" s="779"/>
      <c r="M1115" s="779"/>
    </row>
    <row r="1116" spans="8:13" ht="18" customHeight="1">
      <c r="H1116" s="779"/>
      <c r="I1116" s="779"/>
      <c r="J1116" s="779"/>
      <c r="K1116" s="779"/>
      <c r="L1116" s="779"/>
      <c r="M1116" s="779"/>
    </row>
    <row r="1117" spans="8:13" ht="18" customHeight="1">
      <c r="H1117" s="779"/>
      <c r="I1117" s="779"/>
      <c r="J1117" s="779"/>
      <c r="K1117" s="779"/>
      <c r="L1117" s="779"/>
      <c r="M1117" s="779"/>
    </row>
    <row r="1118" spans="8:13" ht="18" customHeight="1">
      <c r="H1118" s="779"/>
      <c r="I1118" s="779"/>
      <c r="J1118" s="779"/>
      <c r="K1118" s="779"/>
      <c r="L1118" s="779"/>
      <c r="M1118" s="779"/>
    </row>
    <row r="1119" spans="8:13" ht="18" customHeight="1">
      <c r="H1119" s="779"/>
      <c r="I1119" s="779"/>
      <c r="J1119" s="779"/>
      <c r="K1119" s="779"/>
      <c r="L1119" s="779"/>
      <c r="M1119" s="779"/>
    </row>
    <row r="1120" spans="8:13" ht="18" customHeight="1">
      <c r="H1120" s="779"/>
      <c r="I1120" s="779"/>
      <c r="J1120" s="779"/>
      <c r="K1120" s="779"/>
      <c r="L1120" s="779"/>
      <c r="M1120" s="779"/>
    </row>
    <row r="1121" spans="8:13" ht="18" customHeight="1">
      <c r="H1121" s="779"/>
      <c r="I1121" s="779"/>
      <c r="J1121" s="779"/>
      <c r="K1121" s="779"/>
      <c r="L1121" s="779"/>
      <c r="M1121" s="779"/>
    </row>
    <row r="1122" spans="8:13" ht="18" customHeight="1">
      <c r="H1122" s="779"/>
      <c r="I1122" s="779"/>
      <c r="J1122" s="779"/>
      <c r="K1122" s="779"/>
      <c r="L1122" s="779"/>
      <c r="M1122" s="779"/>
    </row>
    <row r="1123" spans="8:13" ht="18" customHeight="1">
      <c r="H1123" s="779"/>
      <c r="I1123" s="779"/>
      <c r="J1123" s="779"/>
      <c r="K1123" s="779"/>
      <c r="L1123" s="779"/>
      <c r="M1123" s="779"/>
    </row>
    <row r="1124" spans="8:13" ht="18" customHeight="1">
      <c r="H1124" s="779"/>
      <c r="I1124" s="779"/>
      <c r="J1124" s="779"/>
      <c r="K1124" s="779"/>
      <c r="L1124" s="779"/>
      <c r="M1124" s="779"/>
    </row>
    <row r="1125" spans="8:13" ht="18" customHeight="1">
      <c r="H1125" s="779"/>
      <c r="I1125" s="779"/>
      <c r="J1125" s="779"/>
      <c r="K1125" s="779"/>
      <c r="L1125" s="779"/>
      <c r="M1125" s="779"/>
    </row>
    <row r="1126" spans="8:13" ht="18" customHeight="1">
      <c r="H1126" s="779"/>
      <c r="I1126" s="779"/>
      <c r="J1126" s="779"/>
      <c r="K1126" s="779"/>
      <c r="L1126" s="779"/>
      <c r="M1126" s="779"/>
    </row>
    <row r="1127" spans="8:13" ht="18" customHeight="1">
      <c r="H1127" s="779"/>
      <c r="I1127" s="779"/>
      <c r="J1127" s="779"/>
      <c r="K1127" s="779"/>
      <c r="L1127" s="779"/>
      <c r="M1127" s="779"/>
    </row>
    <row r="1128" spans="8:13" ht="18" customHeight="1">
      <c r="H1128" s="779"/>
      <c r="I1128" s="779"/>
      <c r="J1128" s="779"/>
      <c r="K1128" s="779"/>
      <c r="L1128" s="779"/>
      <c r="M1128" s="779"/>
    </row>
    <row r="1129" spans="8:13" ht="18" customHeight="1">
      <c r="H1129" s="779"/>
      <c r="I1129" s="779"/>
      <c r="J1129" s="779"/>
      <c r="K1129" s="779"/>
      <c r="L1129" s="779"/>
      <c r="M1129" s="779"/>
    </row>
    <row r="1130" spans="8:13" ht="18" customHeight="1">
      <c r="H1130" s="779"/>
      <c r="I1130" s="779"/>
      <c r="J1130" s="779"/>
      <c r="K1130" s="779"/>
      <c r="L1130" s="779"/>
      <c r="M1130" s="779"/>
    </row>
    <row r="1131" spans="8:13" ht="18" customHeight="1">
      <c r="H1131" s="779"/>
      <c r="I1131" s="779"/>
      <c r="J1131" s="779"/>
      <c r="K1131" s="779"/>
      <c r="L1131" s="779"/>
      <c r="M1131" s="779"/>
    </row>
    <row r="1132" spans="8:13" ht="18" customHeight="1">
      <c r="H1132" s="779"/>
      <c r="I1132" s="779"/>
      <c r="J1132" s="779"/>
      <c r="K1132" s="779"/>
      <c r="L1132" s="779"/>
      <c r="M1132" s="779"/>
    </row>
    <row r="1133" spans="8:13" ht="18" customHeight="1">
      <c r="H1133" s="779"/>
      <c r="I1133" s="779"/>
      <c r="J1133" s="779"/>
      <c r="K1133" s="779"/>
      <c r="L1133" s="779"/>
      <c r="M1133" s="779"/>
    </row>
    <row r="1134" spans="8:13" ht="18" customHeight="1">
      <c r="H1134" s="779"/>
      <c r="I1134" s="779"/>
      <c r="J1134" s="779"/>
      <c r="K1134" s="779"/>
      <c r="L1134" s="779"/>
      <c r="M1134" s="779"/>
    </row>
    <row r="1135" spans="8:13" ht="18" customHeight="1">
      <c r="H1135" s="779"/>
      <c r="I1135" s="779"/>
      <c r="J1135" s="779"/>
      <c r="K1135" s="779"/>
      <c r="L1135" s="779"/>
      <c r="M1135" s="779"/>
    </row>
    <row r="1136" spans="8:13" ht="18" customHeight="1">
      <c r="H1136" s="779"/>
      <c r="I1136" s="779"/>
      <c r="J1136" s="779"/>
      <c r="K1136" s="779"/>
      <c r="L1136" s="779"/>
      <c r="M1136" s="779"/>
    </row>
    <row r="1137" spans="8:13" ht="18" customHeight="1">
      <c r="H1137" s="779"/>
      <c r="I1137" s="779"/>
      <c r="J1137" s="779"/>
      <c r="K1137" s="779"/>
      <c r="L1137" s="779"/>
      <c r="M1137" s="779"/>
    </row>
    <row r="1138" spans="8:13" ht="18" customHeight="1">
      <c r="H1138" s="779"/>
      <c r="I1138" s="779"/>
      <c r="J1138" s="779"/>
      <c r="K1138" s="779"/>
      <c r="L1138" s="779"/>
      <c r="M1138" s="779"/>
    </row>
    <row r="1139" spans="8:13" ht="18" customHeight="1">
      <c r="H1139" s="779"/>
      <c r="I1139" s="779"/>
      <c r="J1139" s="779"/>
      <c r="K1139" s="779"/>
      <c r="L1139" s="779"/>
      <c r="M1139" s="779"/>
    </row>
    <row r="1140" spans="8:13" ht="18" customHeight="1">
      <c r="H1140" s="779"/>
      <c r="I1140" s="779"/>
      <c r="J1140" s="779"/>
      <c r="K1140" s="779"/>
      <c r="L1140" s="779"/>
      <c r="M1140" s="779"/>
    </row>
    <row r="1141" spans="8:13" ht="18" customHeight="1">
      <c r="H1141" s="779"/>
      <c r="I1141" s="779"/>
      <c r="J1141" s="779"/>
      <c r="K1141" s="779"/>
      <c r="L1141" s="779"/>
      <c r="M1141" s="779"/>
    </row>
    <row r="1142" spans="8:13" ht="18" customHeight="1">
      <c r="H1142" s="779"/>
      <c r="I1142" s="779"/>
      <c r="J1142" s="779"/>
      <c r="K1142" s="779"/>
      <c r="L1142" s="779"/>
      <c r="M1142" s="779"/>
    </row>
    <row r="1143" spans="8:13" ht="18" customHeight="1">
      <c r="H1143" s="779"/>
      <c r="I1143" s="779"/>
      <c r="J1143" s="779"/>
      <c r="K1143" s="779"/>
      <c r="L1143" s="779"/>
      <c r="M1143" s="779"/>
    </row>
    <row r="1144" spans="8:13" ht="18" customHeight="1">
      <c r="H1144" s="779"/>
      <c r="I1144" s="779"/>
      <c r="J1144" s="779"/>
      <c r="K1144" s="779"/>
      <c r="L1144" s="779"/>
      <c r="M1144" s="779"/>
    </row>
    <row r="1145" spans="8:13" ht="18" customHeight="1">
      <c r="H1145" s="779"/>
      <c r="I1145" s="779"/>
      <c r="J1145" s="779"/>
      <c r="K1145" s="779"/>
      <c r="L1145" s="779"/>
      <c r="M1145" s="779"/>
    </row>
    <row r="1146" spans="8:13" ht="18" customHeight="1">
      <c r="H1146" s="779"/>
      <c r="I1146" s="779"/>
      <c r="J1146" s="779"/>
      <c r="K1146" s="779"/>
      <c r="L1146" s="779"/>
      <c r="M1146" s="779"/>
    </row>
    <row r="1147" spans="8:13" ht="18" customHeight="1">
      <c r="H1147" s="779"/>
      <c r="I1147" s="779"/>
      <c r="J1147" s="779"/>
      <c r="K1147" s="779"/>
      <c r="L1147" s="779"/>
      <c r="M1147" s="779"/>
    </row>
    <row r="1148" spans="8:13" ht="18" customHeight="1">
      <c r="H1148" s="779"/>
      <c r="I1148" s="779"/>
      <c r="J1148" s="779"/>
      <c r="K1148" s="779"/>
      <c r="L1148" s="779"/>
      <c r="M1148" s="779"/>
    </row>
    <row r="1149" spans="8:13" ht="18" customHeight="1">
      <c r="H1149" s="779"/>
      <c r="I1149" s="779"/>
      <c r="J1149" s="779"/>
      <c r="K1149" s="779"/>
      <c r="L1149" s="779"/>
      <c r="M1149" s="779"/>
    </row>
    <row r="1150" spans="8:13" ht="18" customHeight="1">
      <c r="H1150" s="779"/>
      <c r="I1150" s="779"/>
      <c r="J1150" s="779"/>
      <c r="K1150" s="779"/>
      <c r="L1150" s="779"/>
      <c r="M1150" s="779"/>
    </row>
    <row r="1151" spans="8:13" ht="18" customHeight="1">
      <c r="H1151" s="779"/>
      <c r="I1151" s="779"/>
      <c r="J1151" s="779"/>
      <c r="K1151" s="779"/>
      <c r="L1151" s="779"/>
      <c r="M1151" s="779"/>
    </row>
    <row r="1152" spans="8:13" ht="18" customHeight="1">
      <c r="H1152" s="779"/>
      <c r="I1152" s="779"/>
      <c r="J1152" s="779"/>
      <c r="K1152" s="779"/>
      <c r="L1152" s="779"/>
      <c r="M1152" s="779"/>
    </row>
    <row r="1153" spans="8:13" ht="18" customHeight="1">
      <c r="H1153" s="779"/>
      <c r="I1153" s="779"/>
      <c r="J1153" s="779"/>
      <c r="K1153" s="779"/>
      <c r="L1153" s="779"/>
      <c r="M1153" s="779"/>
    </row>
    <row r="1154" spans="8:13" ht="18" customHeight="1">
      <c r="H1154" s="779"/>
      <c r="I1154" s="779"/>
      <c r="J1154" s="779"/>
      <c r="K1154" s="779"/>
      <c r="L1154" s="779"/>
      <c r="M1154" s="779"/>
    </row>
    <row r="1155" spans="8:13" ht="18" customHeight="1">
      <c r="H1155" s="779"/>
      <c r="I1155" s="779"/>
      <c r="J1155" s="779"/>
      <c r="K1155" s="779"/>
      <c r="L1155" s="779"/>
      <c r="M1155" s="779"/>
    </row>
    <row r="1156" spans="8:13" ht="18" customHeight="1">
      <c r="H1156" s="779"/>
      <c r="I1156" s="779"/>
      <c r="J1156" s="779"/>
      <c r="K1156" s="779"/>
      <c r="L1156" s="779"/>
      <c r="M1156" s="779"/>
    </row>
    <row r="1157" spans="8:13" ht="18" customHeight="1">
      <c r="H1157" s="779"/>
      <c r="I1157" s="779"/>
      <c r="J1157" s="779"/>
      <c r="K1157" s="779"/>
      <c r="L1157" s="779"/>
      <c r="M1157" s="779"/>
    </row>
    <row r="1158" spans="8:13" ht="18" customHeight="1">
      <c r="H1158" s="779"/>
      <c r="I1158" s="779"/>
      <c r="J1158" s="779"/>
      <c r="K1158" s="779"/>
      <c r="L1158" s="779"/>
      <c r="M1158" s="779"/>
    </row>
    <row r="1159" spans="8:13" ht="18" customHeight="1">
      <c r="H1159" s="779"/>
      <c r="I1159" s="779"/>
      <c r="J1159" s="779"/>
      <c r="K1159" s="779"/>
      <c r="L1159" s="779"/>
      <c r="M1159" s="779"/>
    </row>
    <row r="1160" spans="8:13" ht="18" customHeight="1">
      <c r="H1160" s="779"/>
      <c r="I1160" s="779"/>
      <c r="J1160" s="779"/>
      <c r="K1160" s="779"/>
      <c r="L1160" s="779"/>
      <c r="M1160" s="779"/>
    </row>
    <row r="1161" spans="8:13" ht="18" customHeight="1">
      <c r="H1161" s="779"/>
      <c r="I1161" s="779"/>
      <c r="J1161" s="779"/>
      <c r="K1161" s="779"/>
      <c r="L1161" s="779"/>
      <c r="M1161" s="779"/>
    </row>
    <row r="1162" spans="8:13" ht="18" customHeight="1">
      <c r="H1162" s="779"/>
      <c r="I1162" s="779"/>
      <c r="J1162" s="779"/>
      <c r="K1162" s="779"/>
      <c r="L1162" s="779"/>
      <c r="M1162" s="779"/>
    </row>
    <row r="1163" spans="8:13" ht="18" customHeight="1">
      <c r="H1163" s="779"/>
      <c r="I1163" s="779"/>
      <c r="J1163" s="779"/>
      <c r="K1163" s="779"/>
      <c r="L1163" s="779"/>
      <c r="M1163" s="779"/>
    </row>
    <row r="1164" spans="8:13" ht="18" customHeight="1">
      <c r="H1164" s="779"/>
      <c r="I1164" s="779"/>
      <c r="J1164" s="779"/>
      <c r="K1164" s="779"/>
      <c r="L1164" s="779"/>
      <c r="M1164" s="779"/>
    </row>
    <row r="1165" spans="8:13" ht="18" customHeight="1">
      <c r="H1165" s="779"/>
      <c r="I1165" s="779"/>
      <c r="J1165" s="779"/>
      <c r="K1165" s="779"/>
      <c r="L1165" s="779"/>
      <c r="M1165" s="779"/>
    </row>
    <row r="1166" spans="8:13" ht="18" customHeight="1">
      <c r="H1166" s="779"/>
      <c r="I1166" s="779"/>
      <c r="J1166" s="779"/>
      <c r="K1166" s="779"/>
      <c r="L1166" s="779"/>
      <c r="M1166" s="779"/>
    </row>
    <row r="1167" spans="8:13" ht="18" customHeight="1">
      <c r="H1167" s="779"/>
      <c r="I1167" s="779"/>
      <c r="J1167" s="779"/>
      <c r="K1167" s="779"/>
      <c r="L1167" s="779"/>
      <c r="M1167" s="779"/>
    </row>
    <row r="1168" spans="8:13" ht="18" customHeight="1">
      <c r="H1168" s="779"/>
      <c r="I1168" s="779"/>
      <c r="J1168" s="779"/>
      <c r="K1168" s="779"/>
      <c r="L1168" s="779"/>
      <c r="M1168" s="779"/>
    </row>
    <row r="1169" spans="8:13" ht="18" customHeight="1">
      <c r="H1169" s="779"/>
      <c r="I1169" s="779"/>
      <c r="J1169" s="779"/>
      <c r="K1169" s="779"/>
      <c r="L1169" s="779"/>
      <c r="M1169" s="779"/>
    </row>
    <row r="1170" spans="8:13" ht="18" customHeight="1">
      <c r="H1170" s="779"/>
      <c r="I1170" s="779"/>
      <c r="J1170" s="779"/>
      <c r="K1170" s="779"/>
      <c r="L1170" s="779"/>
      <c r="M1170" s="779"/>
    </row>
    <row r="1171" spans="8:13" ht="18" customHeight="1">
      <c r="H1171" s="779"/>
      <c r="I1171" s="779"/>
      <c r="J1171" s="779"/>
      <c r="K1171" s="779"/>
      <c r="L1171" s="779"/>
      <c r="M1171" s="779"/>
    </row>
    <row r="1172" spans="8:13" ht="18" customHeight="1">
      <c r="H1172" s="779"/>
      <c r="I1172" s="779"/>
      <c r="J1172" s="779"/>
      <c r="K1172" s="779"/>
      <c r="L1172" s="779"/>
      <c r="M1172" s="779"/>
    </row>
    <row r="1173" spans="8:13" ht="18" customHeight="1">
      <c r="H1173" s="779"/>
      <c r="I1173" s="779"/>
      <c r="J1173" s="779"/>
      <c r="K1173" s="779"/>
      <c r="L1173" s="779"/>
      <c r="M1173" s="779"/>
    </row>
    <row r="1174" spans="8:13" ht="18" customHeight="1">
      <c r="H1174" s="779"/>
      <c r="I1174" s="779"/>
      <c r="J1174" s="779"/>
      <c r="K1174" s="779"/>
      <c r="L1174" s="779"/>
      <c r="M1174" s="779"/>
    </row>
    <row r="1175" spans="8:13" ht="18" customHeight="1">
      <c r="H1175" s="779"/>
      <c r="I1175" s="779"/>
      <c r="J1175" s="779"/>
      <c r="K1175" s="779"/>
      <c r="L1175" s="779"/>
      <c r="M1175" s="779"/>
    </row>
    <row r="1176" spans="8:13" ht="18" customHeight="1">
      <c r="H1176" s="779"/>
      <c r="I1176" s="779"/>
      <c r="J1176" s="779"/>
      <c r="K1176" s="779"/>
      <c r="L1176" s="779"/>
      <c r="M1176" s="779"/>
    </row>
    <row r="1177" spans="8:13" ht="18" customHeight="1">
      <c r="H1177" s="779"/>
      <c r="I1177" s="779"/>
      <c r="J1177" s="779"/>
      <c r="K1177" s="779"/>
      <c r="L1177" s="779"/>
      <c r="M1177" s="779"/>
    </row>
    <row r="1178" spans="8:13" ht="18" customHeight="1">
      <c r="H1178" s="779"/>
      <c r="I1178" s="779"/>
      <c r="J1178" s="779"/>
      <c r="K1178" s="779"/>
      <c r="L1178" s="779"/>
      <c r="M1178" s="779"/>
    </row>
    <row r="1179" spans="8:13" ht="18" customHeight="1">
      <c r="H1179" s="779"/>
      <c r="I1179" s="779"/>
      <c r="J1179" s="779"/>
      <c r="K1179" s="779"/>
      <c r="L1179" s="779"/>
      <c r="M1179" s="779"/>
    </row>
    <row r="1180" spans="8:13" ht="18" customHeight="1">
      <c r="H1180" s="779"/>
      <c r="I1180" s="779"/>
      <c r="J1180" s="779"/>
      <c r="K1180" s="779"/>
      <c r="L1180" s="779"/>
      <c r="M1180" s="779"/>
    </row>
    <row r="1181" spans="8:13" ht="18" customHeight="1">
      <c r="H1181" s="779"/>
      <c r="I1181" s="779"/>
      <c r="J1181" s="779"/>
      <c r="K1181" s="779"/>
      <c r="L1181" s="779"/>
      <c r="M1181" s="779"/>
    </row>
    <row r="1182" spans="8:13" ht="18" customHeight="1">
      <c r="H1182" s="779"/>
      <c r="I1182" s="779"/>
      <c r="J1182" s="779"/>
      <c r="K1182" s="779"/>
      <c r="L1182" s="779"/>
      <c r="M1182" s="779"/>
    </row>
    <row r="1183" spans="8:13" ht="18" customHeight="1">
      <c r="H1183" s="779"/>
      <c r="I1183" s="779"/>
      <c r="J1183" s="779"/>
      <c r="K1183" s="779"/>
      <c r="L1183" s="779"/>
      <c r="M1183" s="779"/>
    </row>
    <row r="1184" spans="8:13" ht="18" customHeight="1">
      <c r="H1184" s="779"/>
      <c r="I1184" s="779"/>
      <c r="J1184" s="779"/>
      <c r="K1184" s="779"/>
      <c r="L1184" s="779"/>
      <c r="M1184" s="779"/>
    </row>
    <row r="1185" spans="8:13" ht="18" customHeight="1">
      <c r="H1185" s="779"/>
      <c r="I1185" s="779"/>
      <c r="J1185" s="779"/>
      <c r="K1185" s="779"/>
      <c r="L1185" s="779"/>
      <c r="M1185" s="779"/>
    </row>
    <row r="1186" spans="8:13" ht="18" customHeight="1">
      <c r="H1186" s="779"/>
      <c r="I1186" s="779"/>
      <c r="J1186" s="779"/>
      <c r="K1186" s="779"/>
      <c r="L1186" s="779"/>
      <c r="M1186" s="779"/>
    </row>
    <row r="1187" spans="8:13" ht="18" customHeight="1">
      <c r="H1187" s="779"/>
      <c r="I1187" s="779"/>
      <c r="J1187" s="779"/>
      <c r="K1187" s="779"/>
      <c r="L1187" s="779"/>
      <c r="M1187" s="779"/>
    </row>
    <row r="1188" spans="8:13" ht="18" customHeight="1">
      <c r="H1188" s="779"/>
      <c r="I1188" s="779"/>
      <c r="J1188" s="779"/>
      <c r="K1188" s="779"/>
      <c r="L1188" s="779"/>
      <c r="M1188" s="779"/>
    </row>
    <row r="1189" spans="8:13" ht="18" customHeight="1">
      <c r="H1189" s="779"/>
      <c r="I1189" s="779"/>
      <c r="J1189" s="779"/>
      <c r="K1189" s="779"/>
      <c r="L1189" s="779"/>
      <c r="M1189" s="779"/>
    </row>
    <row r="1190" spans="8:13" ht="18" customHeight="1">
      <c r="H1190" s="779"/>
      <c r="I1190" s="779"/>
      <c r="J1190" s="779"/>
      <c r="K1190" s="779"/>
      <c r="L1190" s="779"/>
      <c r="M1190" s="779"/>
    </row>
    <row r="1191" spans="8:13" ht="18" customHeight="1">
      <c r="H1191" s="779"/>
      <c r="I1191" s="779"/>
      <c r="J1191" s="779"/>
      <c r="K1191" s="779"/>
      <c r="L1191" s="779"/>
      <c r="M1191" s="779"/>
    </row>
    <row r="1192" spans="8:13" ht="18" customHeight="1">
      <c r="H1192" s="779"/>
      <c r="I1192" s="779"/>
      <c r="J1192" s="779"/>
      <c r="K1192" s="779"/>
      <c r="L1192" s="779"/>
      <c r="M1192" s="779"/>
    </row>
    <row r="1193" spans="8:13" ht="18" customHeight="1">
      <c r="H1193" s="779"/>
      <c r="I1193" s="779"/>
      <c r="J1193" s="779"/>
      <c r="K1193" s="779"/>
      <c r="L1193" s="779"/>
      <c r="M1193" s="779"/>
    </row>
    <row r="1194" spans="8:13" ht="18" customHeight="1">
      <c r="H1194" s="779"/>
      <c r="I1194" s="779"/>
      <c r="J1194" s="779"/>
      <c r="K1194" s="779"/>
      <c r="L1194" s="779"/>
      <c r="M1194" s="779"/>
    </row>
    <row r="1195" spans="8:13" ht="18" customHeight="1">
      <c r="H1195" s="779"/>
      <c r="I1195" s="779"/>
      <c r="J1195" s="779"/>
      <c r="K1195" s="779"/>
      <c r="L1195" s="779"/>
      <c r="M1195" s="779"/>
    </row>
    <row r="1196" spans="8:13" ht="18" customHeight="1">
      <c r="H1196" s="779"/>
      <c r="I1196" s="779"/>
      <c r="J1196" s="779"/>
      <c r="K1196" s="779"/>
      <c r="L1196" s="779"/>
      <c r="M1196" s="779"/>
    </row>
    <row r="1197" spans="8:13" ht="18" customHeight="1">
      <c r="H1197" s="779"/>
      <c r="I1197" s="779"/>
      <c r="J1197" s="779"/>
      <c r="K1197" s="779"/>
      <c r="L1197" s="779"/>
      <c r="M1197" s="779"/>
    </row>
    <row r="1198" spans="8:13" ht="18" customHeight="1">
      <c r="H1198" s="779"/>
      <c r="I1198" s="779"/>
      <c r="J1198" s="779"/>
      <c r="K1198" s="779"/>
      <c r="L1198" s="779"/>
      <c r="M1198" s="779"/>
    </row>
    <row r="1199" spans="8:13" ht="18" customHeight="1">
      <c r="H1199" s="779"/>
      <c r="I1199" s="779"/>
      <c r="J1199" s="779"/>
      <c r="K1199" s="779"/>
      <c r="L1199" s="779"/>
      <c r="M1199" s="779"/>
    </row>
    <row r="1200" spans="8:13" ht="18" customHeight="1">
      <c r="H1200" s="779"/>
      <c r="I1200" s="779"/>
      <c r="J1200" s="779"/>
      <c r="K1200" s="779"/>
      <c r="L1200" s="779"/>
      <c r="M1200" s="779"/>
    </row>
    <row r="1201" spans="8:13" ht="18" customHeight="1">
      <c r="H1201" s="779"/>
      <c r="I1201" s="779"/>
      <c r="J1201" s="779"/>
      <c r="K1201" s="779"/>
      <c r="L1201" s="779"/>
      <c r="M1201" s="779"/>
    </row>
    <row r="1202" spans="8:13" ht="18" customHeight="1">
      <c r="H1202" s="779"/>
      <c r="I1202" s="779"/>
      <c r="J1202" s="779"/>
      <c r="K1202" s="779"/>
      <c r="L1202" s="779"/>
      <c r="M1202" s="779"/>
    </row>
    <row r="1203" spans="8:13" ht="18" customHeight="1">
      <c r="H1203" s="779"/>
      <c r="I1203" s="779"/>
      <c r="J1203" s="779"/>
      <c r="K1203" s="779"/>
      <c r="L1203" s="779"/>
      <c r="M1203" s="779"/>
    </row>
    <row r="1204" spans="8:13" ht="18" customHeight="1">
      <c r="H1204" s="779"/>
      <c r="I1204" s="779"/>
      <c r="J1204" s="779"/>
      <c r="K1204" s="779"/>
      <c r="L1204" s="779"/>
      <c r="M1204" s="779"/>
    </row>
    <row r="1205" spans="8:13" ht="18" customHeight="1">
      <c r="H1205" s="779"/>
      <c r="I1205" s="779"/>
      <c r="J1205" s="779"/>
      <c r="K1205" s="779"/>
      <c r="L1205" s="779"/>
      <c r="M1205" s="779"/>
    </row>
    <row r="1206" spans="8:13" ht="18" customHeight="1">
      <c r="H1206" s="779"/>
      <c r="I1206" s="779"/>
      <c r="J1206" s="779"/>
      <c r="K1206" s="779"/>
      <c r="L1206" s="779"/>
      <c r="M1206" s="779"/>
    </row>
    <row r="1207" spans="8:13" ht="18" customHeight="1">
      <c r="H1207" s="779"/>
      <c r="I1207" s="779"/>
      <c r="J1207" s="779"/>
      <c r="K1207" s="779"/>
      <c r="L1207" s="779"/>
      <c r="M1207" s="779"/>
    </row>
    <row r="1208" spans="8:13" ht="18" customHeight="1">
      <c r="H1208" s="779"/>
      <c r="I1208" s="779"/>
      <c r="J1208" s="779"/>
      <c r="K1208" s="779"/>
      <c r="L1208" s="779"/>
      <c r="M1208" s="779"/>
    </row>
    <row r="1209" spans="8:13" ht="18" customHeight="1">
      <c r="H1209" s="779"/>
      <c r="I1209" s="779"/>
      <c r="J1209" s="779"/>
      <c r="K1209" s="779"/>
      <c r="L1209" s="779"/>
      <c r="M1209" s="779"/>
    </row>
    <row r="1210" spans="8:13" ht="18" customHeight="1">
      <c r="H1210" s="779"/>
      <c r="I1210" s="779"/>
      <c r="J1210" s="779"/>
      <c r="K1210" s="779"/>
      <c r="L1210" s="779"/>
      <c r="M1210" s="779"/>
    </row>
    <row r="1211" spans="8:13" ht="18" customHeight="1">
      <c r="H1211" s="779"/>
      <c r="I1211" s="779"/>
      <c r="J1211" s="779"/>
      <c r="K1211" s="779"/>
      <c r="L1211" s="779"/>
      <c r="M1211" s="779"/>
    </row>
    <row r="1212" spans="8:13" ht="18" customHeight="1">
      <c r="H1212" s="779"/>
      <c r="I1212" s="779"/>
      <c r="J1212" s="779"/>
      <c r="K1212" s="779"/>
      <c r="L1212" s="779"/>
      <c r="M1212" s="779"/>
    </row>
    <row r="1213" spans="8:13" ht="18" customHeight="1">
      <c r="H1213" s="779"/>
      <c r="I1213" s="779"/>
      <c r="J1213" s="779"/>
      <c r="K1213" s="779"/>
      <c r="L1213" s="779"/>
      <c r="M1213" s="779"/>
    </row>
    <row r="1214" spans="8:13" ht="18" customHeight="1">
      <c r="H1214" s="779"/>
      <c r="I1214" s="779"/>
      <c r="J1214" s="779"/>
      <c r="K1214" s="779"/>
      <c r="L1214" s="779"/>
      <c r="M1214" s="779"/>
    </row>
    <row r="1215" spans="8:13" ht="18" customHeight="1">
      <c r="H1215" s="779"/>
      <c r="I1215" s="779"/>
      <c r="J1215" s="779"/>
      <c r="K1215" s="779"/>
      <c r="L1215" s="779"/>
      <c r="M1215" s="779"/>
    </row>
    <row r="1216" spans="8:13" ht="18" customHeight="1">
      <c r="H1216" s="779"/>
      <c r="I1216" s="779"/>
      <c r="J1216" s="779"/>
      <c r="K1216" s="779"/>
      <c r="L1216" s="779"/>
      <c r="M1216" s="779"/>
    </row>
    <row r="1217" spans="8:13" ht="18" customHeight="1">
      <c r="H1217" s="779"/>
      <c r="I1217" s="779"/>
      <c r="J1217" s="779"/>
      <c r="K1217" s="779"/>
      <c r="L1217" s="779"/>
      <c r="M1217" s="779"/>
    </row>
    <row r="1218" spans="8:13" ht="18" customHeight="1">
      <c r="H1218" s="779"/>
      <c r="I1218" s="779"/>
      <c r="J1218" s="779"/>
      <c r="K1218" s="779"/>
      <c r="L1218" s="779"/>
      <c r="M1218" s="779"/>
    </row>
    <row r="1219" spans="8:13" ht="18" customHeight="1">
      <c r="H1219" s="779"/>
      <c r="I1219" s="779"/>
      <c r="J1219" s="779"/>
      <c r="K1219" s="779"/>
      <c r="L1219" s="779"/>
      <c r="M1219" s="779"/>
    </row>
    <row r="1220" spans="8:13" ht="18" customHeight="1">
      <c r="H1220" s="779"/>
      <c r="I1220" s="779"/>
      <c r="J1220" s="779"/>
      <c r="K1220" s="779"/>
      <c r="L1220" s="779"/>
      <c r="M1220" s="779"/>
    </row>
    <row r="1221" spans="8:13" ht="18" customHeight="1">
      <c r="H1221" s="779"/>
      <c r="I1221" s="779"/>
      <c r="J1221" s="779"/>
      <c r="K1221" s="779"/>
      <c r="L1221" s="779"/>
      <c r="M1221" s="779"/>
    </row>
    <row r="1222" spans="8:13" ht="18" customHeight="1">
      <c r="H1222" s="779"/>
      <c r="I1222" s="779"/>
      <c r="J1222" s="779"/>
      <c r="K1222" s="779"/>
      <c r="L1222" s="779"/>
      <c r="M1222" s="779"/>
    </row>
    <row r="1223" spans="8:13" ht="18" customHeight="1">
      <c r="H1223" s="779"/>
      <c r="I1223" s="779"/>
      <c r="J1223" s="779"/>
      <c r="K1223" s="779"/>
      <c r="L1223" s="779"/>
      <c r="M1223" s="779"/>
    </row>
    <row r="1224" spans="8:13" ht="18" customHeight="1">
      <c r="H1224" s="779"/>
      <c r="I1224" s="779"/>
      <c r="J1224" s="779"/>
      <c r="K1224" s="779"/>
      <c r="L1224" s="779"/>
      <c r="M1224" s="779"/>
    </row>
    <row r="1225" spans="8:13" ht="18" customHeight="1">
      <c r="H1225" s="779"/>
      <c r="I1225" s="779"/>
      <c r="J1225" s="779"/>
      <c r="K1225" s="779"/>
      <c r="L1225" s="779"/>
      <c r="M1225" s="779"/>
    </row>
    <row r="1226" spans="8:13" ht="18" customHeight="1">
      <c r="H1226" s="779"/>
      <c r="I1226" s="779"/>
      <c r="J1226" s="779"/>
      <c r="K1226" s="779"/>
      <c r="L1226" s="779"/>
      <c r="M1226" s="779"/>
    </row>
    <row r="1227" spans="8:13" ht="18" customHeight="1">
      <c r="H1227" s="779"/>
      <c r="I1227" s="779"/>
      <c r="J1227" s="779"/>
      <c r="K1227" s="779"/>
      <c r="L1227" s="779"/>
      <c r="M1227" s="779"/>
    </row>
    <row r="1228" spans="8:13" ht="18" customHeight="1">
      <c r="H1228" s="779"/>
      <c r="I1228" s="779"/>
      <c r="J1228" s="779"/>
      <c r="K1228" s="779"/>
      <c r="L1228" s="779"/>
      <c r="M1228" s="779"/>
    </row>
    <row r="1229" spans="8:13" ht="18" customHeight="1">
      <c r="H1229" s="779"/>
      <c r="I1229" s="779"/>
      <c r="J1229" s="779"/>
      <c r="K1229" s="779"/>
      <c r="L1229" s="779"/>
      <c r="M1229" s="779"/>
    </row>
    <row r="1230" spans="8:13" ht="18" customHeight="1">
      <c r="H1230" s="779"/>
      <c r="I1230" s="779"/>
      <c r="J1230" s="779"/>
      <c r="K1230" s="779"/>
      <c r="L1230" s="779"/>
      <c r="M1230" s="779"/>
    </row>
    <row r="1231" spans="8:13" ht="18" customHeight="1">
      <c r="H1231" s="779"/>
      <c r="I1231" s="779"/>
      <c r="J1231" s="779"/>
      <c r="K1231" s="779"/>
      <c r="L1231" s="779"/>
      <c r="M1231" s="779"/>
    </row>
    <row r="1232" spans="8:13" ht="18" customHeight="1">
      <c r="H1232" s="779"/>
      <c r="I1232" s="779"/>
      <c r="J1232" s="779"/>
      <c r="K1232" s="779"/>
      <c r="L1232" s="779"/>
      <c r="M1232" s="779"/>
    </row>
    <row r="1233" spans="8:13" ht="18" customHeight="1">
      <c r="H1233" s="779"/>
      <c r="I1233" s="779"/>
      <c r="J1233" s="779"/>
      <c r="K1233" s="779"/>
      <c r="L1233" s="779"/>
      <c r="M1233" s="779"/>
    </row>
    <row r="1234" spans="8:13" ht="18" customHeight="1">
      <c r="H1234" s="779"/>
      <c r="I1234" s="779"/>
      <c r="J1234" s="779"/>
      <c r="K1234" s="779"/>
      <c r="L1234" s="779"/>
      <c r="M1234" s="779"/>
    </row>
    <row r="1235" spans="8:13" ht="18" customHeight="1">
      <c r="H1235" s="779"/>
      <c r="I1235" s="779"/>
      <c r="J1235" s="779"/>
      <c r="K1235" s="779"/>
      <c r="L1235" s="779"/>
      <c r="M1235" s="779"/>
    </row>
    <row r="1236" spans="8:13" ht="18" customHeight="1">
      <c r="H1236" s="779"/>
      <c r="I1236" s="779"/>
      <c r="J1236" s="779"/>
      <c r="K1236" s="779"/>
      <c r="L1236" s="779"/>
      <c r="M1236" s="779"/>
    </row>
    <row r="1237" spans="8:13" ht="18" customHeight="1">
      <c r="H1237" s="779"/>
      <c r="I1237" s="779"/>
      <c r="J1237" s="779"/>
      <c r="K1237" s="779"/>
      <c r="L1237" s="779"/>
      <c r="M1237" s="779"/>
    </row>
    <row r="1238" spans="8:13" ht="18" customHeight="1">
      <c r="H1238" s="779"/>
      <c r="I1238" s="779"/>
      <c r="J1238" s="779"/>
      <c r="K1238" s="779"/>
      <c r="L1238" s="779"/>
      <c r="M1238" s="779"/>
    </row>
    <row r="1239" spans="8:13" ht="18" customHeight="1">
      <c r="H1239" s="779"/>
      <c r="I1239" s="779"/>
      <c r="J1239" s="779"/>
      <c r="K1239" s="779"/>
      <c r="L1239" s="779"/>
      <c r="M1239" s="779"/>
    </row>
    <row r="1240" spans="8:13" ht="18" customHeight="1">
      <c r="H1240" s="779"/>
      <c r="I1240" s="779"/>
      <c r="J1240" s="779"/>
      <c r="K1240" s="779"/>
      <c r="L1240" s="779"/>
      <c r="M1240" s="779"/>
    </row>
    <row r="1241" spans="8:13" ht="18" customHeight="1">
      <c r="H1241" s="779"/>
      <c r="I1241" s="779"/>
      <c r="J1241" s="779"/>
      <c r="K1241" s="779"/>
      <c r="L1241" s="779"/>
      <c r="M1241" s="779"/>
    </row>
    <row r="1242" spans="8:13" ht="18" customHeight="1">
      <c r="H1242" s="779"/>
      <c r="I1242" s="779"/>
      <c r="J1242" s="779"/>
      <c r="K1242" s="779"/>
      <c r="L1242" s="779"/>
      <c r="M1242" s="779"/>
    </row>
    <row r="1243" spans="8:13" ht="18" customHeight="1">
      <c r="H1243" s="779"/>
      <c r="I1243" s="779"/>
      <c r="J1243" s="779"/>
      <c r="K1243" s="779"/>
      <c r="L1243" s="779"/>
      <c r="M1243" s="779"/>
    </row>
    <row r="1244" spans="8:13" ht="18" customHeight="1">
      <c r="H1244" s="779"/>
      <c r="I1244" s="779"/>
      <c r="J1244" s="779"/>
      <c r="K1244" s="779"/>
      <c r="L1244" s="779"/>
      <c r="M1244" s="779"/>
    </row>
    <row r="1245" spans="8:13" ht="18" customHeight="1">
      <c r="H1245" s="779"/>
      <c r="I1245" s="779"/>
      <c r="J1245" s="779"/>
      <c r="K1245" s="779"/>
      <c r="L1245" s="779"/>
      <c r="M1245" s="779"/>
    </row>
    <row r="1246" spans="8:13" ht="18" customHeight="1">
      <c r="H1246" s="779"/>
      <c r="I1246" s="779"/>
      <c r="J1246" s="779"/>
      <c r="K1246" s="779"/>
      <c r="L1246" s="779"/>
      <c r="M1246" s="779"/>
    </row>
    <row r="1247" spans="8:13" ht="18" customHeight="1">
      <c r="H1247" s="779"/>
      <c r="I1247" s="779"/>
      <c r="J1247" s="779"/>
      <c r="K1247" s="779"/>
      <c r="L1247" s="779"/>
      <c r="M1247" s="779"/>
    </row>
    <row r="1248" spans="8:13" ht="18" customHeight="1">
      <c r="H1248" s="779"/>
      <c r="I1248" s="779"/>
      <c r="J1248" s="779"/>
      <c r="K1248" s="779"/>
      <c r="L1248" s="779"/>
      <c r="M1248" s="779"/>
    </row>
    <row r="1249" spans="8:13" ht="18" customHeight="1">
      <c r="H1249" s="779"/>
      <c r="I1249" s="779"/>
      <c r="J1249" s="779"/>
      <c r="K1249" s="779"/>
      <c r="L1249" s="779"/>
      <c r="M1249" s="779"/>
    </row>
    <row r="1250" spans="8:13" ht="18" customHeight="1">
      <c r="H1250" s="779"/>
      <c r="I1250" s="779"/>
      <c r="J1250" s="779"/>
      <c r="K1250" s="779"/>
      <c r="L1250" s="779"/>
      <c r="M1250" s="779"/>
    </row>
    <row r="1251" spans="8:13" ht="18" customHeight="1">
      <c r="H1251" s="779"/>
      <c r="I1251" s="779"/>
      <c r="J1251" s="779"/>
      <c r="K1251" s="779"/>
      <c r="L1251" s="779"/>
      <c r="M1251" s="779"/>
    </row>
    <row r="1252" spans="8:13" ht="18" customHeight="1">
      <c r="H1252" s="779"/>
      <c r="I1252" s="779"/>
      <c r="J1252" s="779"/>
      <c r="K1252" s="779"/>
      <c r="L1252" s="779"/>
      <c r="M1252" s="779"/>
    </row>
    <row r="1253" spans="8:13" ht="18" customHeight="1">
      <c r="H1253" s="779"/>
      <c r="I1253" s="779"/>
      <c r="J1253" s="779"/>
      <c r="K1253" s="779"/>
      <c r="L1253" s="779"/>
      <c r="M1253" s="779"/>
    </row>
    <row r="1254" spans="8:13" ht="18" customHeight="1">
      <c r="H1254" s="779"/>
      <c r="I1254" s="779"/>
      <c r="J1254" s="779"/>
      <c r="K1254" s="779"/>
      <c r="L1254" s="779"/>
      <c r="M1254" s="779"/>
    </row>
    <row r="1255" spans="8:13" ht="18" customHeight="1">
      <c r="H1255" s="779"/>
      <c r="I1255" s="779"/>
      <c r="J1255" s="779"/>
      <c r="K1255" s="779"/>
      <c r="L1255" s="779"/>
      <c r="M1255" s="779"/>
    </row>
    <row r="1256" spans="8:13" ht="18" customHeight="1">
      <c r="H1256" s="779"/>
      <c r="I1256" s="779"/>
      <c r="J1256" s="779"/>
      <c r="K1256" s="779"/>
      <c r="L1256" s="779"/>
      <c r="M1256" s="779"/>
    </row>
    <row r="1257" spans="8:13" ht="18" customHeight="1">
      <c r="H1257" s="779"/>
      <c r="I1257" s="779"/>
      <c r="J1257" s="779"/>
      <c r="K1257" s="779"/>
      <c r="L1257" s="779"/>
      <c r="M1257" s="779"/>
    </row>
    <row r="1258" spans="8:13" ht="18" customHeight="1">
      <c r="H1258" s="779"/>
      <c r="I1258" s="779"/>
      <c r="J1258" s="779"/>
      <c r="K1258" s="779"/>
      <c r="L1258" s="779"/>
      <c r="M1258" s="779"/>
    </row>
    <row r="1259" spans="8:13" ht="18" customHeight="1">
      <c r="H1259" s="779"/>
      <c r="I1259" s="779"/>
      <c r="J1259" s="779"/>
      <c r="K1259" s="779"/>
      <c r="L1259" s="779"/>
      <c r="M1259" s="779"/>
    </row>
    <row r="1260" spans="8:13" ht="18" customHeight="1">
      <c r="H1260" s="779"/>
      <c r="I1260" s="779"/>
      <c r="J1260" s="779"/>
      <c r="K1260" s="779"/>
      <c r="L1260" s="779"/>
      <c r="M1260" s="779"/>
    </row>
    <row r="1261" spans="8:13" ht="18" customHeight="1">
      <c r="H1261" s="779"/>
      <c r="I1261" s="779"/>
      <c r="J1261" s="779"/>
      <c r="K1261" s="779"/>
      <c r="L1261" s="779"/>
      <c r="M1261" s="779"/>
    </row>
    <row r="1262" spans="8:13" ht="18" customHeight="1">
      <c r="H1262" s="779"/>
      <c r="I1262" s="779"/>
      <c r="J1262" s="779"/>
      <c r="K1262" s="779"/>
      <c r="L1262" s="779"/>
      <c r="M1262" s="779"/>
    </row>
    <row r="1263" spans="8:13" ht="18" customHeight="1">
      <c r="H1263" s="779"/>
      <c r="I1263" s="779"/>
      <c r="J1263" s="779"/>
      <c r="K1263" s="779"/>
      <c r="L1263" s="779"/>
      <c r="M1263" s="779"/>
    </row>
    <row r="1264" spans="8:13" ht="18" customHeight="1">
      <c r="H1264" s="779"/>
      <c r="I1264" s="779"/>
      <c r="J1264" s="779"/>
      <c r="K1264" s="779"/>
      <c r="L1264" s="779"/>
      <c r="M1264" s="779"/>
    </row>
    <row r="1265" spans="8:13" ht="18" customHeight="1">
      <c r="H1265" s="779"/>
      <c r="I1265" s="779"/>
      <c r="J1265" s="779"/>
      <c r="K1265" s="779"/>
      <c r="L1265" s="779"/>
      <c r="M1265" s="779"/>
    </row>
    <row r="1266" spans="8:13" ht="18" customHeight="1">
      <c r="H1266" s="779"/>
      <c r="I1266" s="779"/>
      <c r="J1266" s="779"/>
      <c r="K1266" s="779"/>
      <c r="L1266" s="779"/>
      <c r="M1266" s="779"/>
    </row>
    <row r="1267" spans="8:13" ht="18" customHeight="1">
      <c r="H1267" s="779"/>
      <c r="I1267" s="779"/>
      <c r="J1267" s="779"/>
      <c r="K1267" s="779"/>
      <c r="L1267" s="779"/>
      <c r="M1267" s="779"/>
    </row>
    <row r="1268" spans="8:13" ht="18" customHeight="1">
      <c r="H1268" s="779"/>
      <c r="I1268" s="779"/>
      <c r="J1268" s="779"/>
      <c r="K1268" s="779"/>
      <c r="L1268" s="779"/>
      <c r="M1268" s="779"/>
    </row>
    <row r="1269" spans="8:13" ht="18" customHeight="1">
      <c r="H1269" s="779"/>
      <c r="I1269" s="779"/>
      <c r="J1269" s="779"/>
      <c r="K1269" s="779"/>
      <c r="L1269" s="779"/>
      <c r="M1269" s="779"/>
    </row>
    <row r="1270" spans="8:13" ht="18" customHeight="1">
      <c r="H1270" s="779"/>
      <c r="I1270" s="779"/>
      <c r="J1270" s="779"/>
      <c r="K1270" s="779"/>
      <c r="L1270" s="779"/>
      <c r="M1270" s="779"/>
    </row>
    <row r="1271" spans="8:13" ht="18" customHeight="1">
      <c r="H1271" s="779"/>
      <c r="I1271" s="779"/>
      <c r="J1271" s="779"/>
      <c r="K1271" s="779"/>
      <c r="L1271" s="779"/>
      <c r="M1271" s="779"/>
    </row>
    <row r="1272" spans="8:13" ht="18" customHeight="1">
      <c r="H1272" s="779"/>
      <c r="I1272" s="779"/>
      <c r="J1272" s="779"/>
      <c r="K1272" s="779"/>
      <c r="L1272" s="779"/>
      <c r="M1272" s="779"/>
    </row>
    <row r="1273" spans="8:13" ht="18" customHeight="1">
      <c r="H1273" s="779"/>
      <c r="I1273" s="779"/>
      <c r="J1273" s="779"/>
      <c r="K1273" s="779"/>
      <c r="L1273" s="779"/>
      <c r="M1273" s="779"/>
    </row>
    <row r="1274" spans="8:13" ht="18" customHeight="1">
      <c r="H1274" s="779"/>
      <c r="I1274" s="779"/>
      <c r="J1274" s="779"/>
      <c r="K1274" s="779"/>
      <c r="L1274" s="779"/>
      <c r="M1274" s="779"/>
    </row>
    <row r="1275" spans="8:13" ht="18" customHeight="1">
      <c r="H1275" s="779"/>
      <c r="I1275" s="779"/>
      <c r="J1275" s="779"/>
      <c r="K1275" s="779"/>
      <c r="L1275" s="779"/>
      <c r="M1275" s="779"/>
    </row>
    <row r="1276" spans="8:13" ht="18" customHeight="1">
      <c r="H1276" s="779"/>
      <c r="I1276" s="779"/>
      <c r="J1276" s="779"/>
      <c r="K1276" s="779"/>
      <c r="L1276" s="779"/>
      <c r="M1276" s="779"/>
    </row>
    <row r="1277" spans="8:13" ht="18" customHeight="1">
      <c r="H1277" s="779"/>
      <c r="I1277" s="779"/>
      <c r="J1277" s="779"/>
      <c r="K1277" s="779"/>
      <c r="L1277" s="779"/>
      <c r="M1277" s="779"/>
    </row>
    <row r="1278" spans="8:13" ht="18" customHeight="1">
      <c r="H1278" s="779"/>
      <c r="I1278" s="779"/>
      <c r="J1278" s="779"/>
      <c r="K1278" s="779"/>
      <c r="L1278" s="779"/>
      <c r="M1278" s="779"/>
    </row>
    <row r="1279" spans="8:13" ht="18" customHeight="1">
      <c r="H1279" s="779"/>
      <c r="I1279" s="779"/>
      <c r="J1279" s="779"/>
      <c r="K1279" s="779"/>
      <c r="L1279" s="779"/>
      <c r="M1279" s="779"/>
    </row>
    <row r="1280" spans="8:13" ht="18" customHeight="1">
      <c r="H1280" s="779"/>
      <c r="I1280" s="779"/>
      <c r="J1280" s="779"/>
      <c r="K1280" s="779"/>
      <c r="L1280" s="779"/>
      <c r="M1280" s="779"/>
    </row>
    <row r="1281" spans="8:13" ht="18" customHeight="1">
      <c r="H1281" s="779"/>
      <c r="I1281" s="779"/>
      <c r="J1281" s="779"/>
      <c r="K1281" s="779"/>
      <c r="L1281" s="779"/>
      <c r="M1281" s="779"/>
    </row>
    <row r="1282" spans="8:13" ht="18" customHeight="1">
      <c r="H1282" s="779"/>
      <c r="I1282" s="779"/>
      <c r="J1282" s="779"/>
      <c r="K1282" s="779"/>
      <c r="L1282" s="779"/>
      <c r="M1282" s="779"/>
    </row>
    <row r="1283" spans="8:13" ht="18" customHeight="1">
      <c r="H1283" s="779"/>
      <c r="I1283" s="779"/>
      <c r="J1283" s="779"/>
      <c r="K1283" s="779"/>
      <c r="L1283" s="779"/>
      <c r="M1283" s="779"/>
    </row>
    <row r="1284" spans="8:13" ht="18" customHeight="1">
      <c r="H1284" s="779"/>
      <c r="I1284" s="779"/>
      <c r="J1284" s="779"/>
      <c r="K1284" s="779"/>
      <c r="L1284" s="779"/>
      <c r="M1284" s="779"/>
    </row>
    <row r="1285" spans="8:13" ht="18" customHeight="1">
      <c r="H1285" s="779"/>
      <c r="I1285" s="779"/>
      <c r="J1285" s="779"/>
      <c r="K1285" s="779"/>
      <c r="L1285" s="779"/>
      <c r="M1285" s="779"/>
    </row>
    <row r="1286" spans="8:13" ht="18" customHeight="1">
      <c r="H1286" s="779"/>
      <c r="I1286" s="779"/>
      <c r="J1286" s="779"/>
      <c r="K1286" s="779"/>
      <c r="L1286" s="779"/>
      <c r="M1286" s="779"/>
    </row>
    <row r="1287" spans="8:13" ht="18" customHeight="1">
      <c r="H1287" s="779"/>
      <c r="I1287" s="779"/>
      <c r="J1287" s="779"/>
      <c r="K1287" s="779"/>
      <c r="L1287" s="779"/>
      <c r="M1287" s="779"/>
    </row>
    <row r="1288" spans="8:13" ht="18" customHeight="1">
      <c r="H1288" s="779"/>
      <c r="I1288" s="779"/>
      <c r="J1288" s="779"/>
      <c r="K1288" s="779"/>
      <c r="L1288" s="779"/>
      <c r="M1288" s="779"/>
    </row>
    <row r="1289" spans="8:13" ht="18" customHeight="1">
      <c r="H1289" s="779"/>
      <c r="I1289" s="779"/>
      <c r="J1289" s="779"/>
      <c r="K1289" s="779"/>
      <c r="L1289" s="779"/>
      <c r="M1289" s="779"/>
    </row>
    <row r="1290" spans="8:13" ht="18" customHeight="1">
      <c r="H1290" s="779"/>
      <c r="I1290" s="779"/>
      <c r="J1290" s="779"/>
      <c r="K1290" s="779"/>
      <c r="L1290" s="779"/>
      <c r="M1290" s="779"/>
    </row>
    <row r="1291" spans="8:13" ht="18" customHeight="1">
      <c r="H1291" s="779"/>
      <c r="I1291" s="779"/>
      <c r="J1291" s="779"/>
      <c r="K1291" s="779"/>
      <c r="L1291" s="779"/>
      <c r="M1291" s="779"/>
    </row>
    <row r="1292" spans="8:13" ht="18" customHeight="1">
      <c r="H1292" s="779"/>
      <c r="I1292" s="779"/>
      <c r="J1292" s="779"/>
      <c r="K1292" s="779"/>
      <c r="L1292" s="779"/>
      <c r="M1292" s="779"/>
    </row>
    <row r="1293" spans="8:13" ht="18" customHeight="1">
      <c r="H1293" s="779"/>
      <c r="I1293" s="779"/>
      <c r="J1293" s="779"/>
      <c r="K1293" s="779"/>
      <c r="L1293" s="779"/>
      <c r="M1293" s="779"/>
    </row>
    <row r="1294" spans="8:13" ht="18" customHeight="1">
      <c r="H1294" s="779"/>
      <c r="I1294" s="779"/>
      <c r="J1294" s="779"/>
      <c r="K1294" s="779"/>
      <c r="L1294" s="779"/>
      <c r="M1294" s="779"/>
    </row>
    <row r="1295" spans="8:13" ht="18" customHeight="1">
      <c r="H1295" s="779"/>
      <c r="I1295" s="779"/>
      <c r="J1295" s="779"/>
      <c r="K1295" s="779"/>
      <c r="L1295" s="779"/>
      <c r="M1295" s="779"/>
    </row>
    <row r="1296" spans="8:13" ht="18" customHeight="1">
      <c r="H1296" s="779"/>
      <c r="I1296" s="779"/>
      <c r="J1296" s="779"/>
      <c r="K1296" s="779"/>
      <c r="L1296" s="779"/>
      <c r="M1296" s="779"/>
    </row>
    <row r="1297" spans="8:13" ht="18" customHeight="1">
      <c r="H1297" s="779"/>
      <c r="I1297" s="779"/>
      <c r="J1297" s="779"/>
      <c r="K1297" s="779"/>
      <c r="L1297" s="779"/>
      <c r="M1297" s="779"/>
    </row>
    <row r="1298" spans="8:13" ht="18" customHeight="1">
      <c r="H1298" s="779"/>
      <c r="I1298" s="779"/>
      <c r="J1298" s="779"/>
      <c r="K1298" s="779"/>
      <c r="L1298" s="779"/>
      <c r="M1298" s="779"/>
    </row>
    <row r="1299" spans="8:13" ht="18" customHeight="1">
      <c r="H1299" s="779"/>
      <c r="I1299" s="779"/>
      <c r="J1299" s="779"/>
      <c r="K1299" s="779"/>
      <c r="L1299" s="779"/>
      <c r="M1299" s="779"/>
    </row>
    <row r="1300" spans="8:13" ht="18" customHeight="1">
      <c r="H1300" s="779"/>
      <c r="I1300" s="779"/>
      <c r="J1300" s="779"/>
      <c r="K1300" s="779"/>
      <c r="L1300" s="779"/>
      <c r="M1300" s="779"/>
    </row>
    <row r="1301" spans="8:13" ht="18" customHeight="1">
      <c r="H1301" s="779"/>
      <c r="I1301" s="779"/>
      <c r="J1301" s="779"/>
      <c r="K1301" s="779"/>
      <c r="L1301" s="779"/>
      <c r="M1301" s="779"/>
    </row>
    <row r="1302" spans="8:13" ht="18" customHeight="1">
      <c r="H1302" s="779"/>
      <c r="I1302" s="779"/>
      <c r="J1302" s="779"/>
      <c r="K1302" s="779"/>
      <c r="L1302" s="779"/>
      <c r="M1302" s="779"/>
    </row>
    <row r="1303" spans="8:13" ht="18" customHeight="1">
      <c r="H1303" s="779"/>
      <c r="I1303" s="779"/>
      <c r="J1303" s="779"/>
      <c r="K1303" s="779"/>
      <c r="L1303" s="779"/>
      <c r="M1303" s="779"/>
    </row>
    <row r="1304" spans="8:13" ht="18" customHeight="1">
      <c r="H1304" s="779"/>
      <c r="I1304" s="779"/>
      <c r="J1304" s="779"/>
      <c r="K1304" s="779"/>
      <c r="L1304" s="779"/>
      <c r="M1304" s="779"/>
    </row>
    <row r="1305" spans="8:13" ht="18" customHeight="1">
      <c r="H1305" s="779"/>
      <c r="I1305" s="779"/>
      <c r="J1305" s="779"/>
      <c r="K1305" s="779"/>
      <c r="L1305" s="779"/>
      <c r="M1305" s="779"/>
    </row>
    <row r="1306" spans="8:13" ht="18" customHeight="1">
      <c r="H1306" s="779"/>
      <c r="I1306" s="779"/>
      <c r="J1306" s="779"/>
      <c r="K1306" s="779"/>
      <c r="L1306" s="779"/>
      <c r="M1306" s="779"/>
    </row>
    <row r="1307" spans="8:13" ht="18" customHeight="1">
      <c r="H1307" s="779"/>
      <c r="I1307" s="779"/>
      <c r="J1307" s="779"/>
      <c r="K1307" s="779"/>
      <c r="L1307" s="779"/>
      <c r="M1307" s="779"/>
    </row>
    <row r="1308" spans="8:13" ht="18" customHeight="1">
      <c r="H1308" s="779"/>
      <c r="I1308" s="779"/>
      <c r="J1308" s="779"/>
      <c r="K1308" s="779"/>
      <c r="L1308" s="779"/>
      <c r="M1308" s="779"/>
    </row>
    <row r="1309" spans="8:13" ht="18" customHeight="1">
      <c r="H1309" s="779"/>
      <c r="I1309" s="779"/>
      <c r="J1309" s="779"/>
      <c r="K1309" s="779"/>
      <c r="L1309" s="779"/>
      <c r="M1309" s="779"/>
    </row>
    <row r="1310" spans="8:13" ht="18" customHeight="1">
      <c r="H1310" s="779"/>
      <c r="I1310" s="779"/>
      <c r="J1310" s="779"/>
      <c r="K1310" s="779"/>
      <c r="L1310" s="779"/>
      <c r="M1310" s="779"/>
    </row>
    <row r="1311" spans="8:13" ht="18" customHeight="1">
      <c r="H1311" s="779"/>
      <c r="I1311" s="779"/>
      <c r="J1311" s="779"/>
      <c r="K1311" s="779"/>
      <c r="L1311" s="779"/>
      <c r="M1311" s="779"/>
    </row>
    <row r="1312" spans="8:13" ht="18" customHeight="1">
      <c r="H1312" s="779"/>
      <c r="I1312" s="779"/>
      <c r="J1312" s="779"/>
      <c r="K1312" s="779"/>
      <c r="L1312" s="779"/>
      <c r="M1312" s="779"/>
    </row>
    <row r="1313" spans="8:13" ht="18" customHeight="1">
      <c r="H1313" s="779"/>
      <c r="I1313" s="779"/>
      <c r="J1313" s="779"/>
      <c r="K1313" s="779"/>
      <c r="L1313" s="779"/>
      <c r="M1313" s="779"/>
    </row>
    <row r="1314" spans="8:13" ht="18" customHeight="1">
      <c r="H1314" s="779"/>
      <c r="I1314" s="779"/>
      <c r="J1314" s="779"/>
      <c r="K1314" s="779"/>
      <c r="L1314" s="779"/>
      <c r="M1314" s="779"/>
    </row>
    <row r="1315" spans="8:13" ht="18" customHeight="1">
      <c r="H1315" s="779"/>
      <c r="I1315" s="779"/>
      <c r="J1315" s="779"/>
      <c r="K1315" s="779"/>
      <c r="L1315" s="779"/>
      <c r="M1315" s="779"/>
    </row>
    <row r="1316" spans="8:13" ht="18" customHeight="1">
      <c r="H1316" s="779"/>
      <c r="I1316" s="779"/>
      <c r="J1316" s="779"/>
      <c r="K1316" s="779"/>
      <c r="L1316" s="779"/>
      <c r="M1316" s="779"/>
    </row>
    <row r="1317" spans="8:13" ht="18" customHeight="1">
      <c r="H1317" s="779"/>
      <c r="I1317" s="779"/>
      <c r="J1317" s="779"/>
      <c r="K1317" s="779"/>
      <c r="L1317" s="779"/>
      <c r="M1317" s="779"/>
    </row>
    <row r="1318" spans="8:13" ht="18" customHeight="1">
      <c r="H1318" s="779"/>
      <c r="I1318" s="779"/>
      <c r="J1318" s="779"/>
      <c r="K1318" s="779"/>
      <c r="L1318" s="779"/>
      <c r="M1318" s="779"/>
    </row>
    <row r="1319" spans="8:13" ht="18" customHeight="1">
      <c r="H1319" s="779"/>
      <c r="I1319" s="779"/>
      <c r="J1319" s="779"/>
      <c r="K1319" s="779"/>
      <c r="L1319" s="779"/>
      <c r="M1319" s="779"/>
    </row>
    <row r="1320" spans="8:13" ht="18" customHeight="1">
      <c r="H1320" s="779"/>
      <c r="I1320" s="779"/>
      <c r="J1320" s="779"/>
      <c r="K1320" s="779"/>
      <c r="L1320" s="779"/>
      <c r="M1320" s="779"/>
    </row>
    <row r="1321" spans="8:13" ht="18" customHeight="1">
      <c r="H1321" s="779"/>
      <c r="I1321" s="779"/>
      <c r="J1321" s="779"/>
      <c r="K1321" s="779"/>
      <c r="L1321" s="779"/>
      <c r="M1321" s="779"/>
    </row>
    <row r="1322" spans="8:13" ht="18" customHeight="1">
      <c r="H1322" s="779"/>
      <c r="I1322" s="779"/>
      <c r="J1322" s="779"/>
      <c r="K1322" s="779"/>
      <c r="L1322" s="779"/>
      <c r="M1322" s="779"/>
    </row>
    <row r="1323" spans="8:13" ht="18" customHeight="1">
      <c r="H1323" s="779"/>
      <c r="I1323" s="779"/>
      <c r="J1323" s="779"/>
      <c r="K1323" s="779"/>
      <c r="L1323" s="779"/>
      <c r="M1323" s="779"/>
    </row>
    <row r="1324" spans="8:13" ht="18" customHeight="1">
      <c r="H1324" s="779"/>
      <c r="I1324" s="779"/>
      <c r="J1324" s="779"/>
      <c r="K1324" s="779"/>
      <c r="L1324" s="779"/>
      <c r="M1324" s="779"/>
    </row>
    <row r="1325" spans="8:13" ht="18" customHeight="1">
      <c r="H1325" s="779"/>
      <c r="I1325" s="779"/>
      <c r="J1325" s="779"/>
      <c r="K1325" s="779"/>
      <c r="L1325" s="779"/>
      <c r="M1325" s="779"/>
    </row>
    <row r="1326" spans="8:13" ht="18" customHeight="1">
      <c r="H1326" s="779"/>
      <c r="I1326" s="779"/>
      <c r="J1326" s="779"/>
      <c r="K1326" s="779"/>
      <c r="L1326" s="779"/>
      <c r="M1326" s="779"/>
    </row>
    <row r="1327" spans="8:13" ht="18" customHeight="1">
      <c r="H1327" s="779"/>
      <c r="I1327" s="779"/>
      <c r="J1327" s="779"/>
      <c r="K1327" s="779"/>
      <c r="L1327" s="779"/>
      <c r="M1327" s="779"/>
    </row>
    <row r="1328" spans="8:13" ht="18" customHeight="1">
      <c r="H1328" s="779"/>
      <c r="I1328" s="779"/>
      <c r="J1328" s="779"/>
      <c r="K1328" s="779"/>
      <c r="L1328" s="779"/>
      <c r="M1328" s="779"/>
    </row>
    <row r="1329" spans="8:13" ht="18" customHeight="1">
      <c r="H1329" s="779"/>
      <c r="I1329" s="779"/>
      <c r="J1329" s="779"/>
      <c r="K1329" s="779"/>
      <c r="L1329" s="779"/>
      <c r="M1329" s="779"/>
    </row>
    <row r="1330" spans="8:13" ht="18" customHeight="1">
      <c r="H1330" s="779"/>
      <c r="I1330" s="779"/>
      <c r="J1330" s="779"/>
      <c r="K1330" s="779"/>
      <c r="L1330" s="779"/>
      <c r="M1330" s="779"/>
    </row>
    <row r="1331" spans="8:13" ht="18" customHeight="1">
      <c r="H1331" s="779"/>
      <c r="I1331" s="779"/>
      <c r="J1331" s="779"/>
      <c r="K1331" s="779"/>
      <c r="L1331" s="779"/>
      <c r="M1331" s="779"/>
    </row>
    <row r="1332" spans="8:13" ht="18" customHeight="1">
      <c r="H1332" s="779"/>
      <c r="I1332" s="779"/>
      <c r="J1332" s="779"/>
      <c r="K1332" s="779"/>
      <c r="L1332" s="779"/>
      <c r="M1332" s="779"/>
    </row>
    <row r="1333" spans="8:13" ht="18" customHeight="1">
      <c r="H1333" s="779"/>
      <c r="I1333" s="779"/>
      <c r="J1333" s="779"/>
      <c r="K1333" s="779"/>
      <c r="L1333" s="779"/>
      <c r="M1333" s="779"/>
    </row>
    <row r="1334" spans="8:13" ht="18" customHeight="1">
      <c r="H1334" s="779"/>
      <c r="I1334" s="779"/>
      <c r="J1334" s="779"/>
      <c r="K1334" s="779"/>
      <c r="L1334" s="779"/>
      <c r="M1334" s="779"/>
    </row>
    <row r="1335" spans="8:13" ht="18" customHeight="1">
      <c r="H1335" s="779"/>
      <c r="I1335" s="779"/>
      <c r="J1335" s="779"/>
      <c r="K1335" s="779"/>
      <c r="L1335" s="779"/>
      <c r="M1335" s="779"/>
    </row>
    <row r="1336" spans="8:13" ht="18" customHeight="1">
      <c r="H1336" s="779"/>
      <c r="I1336" s="779"/>
      <c r="J1336" s="779"/>
      <c r="K1336" s="779"/>
      <c r="L1336" s="779"/>
      <c r="M1336" s="779"/>
    </row>
    <row r="1337" spans="8:13" ht="18" customHeight="1">
      <c r="H1337" s="779"/>
      <c r="I1337" s="779"/>
      <c r="J1337" s="779"/>
      <c r="K1337" s="779"/>
      <c r="L1337" s="779"/>
      <c r="M1337" s="779"/>
    </row>
    <row r="1338" spans="8:13" ht="18" customHeight="1">
      <c r="H1338" s="779"/>
      <c r="I1338" s="779"/>
      <c r="J1338" s="779"/>
      <c r="K1338" s="779"/>
      <c r="L1338" s="779"/>
      <c r="M1338" s="779"/>
    </row>
    <row r="1339" spans="8:13" ht="18" customHeight="1">
      <c r="H1339" s="779"/>
      <c r="I1339" s="779"/>
      <c r="J1339" s="779"/>
      <c r="K1339" s="779"/>
      <c r="L1339" s="779"/>
      <c r="M1339" s="779"/>
    </row>
    <row r="1340" spans="8:13" ht="18" customHeight="1">
      <c r="H1340" s="779"/>
      <c r="I1340" s="779"/>
      <c r="J1340" s="779"/>
      <c r="K1340" s="779"/>
      <c r="L1340" s="779"/>
      <c r="M1340" s="779"/>
    </row>
    <row r="1341" spans="8:13" ht="18" customHeight="1">
      <c r="H1341" s="779"/>
      <c r="I1341" s="779"/>
      <c r="J1341" s="779"/>
      <c r="K1341" s="779"/>
      <c r="L1341" s="779"/>
      <c r="M1341" s="779"/>
    </row>
    <row r="1342" spans="8:13" ht="18" customHeight="1">
      <c r="H1342" s="779"/>
      <c r="I1342" s="779"/>
      <c r="J1342" s="779"/>
      <c r="K1342" s="779"/>
      <c r="L1342" s="779"/>
      <c r="M1342" s="779"/>
    </row>
    <row r="1343" spans="8:13" ht="18" customHeight="1">
      <c r="H1343" s="779"/>
      <c r="I1343" s="779"/>
      <c r="J1343" s="779"/>
      <c r="K1343" s="779"/>
      <c r="L1343" s="779"/>
      <c r="M1343" s="779"/>
    </row>
    <row r="1344" spans="8:13" ht="18" customHeight="1">
      <c r="H1344" s="779"/>
      <c r="I1344" s="779"/>
      <c r="J1344" s="779"/>
      <c r="K1344" s="779"/>
      <c r="L1344" s="779"/>
      <c r="M1344" s="779"/>
    </row>
    <row r="1345" spans="8:13" ht="18" customHeight="1">
      <c r="H1345" s="779"/>
      <c r="I1345" s="779"/>
      <c r="J1345" s="779"/>
      <c r="K1345" s="779"/>
      <c r="L1345" s="779"/>
      <c r="M1345" s="779"/>
    </row>
    <row r="1346" spans="8:13" ht="18" customHeight="1">
      <c r="H1346" s="779"/>
      <c r="I1346" s="779"/>
      <c r="J1346" s="779"/>
      <c r="K1346" s="779"/>
      <c r="L1346" s="779"/>
      <c r="M1346" s="779"/>
    </row>
    <row r="1347" spans="8:13" ht="18" customHeight="1">
      <c r="H1347" s="779"/>
      <c r="I1347" s="779"/>
      <c r="J1347" s="779"/>
      <c r="K1347" s="779"/>
      <c r="L1347" s="779"/>
      <c r="M1347" s="779"/>
    </row>
    <row r="1348" spans="8:13" ht="18" customHeight="1">
      <c r="H1348" s="779"/>
      <c r="I1348" s="779"/>
      <c r="J1348" s="779"/>
      <c r="K1348" s="779"/>
      <c r="L1348" s="779"/>
      <c r="M1348" s="779"/>
    </row>
    <row r="1349" spans="8:13" ht="18" customHeight="1">
      <c r="H1349" s="779"/>
      <c r="I1349" s="779"/>
      <c r="J1349" s="779"/>
      <c r="K1349" s="779"/>
      <c r="L1349" s="779"/>
      <c r="M1349" s="779"/>
    </row>
    <row r="1350" spans="8:13" ht="18" customHeight="1">
      <c r="H1350" s="779"/>
      <c r="I1350" s="779"/>
      <c r="J1350" s="779"/>
      <c r="K1350" s="779"/>
      <c r="L1350" s="779"/>
      <c r="M1350" s="779"/>
    </row>
    <row r="1351" spans="8:13" ht="18" customHeight="1">
      <c r="H1351" s="779"/>
      <c r="I1351" s="779"/>
      <c r="J1351" s="779"/>
      <c r="K1351" s="779"/>
      <c r="L1351" s="779"/>
      <c r="M1351" s="779"/>
    </row>
    <row r="1352" spans="8:13" ht="18" customHeight="1">
      <c r="H1352" s="779"/>
      <c r="I1352" s="779"/>
      <c r="J1352" s="779"/>
      <c r="K1352" s="779"/>
      <c r="L1352" s="779"/>
      <c r="M1352" s="779"/>
    </row>
    <row r="1353" spans="8:13" ht="18" customHeight="1">
      <c r="H1353" s="779"/>
      <c r="I1353" s="779"/>
      <c r="J1353" s="779"/>
      <c r="K1353" s="779"/>
      <c r="L1353" s="779"/>
      <c r="M1353" s="779"/>
    </row>
    <row r="1354" spans="8:13" ht="18" customHeight="1">
      <c r="H1354" s="779"/>
      <c r="I1354" s="779"/>
      <c r="J1354" s="779"/>
      <c r="K1354" s="779"/>
      <c r="L1354" s="779"/>
      <c r="M1354" s="779"/>
    </row>
    <row r="1355" spans="8:13" ht="18" customHeight="1">
      <c r="H1355" s="779"/>
      <c r="I1355" s="779"/>
      <c r="J1355" s="779"/>
      <c r="K1355" s="779"/>
      <c r="L1355" s="779"/>
      <c r="M1355" s="779"/>
    </row>
    <row r="1356" spans="8:13" ht="18" customHeight="1">
      <c r="H1356" s="779"/>
      <c r="I1356" s="779"/>
      <c r="J1356" s="779"/>
      <c r="K1356" s="779"/>
      <c r="L1356" s="779"/>
      <c r="M1356" s="779"/>
    </row>
    <row r="1357" spans="8:13" ht="18" customHeight="1">
      <c r="H1357" s="779"/>
      <c r="I1357" s="779"/>
      <c r="J1357" s="779"/>
      <c r="K1357" s="779"/>
      <c r="L1357" s="779"/>
      <c r="M1357" s="779"/>
    </row>
    <row r="1358" spans="8:13" ht="18" customHeight="1">
      <c r="H1358" s="779"/>
      <c r="I1358" s="779"/>
      <c r="J1358" s="779"/>
      <c r="K1358" s="779"/>
      <c r="L1358" s="779"/>
      <c r="M1358" s="779"/>
    </row>
    <row r="1359" spans="8:13" ht="18" customHeight="1">
      <c r="H1359" s="779"/>
      <c r="I1359" s="779"/>
      <c r="J1359" s="779"/>
      <c r="K1359" s="779"/>
      <c r="L1359" s="779"/>
      <c r="M1359" s="779"/>
    </row>
    <row r="1360" spans="8:13" ht="18" customHeight="1">
      <c r="H1360" s="779"/>
      <c r="I1360" s="779"/>
      <c r="J1360" s="779"/>
      <c r="K1360" s="779"/>
      <c r="L1360" s="779"/>
      <c r="M1360" s="779"/>
    </row>
    <row r="1361" spans="8:13" ht="18" customHeight="1">
      <c r="H1361" s="779"/>
      <c r="I1361" s="779"/>
      <c r="J1361" s="779"/>
      <c r="K1361" s="779"/>
      <c r="L1361" s="779"/>
      <c r="M1361" s="779"/>
    </row>
    <row r="1362" spans="8:13" ht="18" customHeight="1">
      <c r="H1362" s="779"/>
      <c r="I1362" s="779"/>
      <c r="J1362" s="779"/>
      <c r="K1362" s="779"/>
      <c r="L1362" s="779"/>
      <c r="M1362" s="779"/>
    </row>
    <row r="1363" spans="8:13" ht="18" customHeight="1">
      <c r="H1363" s="779"/>
      <c r="I1363" s="779"/>
      <c r="J1363" s="779"/>
      <c r="K1363" s="779"/>
      <c r="L1363" s="779"/>
      <c r="M1363" s="779"/>
    </row>
    <row r="1364" spans="8:13" ht="18" customHeight="1">
      <c r="H1364" s="779"/>
      <c r="I1364" s="779"/>
      <c r="J1364" s="779"/>
      <c r="K1364" s="779"/>
      <c r="L1364" s="779"/>
      <c r="M1364" s="779"/>
    </row>
    <row r="1365" spans="8:13" ht="18" customHeight="1">
      <c r="H1365" s="779"/>
      <c r="I1365" s="779"/>
      <c r="J1365" s="779"/>
      <c r="K1365" s="779"/>
      <c r="L1365" s="779"/>
      <c r="M1365" s="779"/>
    </row>
    <row r="1366" spans="8:13" ht="18" customHeight="1">
      <c r="H1366" s="779"/>
      <c r="I1366" s="779"/>
      <c r="J1366" s="779"/>
      <c r="K1366" s="779"/>
      <c r="L1366" s="779"/>
      <c r="M1366" s="779"/>
    </row>
    <row r="1367" spans="8:13" ht="18" customHeight="1">
      <c r="H1367" s="779"/>
      <c r="I1367" s="779"/>
      <c r="J1367" s="779"/>
      <c r="K1367" s="779"/>
      <c r="L1367" s="779"/>
      <c r="M1367" s="779"/>
    </row>
    <row r="1368" spans="8:13" ht="18" customHeight="1">
      <c r="H1368" s="779"/>
      <c r="I1368" s="779"/>
      <c r="J1368" s="779"/>
      <c r="K1368" s="779"/>
      <c r="L1368" s="779"/>
      <c r="M1368" s="779"/>
    </row>
    <row r="1369" spans="8:13" ht="18" customHeight="1">
      <c r="H1369" s="779"/>
      <c r="I1369" s="779"/>
      <c r="J1369" s="779"/>
      <c r="K1369" s="779"/>
      <c r="L1369" s="779"/>
      <c r="M1369" s="779"/>
    </row>
    <row r="1370" spans="8:13" ht="18" customHeight="1">
      <c r="H1370" s="779"/>
      <c r="I1370" s="779"/>
      <c r="J1370" s="779"/>
      <c r="K1370" s="779"/>
      <c r="L1370" s="779"/>
      <c r="M1370" s="779"/>
    </row>
    <row r="1371" spans="8:13" ht="18" customHeight="1">
      <c r="H1371" s="779"/>
      <c r="I1371" s="779"/>
      <c r="J1371" s="779"/>
      <c r="K1371" s="779"/>
      <c r="L1371" s="779"/>
      <c r="M1371" s="779"/>
    </row>
    <row r="1372" spans="8:13" ht="18" customHeight="1">
      <c r="H1372" s="779"/>
      <c r="I1372" s="779"/>
      <c r="J1372" s="779"/>
      <c r="K1372" s="779"/>
      <c r="L1372" s="779"/>
      <c r="M1372" s="779"/>
    </row>
    <row r="1373" spans="8:13" ht="18" customHeight="1">
      <c r="H1373" s="779"/>
      <c r="I1373" s="779"/>
      <c r="J1373" s="779"/>
      <c r="K1373" s="779"/>
      <c r="L1373" s="779"/>
      <c r="M1373" s="779"/>
    </row>
    <row r="1374" spans="8:13" ht="18" customHeight="1">
      <c r="H1374" s="779"/>
      <c r="I1374" s="779"/>
      <c r="J1374" s="779"/>
      <c r="K1374" s="779"/>
      <c r="L1374" s="779"/>
      <c r="M1374" s="779"/>
    </row>
    <row r="1375" spans="8:13" ht="18" customHeight="1">
      <c r="H1375" s="779"/>
      <c r="I1375" s="779"/>
      <c r="J1375" s="779"/>
      <c r="K1375" s="779"/>
      <c r="L1375" s="779"/>
      <c r="M1375" s="779"/>
    </row>
    <row r="1376" spans="8:13" ht="18" customHeight="1">
      <c r="H1376" s="779"/>
      <c r="I1376" s="779"/>
      <c r="J1376" s="779"/>
      <c r="K1376" s="779"/>
      <c r="L1376" s="779"/>
      <c r="M1376" s="779"/>
    </row>
    <row r="1377" spans="8:13" ht="18" customHeight="1">
      <c r="H1377" s="779"/>
      <c r="I1377" s="779"/>
      <c r="J1377" s="779"/>
      <c r="K1377" s="779"/>
      <c r="L1377" s="779"/>
      <c r="M1377" s="779"/>
    </row>
    <row r="1378" spans="8:13" ht="18" customHeight="1">
      <c r="H1378" s="779"/>
      <c r="I1378" s="779"/>
      <c r="J1378" s="779"/>
      <c r="K1378" s="779"/>
      <c r="L1378" s="779"/>
      <c r="M1378" s="779"/>
    </row>
    <row r="1379" spans="8:13" ht="18" customHeight="1">
      <c r="H1379" s="779"/>
      <c r="I1379" s="779"/>
      <c r="J1379" s="779"/>
      <c r="K1379" s="779"/>
      <c r="L1379" s="779"/>
      <c r="M1379" s="779"/>
    </row>
    <row r="1380" spans="8:13" ht="18" customHeight="1">
      <c r="H1380" s="779"/>
      <c r="I1380" s="779"/>
      <c r="J1380" s="779"/>
      <c r="K1380" s="779"/>
      <c r="L1380" s="779"/>
      <c r="M1380" s="779"/>
    </row>
    <row r="1381" spans="8:13" ht="18" customHeight="1">
      <c r="H1381" s="779"/>
      <c r="I1381" s="779"/>
      <c r="J1381" s="779"/>
      <c r="K1381" s="779"/>
      <c r="L1381" s="779"/>
      <c r="M1381" s="779"/>
    </row>
    <row r="1382" spans="8:13" ht="18" customHeight="1">
      <c r="H1382" s="779"/>
      <c r="I1382" s="779"/>
      <c r="J1382" s="779"/>
      <c r="K1382" s="779"/>
      <c r="L1382" s="779"/>
      <c r="M1382" s="779"/>
    </row>
    <row r="1383" spans="8:13" ht="18" customHeight="1">
      <c r="H1383" s="779"/>
      <c r="I1383" s="779"/>
      <c r="J1383" s="779"/>
      <c r="K1383" s="779"/>
      <c r="L1383" s="779"/>
      <c r="M1383" s="779"/>
    </row>
    <row r="1384" spans="8:13" ht="18" customHeight="1">
      <c r="H1384" s="779"/>
      <c r="I1384" s="779"/>
      <c r="J1384" s="779"/>
      <c r="K1384" s="779"/>
      <c r="L1384" s="779"/>
      <c r="M1384" s="779"/>
    </row>
    <row r="1385" spans="8:13" ht="18" customHeight="1">
      <c r="H1385" s="779"/>
      <c r="I1385" s="779"/>
      <c r="J1385" s="779"/>
      <c r="K1385" s="779"/>
      <c r="L1385" s="779"/>
      <c r="M1385" s="779"/>
    </row>
    <row r="1386" spans="8:13" ht="18" customHeight="1">
      <c r="H1386" s="779"/>
      <c r="I1386" s="779"/>
      <c r="J1386" s="779"/>
      <c r="K1386" s="779"/>
      <c r="L1386" s="779"/>
      <c r="M1386" s="779"/>
    </row>
    <row r="1387" spans="8:13" ht="18" customHeight="1">
      <c r="H1387" s="779"/>
      <c r="I1387" s="779"/>
      <c r="J1387" s="779"/>
      <c r="K1387" s="779"/>
      <c r="L1387" s="779"/>
      <c r="M1387" s="779"/>
    </row>
    <row r="1388" spans="8:13" ht="18" customHeight="1">
      <c r="H1388" s="779"/>
      <c r="I1388" s="779"/>
      <c r="J1388" s="779"/>
      <c r="K1388" s="779"/>
      <c r="L1388" s="779"/>
      <c r="M1388" s="779"/>
    </row>
    <row r="1389" spans="8:13" ht="18" customHeight="1">
      <c r="H1389" s="779"/>
      <c r="I1389" s="779"/>
      <c r="J1389" s="779"/>
      <c r="K1389" s="779"/>
      <c r="L1389" s="779"/>
      <c r="M1389" s="779"/>
    </row>
    <row r="1390" spans="8:13" ht="18" customHeight="1">
      <c r="H1390" s="779"/>
      <c r="I1390" s="779"/>
      <c r="J1390" s="779"/>
      <c r="K1390" s="779"/>
      <c r="L1390" s="779"/>
      <c r="M1390" s="779"/>
    </row>
    <row r="1391" spans="8:13" ht="18" customHeight="1">
      <c r="H1391" s="779"/>
      <c r="I1391" s="779"/>
      <c r="J1391" s="779"/>
      <c r="K1391" s="779"/>
      <c r="L1391" s="779"/>
      <c r="M1391" s="779"/>
    </row>
    <row r="1392" spans="8:13" ht="18" customHeight="1">
      <c r="H1392" s="779"/>
      <c r="I1392" s="779"/>
      <c r="J1392" s="779"/>
      <c r="K1392" s="779"/>
      <c r="L1392" s="779"/>
      <c r="M1392" s="779"/>
    </row>
    <row r="1393" spans="8:13" ht="18" customHeight="1">
      <c r="H1393" s="779"/>
      <c r="I1393" s="779"/>
      <c r="J1393" s="779"/>
      <c r="K1393" s="779"/>
      <c r="L1393" s="779"/>
      <c r="M1393" s="779"/>
    </row>
    <row r="1394" spans="8:13" ht="18" customHeight="1">
      <c r="H1394" s="779"/>
      <c r="I1394" s="779"/>
      <c r="J1394" s="779"/>
      <c r="K1394" s="779"/>
      <c r="L1394" s="779"/>
      <c r="M1394" s="779"/>
    </row>
    <row r="1395" spans="8:13" ht="18" customHeight="1">
      <c r="H1395" s="779"/>
      <c r="I1395" s="779"/>
      <c r="J1395" s="779"/>
      <c r="K1395" s="779"/>
      <c r="L1395" s="779"/>
      <c r="M1395" s="779"/>
    </row>
    <row r="1396" spans="8:13" ht="18" customHeight="1">
      <c r="H1396" s="779"/>
      <c r="I1396" s="779"/>
      <c r="J1396" s="779"/>
      <c r="K1396" s="779"/>
      <c r="L1396" s="779"/>
      <c r="M1396" s="779"/>
    </row>
    <row r="1397" spans="8:13" ht="18" customHeight="1">
      <c r="H1397" s="779"/>
      <c r="I1397" s="779"/>
      <c r="J1397" s="779"/>
      <c r="K1397" s="779"/>
      <c r="L1397" s="779"/>
      <c r="M1397" s="779"/>
    </row>
    <row r="1398" spans="8:13" ht="18" customHeight="1">
      <c r="H1398" s="779"/>
      <c r="I1398" s="779"/>
      <c r="J1398" s="779"/>
      <c r="K1398" s="779"/>
      <c r="L1398" s="779"/>
      <c r="M1398" s="779"/>
    </row>
    <row r="1399" spans="8:13" ht="18" customHeight="1">
      <c r="H1399" s="779"/>
      <c r="I1399" s="779"/>
      <c r="J1399" s="779"/>
      <c r="K1399" s="779"/>
      <c r="L1399" s="779"/>
      <c r="M1399" s="779"/>
    </row>
    <row r="1400" spans="8:13" ht="18" customHeight="1">
      <c r="H1400" s="779"/>
      <c r="I1400" s="779"/>
      <c r="J1400" s="779"/>
      <c r="K1400" s="779"/>
      <c r="L1400" s="779"/>
      <c r="M1400" s="779"/>
    </row>
    <row r="1401" spans="8:13" ht="18" customHeight="1">
      <c r="H1401" s="779"/>
      <c r="I1401" s="779"/>
      <c r="J1401" s="779"/>
      <c r="K1401" s="779"/>
      <c r="L1401" s="779"/>
      <c r="M1401" s="779"/>
    </row>
    <row r="1402" spans="8:13" ht="18" customHeight="1">
      <c r="H1402" s="779"/>
      <c r="I1402" s="779"/>
      <c r="J1402" s="779"/>
      <c r="K1402" s="779"/>
      <c r="L1402" s="779"/>
      <c r="M1402" s="779"/>
    </row>
    <row r="1403" spans="8:13" ht="18" customHeight="1">
      <c r="H1403" s="779"/>
      <c r="I1403" s="779"/>
      <c r="J1403" s="779"/>
      <c r="K1403" s="779"/>
      <c r="L1403" s="779"/>
      <c r="M1403" s="779"/>
    </row>
    <row r="1404" spans="8:13" ht="18" customHeight="1">
      <c r="H1404" s="779"/>
      <c r="I1404" s="779"/>
      <c r="J1404" s="779"/>
      <c r="K1404" s="779"/>
      <c r="L1404" s="779"/>
      <c r="M1404" s="779"/>
    </row>
    <row r="1405" spans="8:13" ht="18" customHeight="1">
      <c r="H1405" s="779"/>
      <c r="I1405" s="779"/>
      <c r="J1405" s="779"/>
      <c r="K1405" s="779"/>
      <c r="L1405" s="779"/>
      <c r="M1405" s="779"/>
    </row>
    <row r="1406" spans="8:13" ht="18" customHeight="1">
      <c r="H1406" s="779"/>
      <c r="I1406" s="779"/>
      <c r="J1406" s="779"/>
      <c r="K1406" s="779"/>
      <c r="L1406" s="779"/>
      <c r="M1406" s="779"/>
    </row>
    <row r="1407" spans="8:13" ht="18" customHeight="1">
      <c r="H1407" s="779"/>
      <c r="I1407" s="779"/>
      <c r="J1407" s="779"/>
      <c r="K1407" s="779"/>
      <c r="L1407" s="779"/>
      <c r="M1407" s="779"/>
    </row>
    <row r="1408" spans="8:13" ht="18" customHeight="1">
      <c r="H1408" s="779"/>
      <c r="I1408" s="779"/>
      <c r="J1408" s="779"/>
      <c r="K1408" s="779"/>
      <c r="L1408" s="779"/>
      <c r="M1408" s="779"/>
    </row>
    <row r="1409" spans="8:13" ht="18" customHeight="1">
      <c r="H1409" s="779"/>
      <c r="I1409" s="779"/>
      <c r="J1409" s="779"/>
      <c r="K1409" s="779"/>
      <c r="L1409" s="779"/>
      <c r="M1409" s="779"/>
    </row>
    <row r="1410" spans="8:13" ht="18" customHeight="1">
      <c r="H1410" s="779"/>
      <c r="I1410" s="779"/>
      <c r="J1410" s="779"/>
      <c r="K1410" s="779"/>
      <c r="L1410" s="779"/>
      <c r="M1410" s="779"/>
    </row>
    <row r="1411" spans="8:13" ht="18" customHeight="1">
      <c r="H1411" s="779"/>
      <c r="I1411" s="779"/>
      <c r="J1411" s="779"/>
      <c r="K1411" s="779"/>
      <c r="L1411" s="779"/>
      <c r="M1411" s="779"/>
    </row>
    <row r="1412" spans="8:13" ht="18" customHeight="1">
      <c r="H1412" s="779"/>
      <c r="I1412" s="779"/>
      <c r="J1412" s="779"/>
      <c r="K1412" s="779"/>
      <c r="L1412" s="779"/>
      <c r="M1412" s="779"/>
    </row>
    <row r="1413" spans="8:13" ht="18" customHeight="1">
      <c r="H1413" s="779"/>
      <c r="I1413" s="779"/>
      <c r="J1413" s="779"/>
      <c r="K1413" s="779"/>
      <c r="L1413" s="779"/>
      <c r="M1413" s="779"/>
    </row>
    <row r="1414" spans="8:13" ht="18" customHeight="1">
      <c r="H1414" s="779"/>
      <c r="I1414" s="779"/>
      <c r="J1414" s="779"/>
      <c r="K1414" s="779"/>
      <c r="L1414" s="779"/>
      <c r="M1414" s="779"/>
    </row>
    <row r="1415" spans="8:13" ht="18" customHeight="1">
      <c r="H1415" s="779"/>
      <c r="I1415" s="779"/>
      <c r="J1415" s="779"/>
      <c r="K1415" s="779"/>
      <c r="L1415" s="779"/>
      <c r="M1415" s="779"/>
    </row>
    <row r="1416" spans="8:13" ht="18" customHeight="1">
      <c r="H1416" s="779"/>
      <c r="I1416" s="779"/>
      <c r="J1416" s="779"/>
      <c r="K1416" s="779"/>
      <c r="L1416" s="779"/>
      <c r="M1416" s="779"/>
    </row>
    <row r="1417" spans="8:13" ht="18" customHeight="1">
      <c r="H1417" s="779"/>
      <c r="I1417" s="779"/>
      <c r="J1417" s="779"/>
      <c r="K1417" s="779"/>
      <c r="L1417" s="779"/>
      <c r="M1417" s="779"/>
    </row>
    <row r="1418" spans="8:13" ht="18" customHeight="1">
      <c r="H1418" s="779"/>
      <c r="I1418" s="779"/>
      <c r="J1418" s="779"/>
      <c r="K1418" s="779"/>
      <c r="L1418" s="779"/>
      <c r="M1418" s="779"/>
    </row>
    <row r="1419" spans="8:13" ht="18" customHeight="1">
      <c r="H1419" s="779"/>
      <c r="I1419" s="779"/>
      <c r="J1419" s="779"/>
      <c r="K1419" s="779"/>
      <c r="L1419" s="779"/>
      <c r="M1419" s="779"/>
    </row>
    <row r="1420" spans="8:13" ht="18" customHeight="1">
      <c r="H1420" s="779"/>
      <c r="I1420" s="779"/>
      <c r="J1420" s="779"/>
      <c r="K1420" s="779"/>
      <c r="L1420" s="779"/>
      <c r="M1420" s="779"/>
    </row>
    <row r="1421" spans="8:13" ht="18" customHeight="1">
      <c r="H1421" s="779"/>
      <c r="I1421" s="779"/>
      <c r="J1421" s="779"/>
      <c r="K1421" s="779"/>
      <c r="L1421" s="779"/>
      <c r="M1421" s="779"/>
    </row>
    <row r="1422" spans="8:13" ht="18" customHeight="1">
      <c r="H1422" s="779"/>
      <c r="I1422" s="779"/>
      <c r="J1422" s="779"/>
      <c r="K1422" s="779"/>
      <c r="L1422" s="779"/>
      <c r="M1422" s="779"/>
    </row>
    <row r="1423" spans="8:13" ht="18" customHeight="1">
      <c r="H1423" s="779"/>
      <c r="I1423" s="779"/>
      <c r="J1423" s="779"/>
      <c r="K1423" s="779"/>
      <c r="L1423" s="779"/>
      <c r="M1423" s="779"/>
    </row>
    <row r="1424" spans="8:13" ht="18" customHeight="1">
      <c r="H1424" s="779"/>
      <c r="I1424" s="779"/>
      <c r="J1424" s="779"/>
      <c r="K1424" s="779"/>
      <c r="L1424" s="779"/>
      <c r="M1424" s="779"/>
    </row>
    <row r="1425" spans="8:13" ht="18" customHeight="1">
      <c r="H1425" s="779"/>
      <c r="I1425" s="779"/>
      <c r="J1425" s="779"/>
      <c r="K1425" s="779"/>
      <c r="L1425" s="779"/>
      <c r="M1425" s="779"/>
    </row>
    <row r="1426" spans="8:13" ht="18" customHeight="1">
      <c r="H1426" s="779"/>
      <c r="I1426" s="779"/>
      <c r="J1426" s="779"/>
      <c r="K1426" s="779"/>
      <c r="L1426" s="779"/>
      <c r="M1426" s="779"/>
    </row>
    <row r="1427" spans="8:13" ht="18" customHeight="1">
      <c r="H1427" s="779"/>
      <c r="I1427" s="779"/>
      <c r="J1427" s="779"/>
      <c r="K1427" s="779"/>
      <c r="L1427" s="779"/>
      <c r="M1427" s="779"/>
    </row>
    <row r="1428" spans="8:13" ht="18" customHeight="1">
      <c r="H1428" s="779"/>
      <c r="I1428" s="779"/>
      <c r="J1428" s="779"/>
      <c r="K1428" s="779"/>
      <c r="L1428" s="779"/>
      <c r="M1428" s="779"/>
    </row>
    <row r="1429" spans="8:13" ht="18" customHeight="1">
      <c r="H1429" s="779"/>
      <c r="I1429" s="779"/>
      <c r="J1429" s="779"/>
      <c r="K1429" s="779"/>
      <c r="L1429" s="779"/>
      <c r="M1429" s="779"/>
    </row>
    <row r="1430" spans="8:13" ht="18" customHeight="1">
      <c r="H1430" s="779"/>
      <c r="I1430" s="779"/>
      <c r="J1430" s="779"/>
      <c r="K1430" s="779"/>
      <c r="L1430" s="779"/>
      <c r="M1430" s="779"/>
    </row>
    <row r="1431" spans="8:13" ht="18" customHeight="1">
      <c r="H1431" s="779"/>
      <c r="I1431" s="779"/>
      <c r="J1431" s="779"/>
      <c r="K1431" s="779"/>
      <c r="L1431" s="779"/>
      <c r="M1431" s="779"/>
    </row>
    <row r="1432" spans="8:13" ht="18" customHeight="1">
      <c r="H1432" s="779"/>
      <c r="I1432" s="779"/>
      <c r="J1432" s="779"/>
      <c r="K1432" s="779"/>
      <c r="L1432" s="779"/>
      <c r="M1432" s="779"/>
    </row>
    <row r="1433" spans="8:13" ht="18" customHeight="1">
      <c r="H1433" s="779"/>
      <c r="I1433" s="779"/>
      <c r="J1433" s="779"/>
      <c r="K1433" s="779"/>
      <c r="L1433" s="779"/>
      <c r="M1433" s="779"/>
    </row>
    <row r="1434" spans="8:13" ht="18" customHeight="1">
      <c r="H1434" s="779"/>
      <c r="I1434" s="779"/>
      <c r="J1434" s="779"/>
      <c r="K1434" s="779"/>
      <c r="L1434" s="779"/>
      <c r="M1434" s="779"/>
    </row>
    <row r="1435" spans="8:13" ht="18" customHeight="1">
      <c r="H1435" s="779"/>
      <c r="I1435" s="779"/>
      <c r="J1435" s="779"/>
      <c r="K1435" s="779"/>
      <c r="L1435" s="779"/>
      <c r="M1435" s="779"/>
    </row>
    <row r="1436" spans="8:13" ht="18" customHeight="1">
      <c r="H1436" s="779"/>
      <c r="I1436" s="779"/>
      <c r="J1436" s="779"/>
      <c r="K1436" s="779"/>
      <c r="L1436" s="779"/>
      <c r="M1436" s="779"/>
    </row>
    <row r="1437" spans="8:13" ht="18" customHeight="1">
      <c r="H1437" s="779"/>
      <c r="I1437" s="779"/>
      <c r="J1437" s="779"/>
      <c r="K1437" s="779"/>
      <c r="L1437" s="779"/>
      <c r="M1437" s="779"/>
    </row>
    <row r="1438" spans="8:13" ht="18" customHeight="1">
      <c r="H1438" s="779"/>
      <c r="I1438" s="779"/>
      <c r="J1438" s="779"/>
      <c r="K1438" s="779"/>
      <c r="L1438" s="779"/>
      <c r="M1438" s="779"/>
    </row>
    <row r="1439" spans="8:13" ht="18" customHeight="1">
      <c r="H1439" s="779"/>
      <c r="I1439" s="779"/>
      <c r="J1439" s="779"/>
      <c r="K1439" s="779"/>
      <c r="L1439" s="779"/>
      <c r="M1439" s="779"/>
    </row>
    <row r="1440" spans="8:13" ht="18" customHeight="1">
      <c r="H1440" s="779"/>
      <c r="I1440" s="779"/>
      <c r="J1440" s="779"/>
      <c r="K1440" s="779"/>
      <c r="L1440" s="779"/>
      <c r="M1440" s="779"/>
    </row>
    <row r="1441" spans="8:13" ht="18" customHeight="1">
      <c r="H1441" s="779"/>
      <c r="I1441" s="779"/>
      <c r="J1441" s="779"/>
      <c r="K1441" s="779"/>
      <c r="L1441" s="779"/>
      <c r="M1441" s="779"/>
    </row>
    <row r="1442" spans="8:13" ht="18" customHeight="1">
      <c r="H1442" s="779"/>
      <c r="I1442" s="779"/>
      <c r="J1442" s="779"/>
      <c r="K1442" s="779"/>
      <c r="L1442" s="779"/>
      <c r="M1442" s="779"/>
    </row>
    <row r="1443" spans="8:13" ht="18" customHeight="1">
      <c r="H1443" s="779"/>
      <c r="I1443" s="779"/>
      <c r="J1443" s="779"/>
      <c r="K1443" s="779"/>
      <c r="L1443" s="779"/>
      <c r="M1443" s="779"/>
    </row>
    <row r="1444" spans="8:13" ht="18" customHeight="1">
      <c r="H1444" s="779"/>
      <c r="I1444" s="779"/>
      <c r="J1444" s="779"/>
      <c r="K1444" s="779"/>
      <c r="L1444" s="779"/>
      <c r="M1444" s="779"/>
    </row>
    <row r="1445" spans="8:13" ht="18" customHeight="1">
      <c r="H1445" s="779"/>
      <c r="I1445" s="779"/>
      <c r="J1445" s="779"/>
      <c r="K1445" s="779"/>
      <c r="L1445" s="779"/>
      <c r="M1445" s="779"/>
    </row>
    <row r="1446" spans="8:13" ht="18" customHeight="1">
      <c r="H1446" s="779"/>
      <c r="I1446" s="779"/>
      <c r="J1446" s="779"/>
      <c r="K1446" s="779"/>
      <c r="L1446" s="779"/>
      <c r="M1446" s="779"/>
    </row>
    <row r="1447" spans="8:13" ht="18" customHeight="1">
      <c r="H1447" s="779"/>
      <c r="I1447" s="779"/>
      <c r="J1447" s="779"/>
      <c r="K1447" s="779"/>
      <c r="L1447" s="779"/>
      <c r="M1447" s="779"/>
    </row>
    <row r="1448" spans="8:13" ht="18" customHeight="1">
      <c r="H1448" s="779"/>
      <c r="I1448" s="779"/>
      <c r="J1448" s="779"/>
      <c r="K1448" s="779"/>
      <c r="L1448" s="779"/>
      <c r="M1448" s="779"/>
    </row>
    <row r="1449" spans="8:13" ht="18" customHeight="1">
      <c r="H1449" s="779"/>
      <c r="I1449" s="779"/>
      <c r="J1449" s="779"/>
      <c r="K1449" s="779"/>
      <c r="L1449" s="779"/>
      <c r="M1449" s="779"/>
    </row>
    <row r="1450" spans="8:13" ht="18" customHeight="1">
      <c r="H1450" s="779"/>
      <c r="I1450" s="779"/>
      <c r="J1450" s="779"/>
      <c r="K1450" s="779"/>
      <c r="L1450" s="779"/>
      <c r="M1450" s="779"/>
    </row>
    <row r="1451" spans="8:13" ht="18" customHeight="1">
      <c r="H1451" s="779"/>
      <c r="I1451" s="779"/>
      <c r="J1451" s="779"/>
      <c r="K1451" s="779"/>
      <c r="L1451" s="779"/>
      <c r="M1451" s="779"/>
    </row>
    <row r="1452" spans="8:13" ht="18" customHeight="1">
      <c r="H1452" s="779"/>
      <c r="I1452" s="779"/>
      <c r="J1452" s="779"/>
      <c r="K1452" s="779"/>
      <c r="L1452" s="779"/>
      <c r="M1452" s="779"/>
    </row>
    <row r="1453" spans="8:13" ht="18" customHeight="1">
      <c r="H1453" s="779"/>
      <c r="I1453" s="779"/>
      <c r="J1453" s="779"/>
      <c r="K1453" s="779"/>
      <c r="L1453" s="779"/>
      <c r="M1453" s="779"/>
    </row>
    <row r="1454" spans="8:13" ht="18" customHeight="1">
      <c r="H1454" s="779"/>
      <c r="I1454" s="779"/>
      <c r="J1454" s="779"/>
      <c r="K1454" s="779"/>
      <c r="L1454" s="779"/>
      <c r="M1454" s="779"/>
    </row>
    <row r="1455" spans="8:13" ht="18" customHeight="1">
      <c r="H1455" s="779"/>
      <c r="I1455" s="779"/>
      <c r="J1455" s="779"/>
      <c r="K1455" s="779"/>
      <c r="L1455" s="779"/>
      <c r="M1455" s="779"/>
    </row>
    <row r="1456" spans="8:13" ht="18" customHeight="1">
      <c r="H1456" s="779"/>
      <c r="I1456" s="779"/>
      <c r="J1456" s="779"/>
      <c r="K1456" s="779"/>
      <c r="L1456" s="779"/>
      <c r="M1456" s="779"/>
    </row>
    <row r="1457" spans="8:13" ht="18" customHeight="1">
      <c r="H1457" s="779"/>
      <c r="I1457" s="779"/>
      <c r="J1457" s="779"/>
      <c r="K1457" s="779"/>
      <c r="L1457" s="779"/>
      <c r="M1457" s="779"/>
    </row>
    <row r="1458" spans="8:13" ht="18" customHeight="1">
      <c r="H1458" s="779"/>
      <c r="I1458" s="779"/>
      <c r="J1458" s="779"/>
      <c r="K1458" s="779"/>
      <c r="L1458" s="779"/>
      <c r="M1458" s="779"/>
    </row>
    <row r="1459" spans="8:13" ht="18" customHeight="1">
      <c r="H1459" s="779"/>
      <c r="I1459" s="779"/>
      <c r="J1459" s="779"/>
      <c r="K1459" s="779"/>
      <c r="L1459" s="779"/>
      <c r="M1459" s="779"/>
    </row>
    <row r="1460" spans="8:13" ht="18" customHeight="1">
      <c r="H1460" s="779"/>
      <c r="I1460" s="779"/>
      <c r="J1460" s="779"/>
      <c r="K1460" s="779"/>
      <c r="L1460" s="779"/>
      <c r="M1460" s="779"/>
    </row>
    <row r="1461" spans="8:13" ht="18" customHeight="1">
      <c r="H1461" s="779"/>
      <c r="I1461" s="779"/>
      <c r="J1461" s="779"/>
      <c r="K1461" s="779"/>
      <c r="L1461" s="779"/>
      <c r="M1461" s="779"/>
    </row>
    <row r="1462" spans="8:13" ht="18" customHeight="1">
      <c r="H1462" s="779"/>
      <c r="I1462" s="779"/>
      <c r="J1462" s="779"/>
      <c r="K1462" s="779"/>
      <c r="L1462" s="779"/>
      <c r="M1462" s="779"/>
    </row>
    <row r="1463" spans="8:13" ht="18" customHeight="1">
      <c r="H1463" s="779"/>
      <c r="I1463" s="779"/>
      <c r="J1463" s="779"/>
      <c r="K1463" s="779"/>
      <c r="L1463" s="779"/>
      <c r="M1463" s="779"/>
    </row>
    <row r="1464" spans="8:13" ht="18" customHeight="1">
      <c r="H1464" s="779"/>
      <c r="I1464" s="779"/>
      <c r="J1464" s="779"/>
      <c r="K1464" s="779"/>
      <c r="L1464" s="779"/>
      <c r="M1464" s="779"/>
    </row>
    <row r="1465" spans="8:13" ht="18" customHeight="1">
      <c r="H1465" s="779"/>
      <c r="I1465" s="779"/>
      <c r="J1465" s="779"/>
      <c r="K1465" s="779"/>
      <c r="L1465" s="779"/>
      <c r="M1465" s="779"/>
    </row>
    <row r="1466" spans="8:13" ht="18" customHeight="1">
      <c r="H1466" s="779"/>
      <c r="I1466" s="779"/>
      <c r="J1466" s="779"/>
      <c r="K1466" s="779"/>
      <c r="L1466" s="779"/>
      <c r="M1466" s="779"/>
    </row>
    <row r="1467" spans="8:13" ht="18" customHeight="1">
      <c r="H1467" s="779"/>
      <c r="I1467" s="779"/>
      <c r="J1467" s="779"/>
      <c r="K1467" s="779"/>
      <c r="L1467" s="779"/>
      <c r="M1467" s="779"/>
    </row>
    <row r="1468" spans="8:13" ht="18" customHeight="1">
      <c r="H1468" s="779"/>
      <c r="I1468" s="779"/>
      <c r="J1468" s="779"/>
      <c r="K1468" s="779"/>
      <c r="L1468" s="779"/>
      <c r="M1468" s="779"/>
    </row>
    <row r="1469" spans="8:13" ht="18" customHeight="1">
      <c r="H1469" s="779"/>
      <c r="I1469" s="779"/>
      <c r="J1469" s="779"/>
      <c r="K1469" s="779"/>
      <c r="L1469" s="779"/>
      <c r="M1469" s="779"/>
    </row>
    <row r="1470" spans="8:13" ht="18" customHeight="1">
      <c r="H1470" s="779"/>
      <c r="I1470" s="779"/>
      <c r="J1470" s="779"/>
      <c r="K1470" s="779"/>
      <c r="L1470" s="779"/>
      <c r="M1470" s="779"/>
    </row>
    <row r="1471" spans="8:13" ht="18" customHeight="1">
      <c r="H1471" s="779"/>
      <c r="I1471" s="779"/>
      <c r="J1471" s="779"/>
      <c r="K1471" s="779"/>
      <c r="L1471" s="779"/>
      <c r="M1471" s="779"/>
    </row>
    <row r="1472" spans="8:13" ht="18" customHeight="1">
      <c r="H1472" s="779"/>
      <c r="I1472" s="779"/>
      <c r="J1472" s="779"/>
      <c r="K1472" s="779"/>
      <c r="L1472" s="779"/>
      <c r="M1472" s="779"/>
    </row>
    <row r="1473" spans="8:13" ht="18" customHeight="1">
      <c r="H1473" s="779"/>
      <c r="I1473" s="779"/>
      <c r="J1473" s="779"/>
      <c r="K1473" s="779"/>
      <c r="L1473" s="779"/>
      <c r="M1473" s="779"/>
    </row>
    <row r="1474" spans="8:13" ht="18" customHeight="1">
      <c r="H1474" s="779"/>
      <c r="I1474" s="779"/>
      <c r="J1474" s="779"/>
      <c r="K1474" s="779"/>
      <c r="L1474" s="779"/>
      <c r="M1474" s="779"/>
    </row>
    <row r="1475" spans="8:13" ht="18" customHeight="1">
      <c r="H1475" s="779"/>
      <c r="I1475" s="779"/>
      <c r="J1475" s="779"/>
      <c r="K1475" s="779"/>
      <c r="L1475" s="779"/>
      <c r="M1475" s="779"/>
    </row>
    <row r="1476" spans="8:13" ht="18" customHeight="1">
      <c r="H1476" s="779"/>
      <c r="I1476" s="779"/>
      <c r="J1476" s="779"/>
      <c r="K1476" s="779"/>
      <c r="L1476" s="779"/>
      <c r="M1476" s="779"/>
    </row>
    <row r="1477" spans="8:13" ht="18" customHeight="1">
      <c r="H1477" s="779"/>
      <c r="I1477" s="779"/>
      <c r="J1477" s="779"/>
      <c r="K1477" s="779"/>
      <c r="L1477" s="779"/>
      <c r="M1477" s="779"/>
    </row>
    <row r="1478" spans="8:13" ht="18" customHeight="1">
      <c r="H1478" s="779"/>
      <c r="I1478" s="779"/>
      <c r="J1478" s="779"/>
      <c r="K1478" s="779"/>
      <c r="L1478" s="779"/>
      <c r="M1478" s="779"/>
    </row>
    <row r="1479" spans="8:13" ht="18" customHeight="1">
      <c r="H1479" s="779"/>
      <c r="I1479" s="779"/>
      <c r="J1479" s="779"/>
      <c r="K1479" s="779"/>
      <c r="L1479" s="779"/>
      <c r="M1479" s="779"/>
    </row>
    <row r="1480" spans="8:13" ht="18" customHeight="1">
      <c r="H1480" s="779"/>
      <c r="I1480" s="779"/>
      <c r="J1480" s="779"/>
      <c r="K1480" s="779"/>
      <c r="L1480" s="779"/>
      <c r="M1480" s="779"/>
    </row>
    <row r="1481" spans="8:13" ht="18" customHeight="1">
      <c r="H1481" s="779"/>
      <c r="I1481" s="779"/>
      <c r="J1481" s="779"/>
      <c r="K1481" s="779"/>
      <c r="L1481" s="779"/>
      <c r="M1481" s="779"/>
    </row>
    <row r="1482" spans="8:13" ht="18" customHeight="1">
      <c r="H1482" s="779"/>
      <c r="I1482" s="779"/>
      <c r="J1482" s="779"/>
      <c r="K1482" s="779"/>
      <c r="L1482" s="779"/>
      <c r="M1482" s="779"/>
    </row>
    <row r="1483" spans="8:13" ht="18" customHeight="1">
      <c r="H1483" s="779"/>
      <c r="I1483" s="779"/>
      <c r="J1483" s="779"/>
      <c r="K1483" s="779"/>
      <c r="L1483" s="779"/>
      <c r="M1483" s="779"/>
    </row>
    <row r="1484" spans="8:13" ht="18" customHeight="1">
      <c r="H1484" s="779"/>
      <c r="I1484" s="779"/>
      <c r="J1484" s="779"/>
      <c r="K1484" s="779"/>
      <c r="L1484" s="779"/>
      <c r="M1484" s="779"/>
    </row>
    <row r="1485" spans="8:13" ht="18" customHeight="1">
      <c r="H1485" s="779"/>
      <c r="I1485" s="779"/>
      <c r="J1485" s="779"/>
      <c r="K1485" s="779"/>
      <c r="L1485" s="779"/>
      <c r="M1485" s="779"/>
    </row>
    <row r="1486" spans="8:13" ht="18" customHeight="1">
      <c r="H1486" s="779"/>
      <c r="I1486" s="779"/>
      <c r="J1486" s="779"/>
      <c r="K1486" s="779"/>
      <c r="L1486" s="779"/>
      <c r="M1486" s="779"/>
    </row>
    <row r="1487" spans="8:13" ht="18" customHeight="1">
      <c r="H1487" s="779"/>
      <c r="I1487" s="779"/>
      <c r="J1487" s="779"/>
      <c r="K1487" s="779"/>
      <c r="L1487" s="779"/>
      <c r="M1487" s="779"/>
    </row>
    <row r="1488" spans="8:13" ht="18" customHeight="1">
      <c r="H1488" s="779"/>
      <c r="I1488" s="779"/>
      <c r="J1488" s="779"/>
      <c r="K1488" s="779"/>
      <c r="L1488" s="779"/>
      <c r="M1488" s="779"/>
    </row>
    <row r="1489" spans="8:13" ht="18" customHeight="1">
      <c r="H1489" s="779"/>
      <c r="I1489" s="779"/>
      <c r="J1489" s="779"/>
      <c r="K1489" s="779"/>
      <c r="L1489" s="779"/>
      <c r="M1489" s="779"/>
    </row>
    <row r="1490" spans="8:13" ht="18" customHeight="1">
      <c r="H1490" s="779"/>
      <c r="I1490" s="779"/>
      <c r="J1490" s="779"/>
      <c r="K1490" s="779"/>
      <c r="L1490" s="779"/>
      <c r="M1490" s="779"/>
    </row>
    <row r="1491" spans="8:13" ht="18" customHeight="1">
      <c r="H1491" s="779"/>
      <c r="I1491" s="779"/>
      <c r="J1491" s="779"/>
      <c r="K1491" s="779"/>
      <c r="L1491" s="779"/>
      <c r="M1491" s="779"/>
    </row>
    <row r="1492" spans="8:13" ht="18" customHeight="1">
      <c r="H1492" s="779"/>
      <c r="I1492" s="779"/>
      <c r="J1492" s="779"/>
      <c r="K1492" s="779"/>
      <c r="L1492" s="779"/>
      <c r="M1492" s="779"/>
    </row>
    <row r="1493" spans="8:13" ht="18" customHeight="1">
      <c r="H1493" s="779"/>
      <c r="I1493" s="779"/>
      <c r="J1493" s="779"/>
      <c r="K1493" s="779"/>
      <c r="L1493" s="779"/>
      <c r="M1493" s="779"/>
    </row>
    <row r="1494" spans="8:13" ht="18" customHeight="1">
      <c r="H1494" s="779"/>
      <c r="I1494" s="779"/>
      <c r="J1494" s="779"/>
      <c r="K1494" s="779"/>
      <c r="L1494" s="779"/>
      <c r="M1494" s="779"/>
    </row>
    <row r="1495" spans="8:13" ht="18" customHeight="1">
      <c r="H1495" s="779"/>
      <c r="I1495" s="779"/>
      <c r="J1495" s="779"/>
      <c r="K1495" s="779"/>
      <c r="L1495" s="779"/>
      <c r="M1495" s="779"/>
    </row>
    <row r="1496" spans="8:13" ht="18" customHeight="1">
      <c r="H1496" s="779"/>
      <c r="I1496" s="779"/>
      <c r="J1496" s="779"/>
      <c r="K1496" s="779"/>
      <c r="L1496" s="779"/>
      <c r="M1496" s="779"/>
    </row>
    <row r="1497" spans="8:13" ht="18" customHeight="1">
      <c r="H1497" s="779"/>
      <c r="I1497" s="779"/>
      <c r="J1497" s="779"/>
      <c r="K1497" s="779"/>
      <c r="L1497" s="779"/>
      <c r="M1497" s="779"/>
    </row>
    <row r="1498" spans="8:13" ht="18" customHeight="1">
      <c r="H1498" s="779"/>
      <c r="I1498" s="779"/>
      <c r="J1498" s="779"/>
      <c r="K1498" s="779"/>
      <c r="L1498" s="779"/>
      <c r="M1498" s="779"/>
    </row>
    <row r="1499" spans="8:13" ht="18" customHeight="1">
      <c r="H1499" s="779"/>
      <c r="I1499" s="779"/>
      <c r="J1499" s="779"/>
      <c r="K1499" s="779"/>
      <c r="L1499" s="779"/>
      <c r="M1499" s="779"/>
    </row>
    <row r="1500" spans="8:13" ht="18" customHeight="1">
      <c r="H1500" s="779"/>
      <c r="I1500" s="779"/>
      <c r="J1500" s="779"/>
      <c r="K1500" s="779"/>
      <c r="L1500" s="779"/>
      <c r="M1500" s="779"/>
    </row>
    <row r="1501" spans="8:13" ht="18" customHeight="1">
      <c r="H1501" s="779"/>
      <c r="I1501" s="779"/>
      <c r="J1501" s="779"/>
      <c r="K1501" s="779"/>
      <c r="L1501" s="779"/>
      <c r="M1501" s="779"/>
    </row>
    <row r="1502" spans="8:13" ht="18" customHeight="1">
      <c r="H1502" s="779"/>
      <c r="I1502" s="779"/>
      <c r="J1502" s="779"/>
      <c r="K1502" s="779"/>
      <c r="L1502" s="779"/>
      <c r="M1502" s="779"/>
    </row>
    <row r="1503" spans="8:13" ht="18" customHeight="1">
      <c r="H1503" s="779"/>
      <c r="I1503" s="779"/>
      <c r="J1503" s="779"/>
      <c r="K1503" s="779"/>
      <c r="L1503" s="779"/>
      <c r="M1503" s="779"/>
    </row>
    <row r="1504" spans="8:13" ht="18" customHeight="1">
      <c r="H1504" s="779"/>
      <c r="I1504" s="779"/>
      <c r="J1504" s="779"/>
      <c r="K1504" s="779"/>
      <c r="L1504" s="779"/>
      <c r="M1504" s="779"/>
    </row>
    <row r="1505" spans="8:13" ht="18" customHeight="1">
      <c r="H1505" s="779"/>
      <c r="I1505" s="779"/>
      <c r="J1505" s="779"/>
      <c r="K1505" s="779"/>
      <c r="L1505" s="779"/>
      <c r="M1505" s="779"/>
    </row>
    <row r="1506" spans="8:13" ht="18" customHeight="1">
      <c r="H1506" s="779"/>
      <c r="I1506" s="779"/>
      <c r="J1506" s="779"/>
      <c r="K1506" s="779"/>
      <c r="L1506" s="779"/>
      <c r="M1506" s="779"/>
    </row>
    <row r="1507" spans="8:13" ht="18" customHeight="1">
      <c r="H1507" s="779"/>
      <c r="I1507" s="779"/>
      <c r="J1507" s="779"/>
      <c r="K1507" s="779"/>
      <c r="L1507" s="779"/>
      <c r="M1507" s="779"/>
    </row>
    <row r="1508" spans="8:13" ht="18" customHeight="1">
      <c r="H1508" s="779"/>
      <c r="I1508" s="779"/>
      <c r="J1508" s="779"/>
      <c r="K1508" s="779"/>
      <c r="L1508" s="779"/>
      <c r="M1508" s="779"/>
    </row>
    <row r="1509" spans="8:13" ht="18" customHeight="1">
      <c r="H1509" s="779"/>
      <c r="I1509" s="779"/>
      <c r="J1509" s="779"/>
      <c r="K1509" s="779"/>
      <c r="L1509" s="779"/>
      <c r="M1509" s="779"/>
    </row>
    <row r="1510" spans="8:13" ht="18" customHeight="1">
      <c r="H1510" s="779"/>
      <c r="I1510" s="779"/>
      <c r="J1510" s="779"/>
      <c r="K1510" s="779"/>
      <c r="L1510" s="779"/>
      <c r="M1510" s="779"/>
    </row>
    <row r="1511" spans="8:13" ht="18" customHeight="1">
      <c r="H1511" s="779"/>
      <c r="I1511" s="779"/>
      <c r="J1511" s="779"/>
      <c r="K1511" s="779"/>
      <c r="L1511" s="779"/>
      <c r="M1511" s="779"/>
    </row>
    <row r="1512" spans="8:13" ht="18" customHeight="1">
      <c r="H1512" s="779"/>
      <c r="I1512" s="779"/>
      <c r="J1512" s="779"/>
      <c r="K1512" s="779"/>
      <c r="L1512" s="779"/>
      <c r="M1512" s="779"/>
    </row>
    <row r="1513" spans="8:13" ht="18" customHeight="1">
      <c r="H1513" s="779"/>
      <c r="I1513" s="779"/>
      <c r="J1513" s="779"/>
      <c r="K1513" s="779"/>
      <c r="L1513" s="779"/>
      <c r="M1513" s="779"/>
    </row>
    <row r="1514" spans="8:13" ht="18" customHeight="1">
      <c r="H1514" s="779"/>
      <c r="I1514" s="779"/>
      <c r="J1514" s="779"/>
      <c r="K1514" s="779"/>
      <c r="L1514" s="779"/>
      <c r="M1514" s="779"/>
    </row>
    <row r="1515" spans="8:13" ht="18" customHeight="1">
      <c r="H1515" s="779"/>
      <c r="I1515" s="779"/>
      <c r="J1515" s="779"/>
      <c r="K1515" s="779"/>
      <c r="L1515" s="779"/>
      <c r="M1515" s="779"/>
    </row>
    <row r="1516" spans="8:13" ht="18" customHeight="1">
      <c r="H1516" s="779"/>
      <c r="I1516" s="779"/>
      <c r="J1516" s="779"/>
      <c r="K1516" s="779"/>
      <c r="L1516" s="779"/>
      <c r="M1516" s="779"/>
    </row>
    <row r="1517" spans="8:13" ht="18" customHeight="1">
      <c r="H1517" s="779"/>
      <c r="I1517" s="779"/>
      <c r="J1517" s="779"/>
      <c r="K1517" s="779"/>
      <c r="L1517" s="779"/>
      <c r="M1517" s="779"/>
    </row>
    <row r="1518" spans="8:13" ht="18" customHeight="1">
      <c r="H1518" s="779"/>
      <c r="I1518" s="779"/>
      <c r="J1518" s="779"/>
      <c r="K1518" s="779"/>
      <c r="L1518" s="779"/>
      <c r="M1518" s="779"/>
    </row>
    <row r="1519" spans="8:13" ht="18" customHeight="1">
      <c r="H1519" s="779"/>
      <c r="I1519" s="779"/>
      <c r="J1519" s="779"/>
      <c r="K1519" s="779"/>
      <c r="L1519" s="779"/>
      <c r="M1519" s="779"/>
    </row>
    <row r="1520" spans="8:13" ht="18" customHeight="1">
      <c r="H1520" s="779"/>
      <c r="I1520" s="779"/>
      <c r="J1520" s="779"/>
      <c r="K1520" s="779"/>
      <c r="L1520" s="779"/>
      <c r="M1520" s="779"/>
    </row>
    <row r="1521" spans="8:13" ht="18" customHeight="1">
      <c r="H1521" s="779"/>
      <c r="I1521" s="779"/>
      <c r="J1521" s="779"/>
      <c r="K1521" s="779"/>
      <c r="L1521" s="779"/>
      <c r="M1521" s="779"/>
    </row>
    <row r="1522" spans="8:13" ht="18" customHeight="1">
      <c r="H1522" s="779"/>
      <c r="I1522" s="779"/>
      <c r="J1522" s="779"/>
      <c r="K1522" s="779"/>
      <c r="L1522" s="779"/>
      <c r="M1522" s="779"/>
    </row>
    <row r="1523" spans="8:13" ht="18" customHeight="1">
      <c r="H1523" s="779"/>
      <c r="I1523" s="779"/>
      <c r="J1523" s="779"/>
      <c r="K1523" s="779"/>
      <c r="L1523" s="779"/>
      <c r="M1523" s="779"/>
    </row>
    <row r="1524" spans="8:13" ht="18" customHeight="1">
      <c r="H1524" s="779"/>
      <c r="I1524" s="779"/>
      <c r="J1524" s="779"/>
      <c r="K1524" s="779"/>
      <c r="L1524" s="779"/>
      <c r="M1524" s="779"/>
    </row>
    <row r="1525" spans="8:13" ht="18" customHeight="1">
      <c r="H1525" s="779"/>
      <c r="I1525" s="779"/>
      <c r="J1525" s="779"/>
      <c r="K1525" s="779"/>
      <c r="L1525" s="779"/>
      <c r="M1525" s="779"/>
    </row>
    <row r="1526" spans="8:13" ht="18" customHeight="1">
      <c r="H1526" s="779"/>
      <c r="I1526" s="779"/>
      <c r="J1526" s="779"/>
      <c r="K1526" s="779"/>
      <c r="L1526" s="779"/>
      <c r="M1526" s="779"/>
    </row>
    <row r="1527" spans="8:13" ht="18" customHeight="1">
      <c r="H1527" s="779"/>
      <c r="I1527" s="779"/>
      <c r="J1527" s="779"/>
      <c r="K1527" s="779"/>
      <c r="L1527" s="779"/>
      <c r="M1527" s="779"/>
    </row>
    <row r="1528" spans="8:13" ht="18" customHeight="1">
      <c r="H1528" s="779"/>
      <c r="I1528" s="779"/>
      <c r="J1528" s="779"/>
      <c r="K1528" s="779"/>
      <c r="L1528" s="779"/>
      <c r="M1528" s="779"/>
    </row>
    <row r="1529" spans="8:13" ht="18" customHeight="1">
      <c r="H1529" s="779"/>
      <c r="I1529" s="779"/>
      <c r="J1529" s="779"/>
      <c r="K1529" s="779"/>
      <c r="L1529" s="779"/>
      <c r="M1529" s="779"/>
    </row>
    <row r="1530" spans="8:13" ht="18" customHeight="1">
      <c r="H1530" s="779"/>
      <c r="I1530" s="779"/>
      <c r="J1530" s="779"/>
      <c r="K1530" s="779"/>
      <c r="L1530" s="779"/>
      <c r="M1530" s="779"/>
    </row>
    <row r="1531" spans="8:13" ht="18" customHeight="1">
      <c r="H1531" s="779"/>
      <c r="I1531" s="779"/>
      <c r="J1531" s="779"/>
      <c r="K1531" s="779"/>
      <c r="L1531" s="779"/>
      <c r="M1531" s="779"/>
    </row>
    <row r="1532" spans="8:13" ht="18" customHeight="1">
      <c r="H1532" s="779"/>
      <c r="I1532" s="779"/>
      <c r="J1532" s="779"/>
      <c r="K1532" s="779"/>
      <c r="L1532" s="779"/>
      <c r="M1532" s="779"/>
    </row>
    <row r="1533" spans="8:13" ht="18" customHeight="1">
      <c r="H1533" s="779"/>
      <c r="I1533" s="779"/>
      <c r="J1533" s="779"/>
      <c r="K1533" s="779"/>
      <c r="L1533" s="779"/>
      <c r="M1533" s="779"/>
    </row>
    <row r="1534" spans="8:13" ht="18" customHeight="1">
      <c r="H1534" s="779"/>
      <c r="I1534" s="779"/>
      <c r="J1534" s="779"/>
      <c r="K1534" s="779"/>
      <c r="L1534" s="779"/>
      <c r="M1534" s="779"/>
    </row>
    <row r="1535" spans="8:13" ht="18" customHeight="1">
      <c r="H1535" s="779"/>
      <c r="I1535" s="779"/>
      <c r="J1535" s="779"/>
      <c r="K1535" s="779"/>
      <c r="L1535" s="779"/>
      <c r="M1535" s="779"/>
    </row>
    <row r="1536" spans="8:13" ht="18" customHeight="1">
      <c r="H1536" s="779"/>
      <c r="I1536" s="779"/>
      <c r="J1536" s="779"/>
      <c r="K1536" s="779"/>
      <c r="L1536" s="779"/>
      <c r="M1536" s="779"/>
    </row>
    <row r="1537" spans="8:13" ht="18" customHeight="1">
      <c r="H1537" s="779"/>
      <c r="I1537" s="779"/>
      <c r="J1537" s="779"/>
      <c r="K1537" s="779"/>
      <c r="L1537" s="779"/>
      <c r="M1537" s="779"/>
    </row>
    <row r="1538" spans="8:13" ht="18" customHeight="1">
      <c r="H1538" s="779"/>
      <c r="I1538" s="779"/>
      <c r="J1538" s="779"/>
      <c r="K1538" s="779"/>
      <c r="L1538" s="779"/>
      <c r="M1538" s="779"/>
    </row>
    <row r="1539" spans="8:13" ht="18" customHeight="1">
      <c r="H1539" s="779"/>
      <c r="I1539" s="779"/>
      <c r="J1539" s="779"/>
      <c r="K1539" s="779"/>
      <c r="L1539" s="779"/>
      <c r="M1539" s="779"/>
    </row>
    <row r="1540" spans="8:13" ht="18" customHeight="1">
      <c r="H1540" s="779"/>
      <c r="I1540" s="779"/>
      <c r="J1540" s="779"/>
      <c r="K1540" s="779"/>
      <c r="L1540" s="779"/>
      <c r="M1540" s="779"/>
    </row>
    <row r="1541" spans="8:13" ht="18" customHeight="1">
      <c r="H1541" s="779"/>
      <c r="I1541" s="779"/>
      <c r="J1541" s="779"/>
      <c r="K1541" s="779"/>
      <c r="L1541" s="779"/>
      <c r="M1541" s="779"/>
    </row>
    <row r="1542" spans="8:13" ht="18" customHeight="1">
      <c r="H1542" s="779"/>
      <c r="I1542" s="779"/>
      <c r="J1542" s="779"/>
      <c r="K1542" s="779"/>
      <c r="L1542" s="779"/>
      <c r="M1542" s="779"/>
    </row>
    <row r="1543" spans="8:13" ht="18" customHeight="1">
      <c r="H1543" s="779"/>
      <c r="I1543" s="779"/>
      <c r="J1543" s="779"/>
      <c r="K1543" s="779"/>
      <c r="L1543" s="779"/>
      <c r="M1543" s="779"/>
    </row>
    <row r="1544" spans="8:13" ht="18" customHeight="1">
      <c r="H1544" s="779"/>
      <c r="I1544" s="779"/>
      <c r="J1544" s="779"/>
      <c r="K1544" s="779"/>
      <c r="L1544" s="779"/>
      <c r="M1544" s="779"/>
    </row>
    <row r="1545" spans="8:13" ht="18" customHeight="1">
      <c r="H1545" s="779"/>
      <c r="I1545" s="779"/>
      <c r="J1545" s="779"/>
      <c r="K1545" s="779"/>
      <c r="L1545" s="779"/>
      <c r="M1545" s="779"/>
    </row>
    <row r="1546" spans="8:13" ht="18" customHeight="1">
      <c r="H1546" s="779"/>
      <c r="I1546" s="779"/>
      <c r="J1546" s="779"/>
      <c r="K1546" s="779"/>
      <c r="L1546" s="779"/>
      <c r="M1546" s="779"/>
    </row>
    <row r="1547" spans="8:13" ht="18" customHeight="1">
      <c r="H1547" s="779"/>
      <c r="I1547" s="779"/>
      <c r="J1547" s="779"/>
      <c r="K1547" s="779"/>
      <c r="L1547" s="779"/>
      <c r="M1547" s="779"/>
    </row>
    <row r="1548" spans="8:13" ht="18" customHeight="1">
      <c r="H1548" s="779"/>
      <c r="I1548" s="779"/>
      <c r="J1548" s="779"/>
      <c r="K1548" s="779"/>
      <c r="L1548" s="779"/>
      <c r="M1548" s="779"/>
    </row>
    <row r="1549" spans="8:13" ht="18" customHeight="1">
      <c r="H1549" s="779"/>
      <c r="I1549" s="779"/>
      <c r="J1549" s="779"/>
      <c r="K1549" s="779"/>
      <c r="L1549" s="779"/>
      <c r="M1549" s="779"/>
    </row>
    <row r="1550" spans="8:13" ht="18" customHeight="1">
      <c r="H1550" s="779"/>
      <c r="I1550" s="779"/>
      <c r="J1550" s="779"/>
      <c r="K1550" s="779"/>
      <c r="L1550" s="779"/>
      <c r="M1550" s="779"/>
    </row>
    <row r="1551" spans="8:13" ht="18" customHeight="1">
      <c r="H1551" s="779"/>
      <c r="I1551" s="779"/>
      <c r="J1551" s="779"/>
      <c r="K1551" s="779"/>
      <c r="L1551" s="779"/>
      <c r="M1551" s="779"/>
    </row>
    <row r="1552" spans="8:13" ht="18" customHeight="1">
      <c r="H1552" s="779"/>
      <c r="I1552" s="779"/>
      <c r="J1552" s="779"/>
      <c r="K1552" s="779"/>
      <c r="L1552" s="779"/>
      <c r="M1552" s="779"/>
    </row>
    <row r="1553" spans="8:13" ht="18" customHeight="1">
      <c r="H1553" s="779"/>
      <c r="I1553" s="779"/>
      <c r="J1553" s="779"/>
      <c r="K1553" s="779"/>
      <c r="L1553" s="779"/>
      <c r="M1553" s="779"/>
    </row>
    <row r="1554" spans="8:13" ht="18" customHeight="1">
      <c r="H1554" s="779"/>
      <c r="I1554" s="779"/>
      <c r="J1554" s="779"/>
      <c r="K1554" s="779"/>
      <c r="L1554" s="779"/>
      <c r="M1554" s="779"/>
    </row>
    <row r="1555" spans="8:13" ht="18" customHeight="1">
      <c r="H1555" s="779"/>
      <c r="I1555" s="779"/>
      <c r="J1555" s="779"/>
      <c r="K1555" s="779"/>
      <c r="L1555" s="779"/>
      <c r="M1555" s="779"/>
    </row>
    <row r="1556" spans="8:13" ht="18" customHeight="1">
      <c r="H1556" s="779"/>
      <c r="I1556" s="779"/>
      <c r="J1556" s="779"/>
      <c r="K1556" s="779"/>
      <c r="L1556" s="779"/>
      <c r="M1556" s="779"/>
    </row>
    <row r="1557" spans="8:13" ht="18" customHeight="1">
      <c r="H1557" s="779"/>
      <c r="I1557" s="779"/>
      <c r="J1557" s="779"/>
      <c r="K1557" s="779"/>
      <c r="L1557" s="779"/>
      <c r="M1557" s="779"/>
    </row>
    <row r="1558" spans="8:13" ht="18" customHeight="1">
      <c r="H1558" s="779"/>
      <c r="I1558" s="779"/>
      <c r="J1558" s="779"/>
      <c r="K1558" s="779"/>
      <c r="L1558" s="779"/>
      <c r="M1558" s="779"/>
    </row>
    <row r="1559" spans="8:13" ht="18" customHeight="1">
      <c r="H1559" s="779"/>
      <c r="I1559" s="779"/>
      <c r="J1559" s="779"/>
      <c r="K1559" s="779"/>
      <c r="L1559" s="779"/>
      <c r="M1559" s="779"/>
    </row>
    <row r="1560" spans="8:13" ht="18" customHeight="1">
      <c r="H1560" s="779"/>
      <c r="I1560" s="779"/>
      <c r="J1560" s="779"/>
      <c r="K1560" s="779"/>
      <c r="L1560" s="779"/>
      <c r="M1560" s="779"/>
    </row>
    <row r="1561" spans="8:13" ht="18" customHeight="1">
      <c r="H1561" s="779"/>
      <c r="I1561" s="779"/>
      <c r="J1561" s="779"/>
      <c r="K1561" s="779"/>
      <c r="L1561" s="779"/>
      <c r="M1561" s="779"/>
    </row>
    <row r="1562" spans="8:13" ht="18" customHeight="1">
      <c r="H1562" s="779"/>
      <c r="I1562" s="779"/>
      <c r="J1562" s="779"/>
      <c r="K1562" s="779"/>
      <c r="L1562" s="779"/>
      <c r="M1562" s="779"/>
    </row>
    <row r="1563" spans="8:13" ht="18" customHeight="1">
      <c r="H1563" s="779"/>
      <c r="I1563" s="779"/>
      <c r="J1563" s="779"/>
      <c r="K1563" s="779"/>
      <c r="L1563" s="779"/>
      <c r="M1563" s="779"/>
    </row>
    <row r="1564" spans="8:13" ht="18" customHeight="1">
      <c r="H1564" s="779"/>
      <c r="I1564" s="779"/>
      <c r="J1564" s="779"/>
      <c r="K1564" s="779"/>
      <c r="L1564" s="779"/>
      <c r="M1564" s="779"/>
    </row>
    <row r="1565" spans="8:13" ht="18" customHeight="1">
      <c r="H1565" s="779"/>
      <c r="I1565" s="779"/>
      <c r="J1565" s="779"/>
      <c r="K1565" s="779"/>
      <c r="L1565" s="779"/>
      <c r="M1565" s="779"/>
    </row>
    <row r="1566" spans="8:13" ht="18" customHeight="1">
      <c r="H1566" s="779"/>
      <c r="I1566" s="779"/>
      <c r="J1566" s="779"/>
      <c r="K1566" s="779"/>
      <c r="L1566" s="779"/>
      <c r="M1566" s="779"/>
    </row>
    <row r="1567" spans="8:13" ht="18" customHeight="1">
      <c r="H1567" s="779"/>
      <c r="I1567" s="779"/>
      <c r="J1567" s="779"/>
      <c r="K1567" s="779"/>
      <c r="L1567" s="779"/>
      <c r="M1567" s="779"/>
    </row>
    <row r="1568" spans="8:13" ht="18" customHeight="1">
      <c r="H1568" s="779"/>
      <c r="I1568" s="779"/>
      <c r="J1568" s="779"/>
      <c r="K1568" s="779"/>
      <c r="L1568" s="779"/>
      <c r="M1568" s="779"/>
    </row>
    <row r="1569" spans="8:13" ht="18" customHeight="1">
      <c r="H1569" s="779"/>
      <c r="I1569" s="779"/>
      <c r="J1569" s="779"/>
      <c r="K1569" s="779"/>
      <c r="L1569" s="779"/>
      <c r="M1569" s="779"/>
    </row>
    <row r="1570" spans="8:13" ht="18" customHeight="1">
      <c r="H1570" s="779"/>
      <c r="I1570" s="779"/>
      <c r="J1570" s="779"/>
      <c r="K1570" s="779"/>
      <c r="L1570" s="779"/>
      <c r="M1570" s="779"/>
    </row>
    <row r="1571" spans="8:13" ht="18" customHeight="1">
      <c r="H1571" s="779"/>
      <c r="I1571" s="779"/>
      <c r="J1571" s="779"/>
      <c r="K1571" s="779"/>
      <c r="L1571" s="779"/>
      <c r="M1571" s="779"/>
    </row>
    <row r="1572" spans="8:13" ht="18" customHeight="1">
      <c r="H1572" s="779"/>
      <c r="I1572" s="779"/>
      <c r="J1572" s="779"/>
      <c r="K1572" s="779"/>
      <c r="L1572" s="779"/>
      <c r="M1572" s="779"/>
    </row>
    <row r="1573" spans="8:13" ht="18" customHeight="1">
      <c r="H1573" s="779"/>
      <c r="I1573" s="779"/>
      <c r="J1573" s="779"/>
      <c r="K1573" s="779"/>
      <c r="L1573" s="779"/>
      <c r="M1573" s="779"/>
    </row>
    <row r="1574" spans="8:13" ht="18" customHeight="1">
      <c r="H1574" s="779"/>
      <c r="I1574" s="779"/>
      <c r="J1574" s="779"/>
      <c r="K1574" s="779"/>
      <c r="L1574" s="779"/>
      <c r="M1574" s="779"/>
    </row>
    <row r="1575" spans="8:13" ht="18" customHeight="1">
      <c r="H1575" s="779"/>
      <c r="I1575" s="779"/>
      <c r="J1575" s="779"/>
      <c r="K1575" s="779"/>
      <c r="L1575" s="779"/>
      <c r="M1575" s="779"/>
    </row>
    <row r="1576" spans="8:13" ht="18" customHeight="1">
      <c r="H1576" s="779"/>
      <c r="I1576" s="779"/>
      <c r="J1576" s="779"/>
      <c r="K1576" s="779"/>
      <c r="L1576" s="779"/>
      <c r="M1576" s="779"/>
    </row>
    <row r="1577" spans="8:13" ht="18" customHeight="1">
      <c r="H1577" s="779"/>
      <c r="I1577" s="779"/>
      <c r="J1577" s="779"/>
      <c r="K1577" s="779"/>
      <c r="L1577" s="779"/>
      <c r="M1577" s="779"/>
    </row>
    <row r="1578" spans="8:13" ht="18" customHeight="1">
      <c r="H1578" s="779"/>
      <c r="I1578" s="779"/>
      <c r="J1578" s="779"/>
      <c r="K1578" s="779"/>
      <c r="L1578" s="779"/>
      <c r="M1578" s="779"/>
    </row>
    <row r="1579" spans="8:13" ht="18" customHeight="1">
      <c r="H1579" s="779"/>
      <c r="I1579" s="779"/>
      <c r="J1579" s="779"/>
      <c r="K1579" s="779"/>
      <c r="L1579" s="779"/>
      <c r="M1579" s="779"/>
    </row>
    <row r="1580" spans="8:13" ht="18" customHeight="1">
      <c r="H1580" s="779"/>
      <c r="I1580" s="779"/>
      <c r="J1580" s="779"/>
      <c r="K1580" s="779"/>
      <c r="L1580" s="779"/>
      <c r="M1580" s="779"/>
    </row>
    <row r="1581" spans="8:13" ht="18" customHeight="1">
      <c r="H1581" s="779"/>
      <c r="I1581" s="779"/>
      <c r="J1581" s="779"/>
      <c r="K1581" s="779"/>
      <c r="L1581" s="779"/>
      <c r="M1581" s="779"/>
    </row>
    <row r="1582" spans="8:13" ht="18" customHeight="1">
      <c r="H1582" s="779"/>
      <c r="I1582" s="779"/>
      <c r="J1582" s="779"/>
      <c r="K1582" s="779"/>
      <c r="L1582" s="779"/>
      <c r="M1582" s="779"/>
    </row>
    <row r="1583" spans="8:13" ht="18" customHeight="1">
      <c r="H1583" s="779"/>
      <c r="I1583" s="779"/>
      <c r="J1583" s="779"/>
      <c r="K1583" s="779"/>
      <c r="L1583" s="779"/>
      <c r="M1583" s="779"/>
    </row>
    <row r="1584" spans="8:13" ht="18" customHeight="1">
      <c r="H1584" s="779"/>
      <c r="I1584" s="779"/>
      <c r="J1584" s="779"/>
      <c r="K1584" s="779"/>
      <c r="L1584" s="779"/>
      <c r="M1584" s="779"/>
    </row>
    <row r="1585" spans="8:13" ht="18" customHeight="1">
      <c r="H1585" s="779"/>
      <c r="I1585" s="779"/>
      <c r="J1585" s="779"/>
      <c r="K1585" s="779"/>
      <c r="L1585" s="779"/>
      <c r="M1585" s="779"/>
    </row>
    <row r="1586" spans="8:13" ht="18" customHeight="1">
      <c r="H1586" s="779"/>
      <c r="I1586" s="779"/>
      <c r="J1586" s="779"/>
      <c r="K1586" s="779"/>
      <c r="L1586" s="779"/>
      <c r="M1586" s="779"/>
    </row>
    <row r="1587" spans="8:13" ht="18" customHeight="1">
      <c r="H1587" s="779"/>
      <c r="I1587" s="779"/>
      <c r="J1587" s="779"/>
      <c r="K1587" s="779"/>
      <c r="L1587" s="779"/>
      <c r="M1587" s="779"/>
    </row>
    <row r="1588" spans="8:13" ht="18" customHeight="1">
      <c r="H1588" s="779"/>
      <c r="I1588" s="779"/>
      <c r="J1588" s="779"/>
      <c r="K1588" s="779"/>
      <c r="L1588" s="779"/>
      <c r="M1588" s="779"/>
    </row>
    <row r="1589" spans="8:13" ht="18" customHeight="1">
      <c r="H1589" s="779"/>
      <c r="I1589" s="779"/>
      <c r="J1589" s="779"/>
      <c r="K1589" s="779"/>
      <c r="L1589" s="779"/>
      <c r="M1589" s="779"/>
    </row>
    <row r="1590" spans="8:13" ht="18" customHeight="1">
      <c r="H1590" s="779"/>
      <c r="I1590" s="779"/>
      <c r="J1590" s="779"/>
      <c r="K1590" s="779"/>
      <c r="L1590" s="779"/>
      <c r="M1590" s="779"/>
    </row>
    <row r="1591" spans="8:13" ht="18" customHeight="1">
      <c r="H1591" s="779"/>
      <c r="I1591" s="779"/>
      <c r="J1591" s="779"/>
      <c r="K1591" s="779"/>
      <c r="L1591" s="779"/>
      <c r="M1591" s="779"/>
    </row>
    <row r="1592" spans="8:13" ht="18" customHeight="1">
      <c r="H1592" s="779"/>
      <c r="I1592" s="779"/>
      <c r="J1592" s="779"/>
      <c r="K1592" s="779"/>
      <c r="L1592" s="779"/>
      <c r="M1592" s="779"/>
    </row>
    <row r="1593" spans="8:13" ht="18" customHeight="1">
      <c r="H1593" s="779"/>
      <c r="I1593" s="779"/>
      <c r="J1593" s="779"/>
      <c r="K1593" s="779"/>
      <c r="L1593" s="779"/>
      <c r="M1593" s="779"/>
    </row>
    <row r="1594" spans="8:13" ht="18" customHeight="1">
      <c r="H1594" s="779"/>
      <c r="I1594" s="779"/>
      <c r="J1594" s="779"/>
      <c r="K1594" s="779"/>
      <c r="L1594" s="779"/>
      <c r="M1594" s="779"/>
    </row>
    <row r="1595" spans="8:13" ht="18" customHeight="1">
      <c r="H1595" s="779"/>
      <c r="I1595" s="779"/>
      <c r="J1595" s="779"/>
      <c r="K1595" s="779"/>
      <c r="L1595" s="779"/>
      <c r="M1595" s="779"/>
    </row>
    <row r="1596" spans="8:13" ht="18" customHeight="1">
      <c r="H1596" s="779"/>
      <c r="I1596" s="779"/>
      <c r="J1596" s="779"/>
      <c r="K1596" s="779"/>
      <c r="L1596" s="779"/>
      <c r="M1596" s="779"/>
    </row>
    <row r="1597" spans="8:13" ht="18" customHeight="1">
      <c r="H1597" s="779"/>
      <c r="I1597" s="779"/>
      <c r="J1597" s="779"/>
      <c r="K1597" s="779"/>
      <c r="L1597" s="779"/>
      <c r="M1597" s="779"/>
    </row>
    <row r="1598" spans="8:13" ht="18" customHeight="1">
      <c r="H1598" s="779"/>
      <c r="I1598" s="779"/>
      <c r="J1598" s="779"/>
      <c r="K1598" s="779"/>
      <c r="L1598" s="779"/>
      <c r="M1598" s="779"/>
    </row>
    <row r="1599" spans="8:13" ht="18" customHeight="1">
      <c r="H1599" s="779"/>
      <c r="I1599" s="779"/>
      <c r="J1599" s="779"/>
      <c r="K1599" s="779"/>
      <c r="L1599" s="779"/>
      <c r="M1599" s="779"/>
    </row>
    <row r="1600" spans="8:13" ht="18" customHeight="1">
      <c r="H1600" s="779"/>
      <c r="I1600" s="779"/>
      <c r="J1600" s="779"/>
      <c r="K1600" s="779"/>
      <c r="L1600" s="779"/>
      <c r="M1600" s="779"/>
    </row>
    <row r="1601" spans="8:13" ht="18" customHeight="1">
      <c r="H1601" s="779"/>
      <c r="I1601" s="779"/>
      <c r="J1601" s="779"/>
      <c r="K1601" s="779"/>
      <c r="L1601" s="779"/>
      <c r="M1601" s="779"/>
    </row>
    <row r="1602" spans="8:13" ht="18" customHeight="1">
      <c r="H1602" s="779"/>
      <c r="I1602" s="779"/>
      <c r="J1602" s="779"/>
      <c r="K1602" s="779"/>
      <c r="L1602" s="779"/>
      <c r="M1602" s="779"/>
    </row>
    <row r="1603" spans="8:13" ht="18" customHeight="1">
      <c r="H1603" s="779"/>
      <c r="I1603" s="779"/>
      <c r="J1603" s="779"/>
      <c r="K1603" s="779"/>
      <c r="L1603" s="779"/>
      <c r="M1603" s="779"/>
    </row>
    <row r="1604" spans="8:13" ht="18" customHeight="1">
      <c r="H1604" s="779"/>
      <c r="I1604" s="779"/>
      <c r="J1604" s="779"/>
      <c r="K1604" s="779"/>
      <c r="L1604" s="779"/>
      <c r="M1604" s="779"/>
    </row>
    <row r="1605" spans="8:13" ht="18" customHeight="1">
      <c r="H1605" s="779"/>
      <c r="I1605" s="779"/>
      <c r="J1605" s="779"/>
      <c r="K1605" s="779"/>
      <c r="L1605" s="779"/>
      <c r="M1605" s="779"/>
    </row>
    <row r="1606" spans="8:13" ht="18" customHeight="1">
      <c r="H1606" s="779"/>
      <c r="I1606" s="779"/>
      <c r="J1606" s="779"/>
      <c r="K1606" s="779"/>
      <c r="L1606" s="779"/>
      <c r="M1606" s="779"/>
    </row>
    <row r="1607" spans="8:13" ht="18" customHeight="1">
      <c r="H1607" s="779"/>
      <c r="I1607" s="779"/>
      <c r="J1607" s="779"/>
      <c r="K1607" s="779"/>
      <c r="L1607" s="779"/>
      <c r="M1607" s="779"/>
    </row>
    <row r="1608" spans="8:13" ht="18" customHeight="1">
      <c r="H1608" s="779"/>
      <c r="I1608" s="779"/>
      <c r="J1608" s="779"/>
      <c r="K1608" s="779"/>
      <c r="L1608" s="779"/>
      <c r="M1608" s="779"/>
    </row>
    <row r="1609" spans="8:13" ht="18" customHeight="1">
      <c r="H1609" s="779"/>
      <c r="I1609" s="779"/>
      <c r="J1609" s="779"/>
      <c r="K1609" s="779"/>
      <c r="L1609" s="779"/>
      <c r="M1609" s="779"/>
    </row>
    <row r="1610" spans="8:13" ht="18" customHeight="1">
      <c r="H1610" s="779"/>
      <c r="I1610" s="779"/>
      <c r="J1610" s="779"/>
      <c r="K1610" s="779"/>
      <c r="L1610" s="779"/>
      <c r="M1610" s="779"/>
    </row>
    <row r="1611" spans="8:13" ht="18" customHeight="1">
      <c r="H1611" s="779"/>
      <c r="I1611" s="779"/>
      <c r="J1611" s="779"/>
      <c r="K1611" s="779"/>
      <c r="L1611" s="779"/>
      <c r="M1611" s="779"/>
    </row>
    <row r="1612" spans="8:13" ht="18" customHeight="1">
      <c r="H1612" s="779"/>
      <c r="I1612" s="779"/>
      <c r="J1612" s="779"/>
      <c r="K1612" s="779"/>
      <c r="L1612" s="779"/>
      <c r="M1612" s="779"/>
    </row>
    <row r="1613" spans="8:13" ht="18" customHeight="1">
      <c r="H1613" s="779"/>
      <c r="I1613" s="779"/>
      <c r="J1613" s="779"/>
      <c r="K1613" s="779"/>
      <c r="L1613" s="779"/>
      <c r="M1613" s="779"/>
    </row>
    <row r="1614" spans="8:13" ht="18" customHeight="1">
      <c r="H1614" s="779"/>
      <c r="I1614" s="779"/>
      <c r="J1614" s="779"/>
      <c r="K1614" s="779"/>
      <c r="L1614" s="779"/>
      <c r="M1614" s="779"/>
    </row>
    <row r="1615" spans="8:13" ht="18" customHeight="1">
      <c r="H1615" s="779"/>
      <c r="I1615" s="779"/>
      <c r="J1615" s="779"/>
      <c r="K1615" s="779"/>
      <c r="L1615" s="779"/>
      <c r="M1615" s="779"/>
    </row>
    <row r="1616" spans="8:13" ht="18" customHeight="1">
      <c r="H1616" s="779"/>
      <c r="I1616" s="779"/>
      <c r="J1616" s="779"/>
      <c r="K1616" s="779"/>
      <c r="L1616" s="779"/>
      <c r="M1616" s="779"/>
    </row>
    <row r="1617" spans="8:13" ht="18" customHeight="1">
      <c r="H1617" s="779"/>
      <c r="I1617" s="779"/>
      <c r="J1617" s="779"/>
      <c r="K1617" s="779"/>
      <c r="L1617" s="779"/>
      <c r="M1617" s="779"/>
    </row>
    <row r="1618" spans="8:13" ht="18" customHeight="1">
      <c r="H1618" s="779"/>
      <c r="I1618" s="779"/>
      <c r="J1618" s="779"/>
      <c r="K1618" s="779"/>
      <c r="L1618" s="779"/>
      <c r="M1618" s="779"/>
    </row>
    <row r="1619" spans="8:13" ht="18" customHeight="1">
      <c r="H1619" s="779"/>
      <c r="I1619" s="779"/>
      <c r="J1619" s="779"/>
      <c r="K1619" s="779"/>
      <c r="L1619" s="779"/>
      <c r="M1619" s="779"/>
    </row>
    <row r="1620" spans="8:13" ht="18" customHeight="1">
      <c r="H1620" s="779"/>
      <c r="I1620" s="779"/>
      <c r="J1620" s="779"/>
      <c r="K1620" s="779"/>
      <c r="L1620" s="779"/>
      <c r="M1620" s="779"/>
    </row>
    <row r="1621" spans="8:13" ht="18" customHeight="1">
      <c r="H1621" s="779"/>
      <c r="I1621" s="779"/>
      <c r="J1621" s="779"/>
      <c r="K1621" s="779"/>
      <c r="L1621" s="779"/>
      <c r="M1621" s="779"/>
    </row>
    <row r="1622" spans="8:13" ht="18" customHeight="1">
      <c r="H1622" s="779"/>
      <c r="I1622" s="779"/>
      <c r="J1622" s="779"/>
      <c r="K1622" s="779"/>
      <c r="L1622" s="779"/>
      <c r="M1622" s="779"/>
    </row>
    <row r="1623" spans="8:13" ht="18" customHeight="1">
      <c r="H1623" s="779"/>
      <c r="I1623" s="779"/>
      <c r="J1623" s="779"/>
      <c r="K1623" s="779"/>
      <c r="L1623" s="779"/>
      <c r="M1623" s="779"/>
    </row>
    <row r="1624" spans="8:13" ht="18" customHeight="1">
      <c r="H1624" s="779"/>
      <c r="I1624" s="779"/>
      <c r="J1624" s="779"/>
      <c r="K1624" s="779"/>
      <c r="L1624" s="779"/>
      <c r="M1624" s="779"/>
    </row>
    <row r="1625" spans="8:13" ht="18" customHeight="1">
      <c r="H1625" s="779"/>
      <c r="I1625" s="779"/>
      <c r="J1625" s="779"/>
      <c r="K1625" s="779"/>
      <c r="L1625" s="779"/>
      <c r="M1625" s="779"/>
    </row>
    <row r="1626" spans="8:13" ht="18" customHeight="1">
      <c r="H1626" s="779"/>
      <c r="I1626" s="779"/>
      <c r="J1626" s="779"/>
      <c r="K1626" s="779"/>
      <c r="L1626" s="779"/>
      <c r="M1626" s="779"/>
    </row>
    <row r="1627" spans="8:13" ht="18" customHeight="1">
      <c r="H1627" s="779"/>
      <c r="I1627" s="779"/>
      <c r="J1627" s="779"/>
      <c r="K1627" s="779"/>
      <c r="L1627" s="779"/>
      <c r="M1627" s="779"/>
    </row>
    <row r="1628" spans="8:13" ht="18" customHeight="1">
      <c r="H1628" s="779"/>
      <c r="I1628" s="779"/>
      <c r="J1628" s="779"/>
      <c r="K1628" s="779"/>
      <c r="L1628" s="779"/>
      <c r="M1628" s="779"/>
    </row>
    <row r="1629" spans="8:13" ht="18" customHeight="1">
      <c r="H1629" s="779"/>
      <c r="I1629" s="779"/>
      <c r="J1629" s="779"/>
      <c r="K1629" s="779"/>
      <c r="L1629" s="779"/>
      <c r="M1629" s="779"/>
    </row>
    <row r="1630" spans="8:13" ht="18" customHeight="1">
      <c r="H1630" s="779"/>
      <c r="I1630" s="779"/>
      <c r="J1630" s="779"/>
      <c r="K1630" s="779"/>
      <c r="L1630" s="779"/>
      <c r="M1630" s="779"/>
    </row>
    <row r="1631" spans="8:13" ht="18" customHeight="1">
      <c r="H1631" s="779"/>
      <c r="I1631" s="779"/>
      <c r="J1631" s="779"/>
      <c r="K1631" s="779"/>
      <c r="L1631" s="779"/>
      <c r="M1631" s="779"/>
    </row>
    <row r="1632" spans="8:13" ht="18" customHeight="1">
      <c r="H1632" s="779"/>
      <c r="I1632" s="779"/>
      <c r="J1632" s="779"/>
      <c r="K1632" s="779"/>
      <c r="L1632" s="779"/>
      <c r="M1632" s="779"/>
    </row>
    <row r="1633" spans="8:13" ht="18" customHeight="1">
      <c r="H1633" s="779"/>
      <c r="I1633" s="779"/>
      <c r="J1633" s="779"/>
      <c r="K1633" s="779"/>
      <c r="L1633" s="779"/>
      <c r="M1633" s="779"/>
    </row>
    <row r="1634" spans="8:13" ht="18" customHeight="1">
      <c r="H1634" s="779"/>
      <c r="I1634" s="779"/>
      <c r="J1634" s="779"/>
      <c r="K1634" s="779"/>
      <c r="L1634" s="779"/>
      <c r="M1634" s="779"/>
    </row>
    <row r="1635" spans="8:13" ht="18" customHeight="1">
      <c r="H1635" s="779"/>
      <c r="I1635" s="779"/>
      <c r="J1635" s="779"/>
      <c r="K1635" s="779"/>
      <c r="L1635" s="779"/>
      <c r="M1635" s="779"/>
    </row>
    <row r="1636" spans="8:13" ht="18" customHeight="1">
      <c r="H1636" s="779"/>
      <c r="I1636" s="779"/>
      <c r="J1636" s="779"/>
      <c r="K1636" s="779"/>
      <c r="L1636" s="779"/>
      <c r="M1636" s="779"/>
    </row>
    <row r="1637" spans="8:13" ht="18" customHeight="1">
      <c r="H1637" s="779"/>
      <c r="I1637" s="779"/>
      <c r="J1637" s="779"/>
      <c r="K1637" s="779"/>
      <c r="L1637" s="779"/>
      <c r="M1637" s="779"/>
    </row>
    <row r="1638" spans="8:13" ht="18" customHeight="1">
      <c r="H1638" s="779"/>
      <c r="I1638" s="779"/>
      <c r="J1638" s="779"/>
      <c r="K1638" s="779"/>
      <c r="L1638" s="779"/>
      <c r="M1638" s="779"/>
    </row>
    <row r="1639" spans="8:13" ht="18" customHeight="1">
      <c r="H1639" s="779"/>
      <c r="I1639" s="779"/>
      <c r="J1639" s="779"/>
      <c r="K1639" s="779"/>
      <c r="L1639" s="779"/>
      <c r="M1639" s="779"/>
    </row>
    <row r="1640" spans="8:13" ht="18" customHeight="1">
      <c r="H1640" s="779"/>
      <c r="I1640" s="779"/>
      <c r="J1640" s="779"/>
      <c r="K1640" s="779"/>
      <c r="L1640" s="779"/>
      <c r="M1640" s="779"/>
    </row>
    <row r="1641" spans="8:13" ht="18" customHeight="1">
      <c r="H1641" s="779"/>
      <c r="I1641" s="779"/>
      <c r="J1641" s="779"/>
      <c r="K1641" s="779"/>
      <c r="L1641" s="779"/>
      <c r="M1641" s="779"/>
    </row>
    <row r="1642" spans="8:13" ht="18" customHeight="1">
      <c r="H1642" s="779"/>
      <c r="I1642" s="779"/>
      <c r="J1642" s="779"/>
      <c r="K1642" s="779"/>
      <c r="L1642" s="779"/>
      <c r="M1642" s="779"/>
    </row>
    <row r="1643" spans="8:13" ht="18" customHeight="1">
      <c r="H1643" s="779"/>
      <c r="I1643" s="779"/>
      <c r="J1643" s="779"/>
      <c r="K1643" s="779"/>
      <c r="L1643" s="779"/>
      <c r="M1643" s="779"/>
    </row>
    <row r="1644" spans="8:13" ht="18" customHeight="1">
      <c r="H1644" s="779"/>
      <c r="I1644" s="779"/>
      <c r="J1644" s="779"/>
      <c r="K1644" s="779"/>
      <c r="L1644" s="779"/>
      <c r="M1644" s="779"/>
    </row>
    <row r="1645" spans="8:13" ht="18" customHeight="1">
      <c r="H1645" s="779"/>
      <c r="I1645" s="779"/>
      <c r="J1645" s="779"/>
      <c r="K1645" s="779"/>
      <c r="L1645" s="779"/>
      <c r="M1645" s="779"/>
    </row>
    <row r="1646" spans="8:13" ht="18" customHeight="1">
      <c r="H1646" s="779"/>
      <c r="I1646" s="779"/>
      <c r="J1646" s="779"/>
      <c r="K1646" s="779"/>
      <c r="L1646" s="779"/>
      <c r="M1646" s="779"/>
    </row>
    <row r="1647" spans="8:13" ht="18" customHeight="1">
      <c r="H1647" s="779"/>
      <c r="I1647" s="779"/>
      <c r="J1647" s="779"/>
      <c r="K1647" s="779"/>
      <c r="L1647" s="779"/>
      <c r="M1647" s="779"/>
    </row>
    <row r="1648" spans="8:13" ht="18" customHeight="1">
      <c r="H1648" s="779"/>
      <c r="I1648" s="779"/>
      <c r="J1648" s="779"/>
      <c r="K1648" s="779"/>
      <c r="L1648" s="779"/>
      <c r="M1648" s="779"/>
    </row>
    <row r="1649" spans="8:13" ht="18" customHeight="1">
      <c r="H1649" s="779"/>
      <c r="I1649" s="779"/>
      <c r="J1649" s="779"/>
      <c r="K1649" s="779"/>
      <c r="L1649" s="779"/>
      <c r="M1649" s="779"/>
    </row>
    <row r="1650" spans="8:13" ht="18" customHeight="1">
      <c r="H1650" s="779"/>
      <c r="I1650" s="779"/>
      <c r="J1650" s="779"/>
      <c r="K1650" s="779"/>
      <c r="L1650" s="779"/>
      <c r="M1650" s="779"/>
    </row>
    <row r="1651" spans="8:13" ht="18" customHeight="1">
      <c r="H1651" s="779"/>
      <c r="I1651" s="779"/>
      <c r="J1651" s="779"/>
      <c r="K1651" s="779"/>
      <c r="L1651" s="779"/>
      <c r="M1651" s="779"/>
    </row>
    <row r="1652" spans="8:13" ht="18" customHeight="1">
      <c r="H1652" s="779"/>
      <c r="I1652" s="779"/>
      <c r="J1652" s="779"/>
      <c r="K1652" s="779"/>
      <c r="L1652" s="779"/>
      <c r="M1652" s="779"/>
    </row>
    <row r="1653" spans="8:13" ht="18" customHeight="1">
      <c r="H1653" s="779"/>
      <c r="I1653" s="779"/>
      <c r="J1653" s="779"/>
      <c r="K1653" s="779"/>
      <c r="L1653" s="779"/>
      <c r="M1653" s="779"/>
    </row>
    <row r="1654" spans="8:13" ht="18" customHeight="1">
      <c r="H1654" s="779"/>
      <c r="I1654" s="779"/>
      <c r="J1654" s="779"/>
      <c r="K1654" s="779"/>
      <c r="L1654" s="779"/>
      <c r="M1654" s="779"/>
    </row>
    <row r="1655" spans="8:13" ht="18" customHeight="1">
      <c r="H1655" s="779"/>
      <c r="I1655" s="779"/>
      <c r="J1655" s="779"/>
      <c r="K1655" s="779"/>
      <c r="L1655" s="779"/>
      <c r="M1655" s="779"/>
    </row>
    <row r="1656" spans="8:13" ht="18" customHeight="1">
      <c r="H1656" s="779"/>
      <c r="I1656" s="779"/>
      <c r="J1656" s="779"/>
      <c r="K1656" s="779"/>
      <c r="L1656" s="779"/>
      <c r="M1656" s="779"/>
    </row>
    <row r="1657" spans="8:13" ht="18" customHeight="1">
      <c r="H1657" s="779"/>
      <c r="I1657" s="779"/>
      <c r="J1657" s="779"/>
      <c r="K1657" s="779"/>
      <c r="L1657" s="779"/>
      <c r="M1657" s="779"/>
    </row>
    <row r="1658" spans="8:13" ht="18" customHeight="1">
      <c r="H1658" s="779"/>
      <c r="I1658" s="779"/>
      <c r="J1658" s="779"/>
      <c r="K1658" s="779"/>
      <c r="L1658" s="779"/>
      <c r="M1658" s="779"/>
    </row>
    <row r="1659" spans="8:13" ht="18" customHeight="1">
      <c r="H1659" s="779"/>
      <c r="I1659" s="779"/>
      <c r="J1659" s="779"/>
      <c r="K1659" s="779"/>
      <c r="L1659" s="779"/>
      <c r="M1659" s="779"/>
    </row>
    <row r="1660" spans="8:13" ht="18" customHeight="1">
      <c r="H1660" s="779"/>
      <c r="I1660" s="779"/>
      <c r="J1660" s="779"/>
      <c r="K1660" s="779"/>
      <c r="L1660" s="779"/>
      <c r="M1660" s="779"/>
    </row>
    <row r="1661" spans="8:13" ht="18" customHeight="1">
      <c r="H1661" s="779"/>
      <c r="I1661" s="779"/>
      <c r="J1661" s="779"/>
      <c r="K1661" s="779"/>
      <c r="L1661" s="779"/>
      <c r="M1661" s="779"/>
    </row>
    <row r="1662" spans="8:13" ht="18" customHeight="1">
      <c r="H1662" s="779"/>
      <c r="I1662" s="779"/>
      <c r="J1662" s="779"/>
      <c r="K1662" s="779"/>
      <c r="L1662" s="779"/>
      <c r="M1662" s="779"/>
    </row>
    <row r="1663" spans="8:13" ht="18" customHeight="1">
      <c r="H1663" s="779"/>
      <c r="I1663" s="779"/>
      <c r="J1663" s="779"/>
      <c r="K1663" s="779"/>
      <c r="L1663" s="779"/>
      <c r="M1663" s="779"/>
    </row>
    <row r="1664" spans="8:13" ht="18" customHeight="1">
      <c r="H1664" s="779"/>
      <c r="I1664" s="779"/>
      <c r="J1664" s="779"/>
      <c r="K1664" s="779"/>
      <c r="L1664" s="779"/>
      <c r="M1664" s="779"/>
    </row>
    <row r="1665" spans="8:13" ht="18" customHeight="1">
      <c r="H1665" s="779"/>
      <c r="I1665" s="779"/>
      <c r="J1665" s="779"/>
      <c r="K1665" s="779"/>
      <c r="L1665" s="779"/>
      <c r="M1665" s="779"/>
    </row>
    <row r="1666" spans="8:13" ht="18" customHeight="1">
      <c r="H1666" s="779"/>
      <c r="I1666" s="779"/>
      <c r="J1666" s="779"/>
      <c r="K1666" s="779"/>
      <c r="L1666" s="779"/>
      <c r="M1666" s="779"/>
    </row>
    <row r="1667" spans="8:13" ht="18" customHeight="1">
      <c r="H1667" s="779"/>
      <c r="I1667" s="779"/>
      <c r="J1667" s="779"/>
      <c r="K1667" s="779"/>
      <c r="L1667" s="779"/>
      <c r="M1667" s="779"/>
    </row>
    <row r="1668" spans="8:13" ht="18" customHeight="1">
      <c r="H1668" s="779"/>
      <c r="I1668" s="779"/>
      <c r="J1668" s="779"/>
      <c r="K1668" s="779"/>
      <c r="L1668" s="779"/>
      <c r="M1668" s="779"/>
    </row>
    <row r="1669" spans="8:13" ht="18" customHeight="1">
      <c r="H1669" s="779"/>
      <c r="I1669" s="779"/>
      <c r="J1669" s="779"/>
      <c r="K1669" s="779"/>
      <c r="L1669" s="779"/>
      <c r="M1669" s="779"/>
    </row>
    <row r="1670" spans="8:13" ht="18" customHeight="1">
      <c r="H1670" s="779"/>
      <c r="I1670" s="779"/>
      <c r="J1670" s="779"/>
      <c r="K1670" s="779"/>
      <c r="L1670" s="779"/>
      <c r="M1670" s="779"/>
    </row>
    <row r="1671" spans="8:13" ht="18" customHeight="1">
      <c r="H1671" s="779"/>
      <c r="I1671" s="779"/>
      <c r="J1671" s="779"/>
      <c r="K1671" s="779"/>
      <c r="L1671" s="779"/>
      <c r="M1671" s="779"/>
    </row>
    <row r="1672" spans="8:13" ht="18" customHeight="1">
      <c r="H1672" s="779"/>
      <c r="I1672" s="779"/>
      <c r="J1672" s="779"/>
      <c r="K1672" s="779"/>
      <c r="L1672" s="779"/>
      <c r="M1672" s="779"/>
    </row>
    <row r="1673" spans="8:13" ht="18" customHeight="1">
      <c r="H1673" s="779"/>
      <c r="I1673" s="779"/>
      <c r="J1673" s="779"/>
      <c r="K1673" s="779"/>
      <c r="L1673" s="779"/>
      <c r="M1673" s="779"/>
    </row>
    <row r="1674" spans="8:13" ht="18" customHeight="1">
      <c r="H1674" s="779"/>
      <c r="I1674" s="779"/>
      <c r="J1674" s="779"/>
      <c r="K1674" s="779"/>
      <c r="L1674" s="779"/>
      <c r="M1674" s="779"/>
    </row>
    <row r="1675" spans="8:13" ht="18" customHeight="1">
      <c r="H1675" s="779"/>
      <c r="I1675" s="779"/>
      <c r="J1675" s="779"/>
      <c r="K1675" s="779"/>
      <c r="L1675" s="779"/>
      <c r="M1675" s="779"/>
    </row>
    <row r="1676" spans="8:13" ht="18" customHeight="1">
      <c r="H1676" s="779"/>
      <c r="I1676" s="779"/>
      <c r="J1676" s="779"/>
      <c r="K1676" s="779"/>
      <c r="L1676" s="779"/>
      <c r="M1676" s="779"/>
    </row>
    <row r="1677" spans="8:13" ht="18" customHeight="1">
      <c r="H1677" s="779"/>
      <c r="I1677" s="779"/>
      <c r="J1677" s="779"/>
      <c r="K1677" s="779"/>
      <c r="L1677" s="779"/>
      <c r="M1677" s="779"/>
    </row>
    <row r="1678" spans="8:13" ht="18" customHeight="1">
      <c r="H1678" s="779"/>
      <c r="I1678" s="779"/>
      <c r="J1678" s="779"/>
      <c r="K1678" s="779"/>
      <c r="L1678" s="779"/>
      <c r="M1678" s="779"/>
    </row>
    <row r="1679" spans="8:13" ht="18" customHeight="1">
      <c r="H1679" s="779"/>
      <c r="I1679" s="779"/>
      <c r="J1679" s="779"/>
      <c r="K1679" s="779"/>
      <c r="L1679" s="779"/>
      <c r="M1679" s="779"/>
    </row>
    <row r="1680" spans="8:13" ht="18" customHeight="1">
      <c r="H1680" s="779"/>
      <c r="I1680" s="779"/>
      <c r="J1680" s="779"/>
      <c r="K1680" s="779"/>
      <c r="L1680" s="779"/>
      <c r="M1680" s="779"/>
    </row>
    <row r="1681" spans="8:13" ht="18" customHeight="1">
      <c r="H1681" s="779"/>
      <c r="I1681" s="779"/>
      <c r="J1681" s="779"/>
      <c r="K1681" s="779"/>
      <c r="L1681" s="779"/>
      <c r="M1681" s="779"/>
    </row>
    <row r="1682" spans="8:13" ht="18" customHeight="1">
      <c r="H1682" s="779"/>
      <c r="I1682" s="779"/>
      <c r="J1682" s="779"/>
      <c r="K1682" s="779"/>
      <c r="L1682" s="779"/>
      <c r="M1682" s="779"/>
    </row>
    <row r="1683" spans="8:13" ht="18" customHeight="1">
      <c r="H1683" s="779"/>
      <c r="I1683" s="779"/>
      <c r="J1683" s="779"/>
      <c r="K1683" s="779"/>
      <c r="L1683" s="779"/>
      <c r="M1683" s="779"/>
    </row>
    <row r="1684" spans="8:13" ht="18" customHeight="1">
      <c r="H1684" s="779"/>
      <c r="I1684" s="779"/>
      <c r="J1684" s="779"/>
      <c r="K1684" s="779"/>
      <c r="L1684" s="779"/>
      <c r="M1684" s="779"/>
    </row>
    <row r="1685" spans="8:13" ht="18" customHeight="1">
      <c r="H1685" s="779"/>
      <c r="I1685" s="779"/>
      <c r="J1685" s="779"/>
      <c r="K1685" s="779"/>
      <c r="L1685" s="779"/>
      <c r="M1685" s="779"/>
    </row>
    <row r="1686" spans="8:13" ht="18" customHeight="1">
      <c r="H1686" s="779"/>
      <c r="I1686" s="779"/>
      <c r="J1686" s="779"/>
      <c r="K1686" s="779"/>
      <c r="L1686" s="779"/>
      <c r="M1686" s="779"/>
    </row>
    <row r="1687" spans="8:13" ht="18" customHeight="1">
      <c r="H1687" s="779"/>
      <c r="I1687" s="779"/>
      <c r="J1687" s="779"/>
      <c r="K1687" s="779"/>
      <c r="L1687" s="779"/>
      <c r="M1687" s="779"/>
    </row>
    <row r="1688" spans="8:13" ht="18" customHeight="1">
      <c r="H1688" s="779"/>
      <c r="I1688" s="779"/>
      <c r="J1688" s="779"/>
      <c r="K1688" s="779"/>
      <c r="L1688" s="779"/>
      <c r="M1688" s="779"/>
    </row>
    <row r="1689" spans="8:13" ht="18" customHeight="1">
      <c r="H1689" s="779"/>
      <c r="I1689" s="779"/>
      <c r="J1689" s="779"/>
      <c r="K1689" s="779"/>
      <c r="L1689" s="779"/>
      <c r="M1689" s="779"/>
    </row>
    <row r="1690" spans="8:13" ht="18" customHeight="1">
      <c r="H1690" s="779"/>
      <c r="I1690" s="779"/>
      <c r="J1690" s="779"/>
      <c r="K1690" s="779"/>
      <c r="L1690" s="779"/>
      <c r="M1690" s="779"/>
    </row>
    <row r="1691" spans="8:13" ht="18" customHeight="1">
      <c r="H1691" s="779"/>
      <c r="I1691" s="779"/>
      <c r="J1691" s="779"/>
      <c r="K1691" s="779"/>
      <c r="L1691" s="779"/>
      <c r="M1691" s="779"/>
    </row>
    <row r="1692" spans="8:13" ht="18" customHeight="1">
      <c r="H1692" s="779"/>
      <c r="I1692" s="779"/>
      <c r="J1692" s="779"/>
      <c r="K1692" s="779"/>
      <c r="L1692" s="779"/>
      <c r="M1692" s="779"/>
    </row>
    <row r="1693" spans="8:13" ht="18" customHeight="1">
      <c r="H1693" s="779"/>
      <c r="I1693" s="779"/>
      <c r="J1693" s="779"/>
      <c r="K1693" s="779"/>
      <c r="L1693" s="779"/>
      <c r="M1693" s="779"/>
    </row>
    <row r="1694" spans="8:13" ht="18" customHeight="1">
      <c r="H1694" s="779"/>
      <c r="I1694" s="779"/>
      <c r="J1694" s="779"/>
      <c r="K1694" s="779"/>
      <c r="L1694" s="779"/>
      <c r="M1694" s="779"/>
    </row>
    <row r="1695" spans="8:13" ht="18" customHeight="1">
      <c r="H1695" s="779"/>
      <c r="I1695" s="779"/>
      <c r="J1695" s="779"/>
      <c r="K1695" s="779"/>
      <c r="L1695" s="779"/>
      <c r="M1695" s="779"/>
    </row>
    <row r="1696" spans="8:13" ht="18" customHeight="1">
      <c r="H1696" s="779"/>
      <c r="I1696" s="779"/>
      <c r="J1696" s="779"/>
      <c r="K1696" s="779"/>
      <c r="L1696" s="779"/>
      <c r="M1696" s="779"/>
    </row>
    <row r="1697" spans="8:13" ht="18" customHeight="1">
      <c r="H1697" s="779"/>
      <c r="I1697" s="779"/>
      <c r="J1697" s="779"/>
      <c r="K1697" s="779"/>
      <c r="L1697" s="779"/>
      <c r="M1697" s="779"/>
    </row>
    <row r="1698" spans="8:13" ht="18" customHeight="1">
      <c r="H1698" s="779"/>
      <c r="I1698" s="779"/>
      <c r="J1698" s="779"/>
      <c r="K1698" s="779"/>
      <c r="L1698" s="779"/>
      <c r="M1698" s="779"/>
    </row>
    <row r="1699" spans="8:13" ht="18" customHeight="1">
      <c r="H1699" s="779"/>
      <c r="I1699" s="779"/>
      <c r="J1699" s="779"/>
      <c r="K1699" s="779"/>
      <c r="L1699" s="779"/>
      <c r="M1699" s="779"/>
    </row>
    <row r="1700" spans="8:13" ht="18" customHeight="1">
      <c r="H1700" s="779"/>
      <c r="I1700" s="779"/>
      <c r="J1700" s="779"/>
      <c r="K1700" s="779"/>
      <c r="L1700" s="779"/>
      <c r="M1700" s="779"/>
    </row>
    <row r="1701" spans="8:13" ht="18" customHeight="1">
      <c r="H1701" s="779"/>
      <c r="I1701" s="779"/>
      <c r="J1701" s="779"/>
      <c r="K1701" s="779"/>
      <c r="L1701" s="779"/>
      <c r="M1701" s="779"/>
    </row>
    <row r="1702" spans="8:13" ht="18" customHeight="1">
      <c r="H1702" s="779"/>
      <c r="I1702" s="779"/>
      <c r="J1702" s="779"/>
      <c r="K1702" s="779"/>
      <c r="L1702" s="779"/>
      <c r="M1702" s="779"/>
    </row>
    <row r="1703" spans="8:13" ht="18" customHeight="1">
      <c r="H1703" s="779"/>
      <c r="I1703" s="779"/>
      <c r="J1703" s="779"/>
      <c r="K1703" s="779"/>
      <c r="L1703" s="779"/>
      <c r="M1703" s="779"/>
    </row>
    <row r="1704" spans="8:13" ht="18" customHeight="1">
      <c r="H1704" s="779"/>
      <c r="I1704" s="779"/>
      <c r="J1704" s="779"/>
      <c r="K1704" s="779"/>
      <c r="L1704" s="779"/>
      <c r="M1704" s="779"/>
    </row>
    <row r="1705" spans="8:13" ht="18" customHeight="1">
      <c r="H1705" s="779"/>
      <c r="I1705" s="779"/>
      <c r="J1705" s="779"/>
      <c r="K1705" s="779"/>
      <c r="L1705" s="779"/>
      <c r="M1705" s="779"/>
    </row>
    <row r="1706" spans="8:13" ht="18" customHeight="1">
      <c r="H1706" s="779"/>
      <c r="I1706" s="779"/>
      <c r="J1706" s="779"/>
      <c r="K1706" s="779"/>
      <c r="L1706" s="779"/>
      <c r="M1706" s="779"/>
    </row>
    <row r="1707" spans="8:13" ht="18" customHeight="1">
      <c r="H1707" s="779"/>
      <c r="I1707" s="779"/>
      <c r="J1707" s="779"/>
      <c r="K1707" s="779"/>
      <c r="L1707" s="779"/>
      <c r="M1707" s="779"/>
    </row>
    <row r="1708" spans="8:13" ht="18" customHeight="1">
      <c r="H1708" s="779"/>
      <c r="I1708" s="779"/>
      <c r="J1708" s="779"/>
      <c r="K1708" s="779"/>
      <c r="L1708" s="779"/>
      <c r="M1708" s="779"/>
    </row>
    <row r="1709" spans="8:13" ht="18" customHeight="1">
      <c r="H1709" s="779"/>
      <c r="I1709" s="779"/>
      <c r="J1709" s="779"/>
      <c r="K1709" s="779"/>
      <c r="L1709" s="779"/>
      <c r="M1709" s="779"/>
    </row>
    <row r="1710" spans="8:13" ht="18" customHeight="1">
      <c r="H1710" s="779"/>
      <c r="I1710" s="779"/>
      <c r="J1710" s="779"/>
      <c r="K1710" s="779"/>
      <c r="L1710" s="779"/>
      <c r="M1710" s="779"/>
    </row>
    <row r="1711" spans="8:13" ht="18" customHeight="1">
      <c r="H1711" s="779"/>
      <c r="I1711" s="779"/>
      <c r="J1711" s="779"/>
      <c r="K1711" s="779"/>
      <c r="L1711" s="779"/>
      <c r="M1711" s="779"/>
    </row>
    <row r="1712" spans="8:13" ht="18" customHeight="1">
      <c r="H1712" s="779"/>
      <c r="I1712" s="779"/>
      <c r="J1712" s="779"/>
      <c r="K1712" s="779"/>
      <c r="L1712" s="779"/>
      <c r="M1712" s="779"/>
    </row>
    <row r="1713" spans="8:13" ht="18" customHeight="1">
      <c r="H1713" s="779"/>
      <c r="I1713" s="779"/>
      <c r="J1713" s="779"/>
      <c r="K1713" s="779"/>
      <c r="L1713" s="779"/>
      <c r="M1713" s="779"/>
    </row>
    <row r="1714" spans="8:13" ht="18" customHeight="1">
      <c r="H1714" s="779"/>
      <c r="I1714" s="779"/>
      <c r="J1714" s="779"/>
      <c r="K1714" s="779"/>
      <c r="L1714" s="779"/>
      <c r="M1714" s="779"/>
    </row>
    <row r="1715" spans="8:13" ht="18" customHeight="1">
      <c r="H1715" s="779"/>
      <c r="I1715" s="779"/>
      <c r="J1715" s="779"/>
      <c r="K1715" s="779"/>
      <c r="L1715" s="779"/>
      <c r="M1715" s="779"/>
    </row>
    <row r="1716" spans="8:13" ht="18" customHeight="1">
      <c r="H1716" s="779"/>
      <c r="I1716" s="779"/>
      <c r="J1716" s="779"/>
      <c r="K1716" s="779"/>
      <c r="L1716" s="779"/>
      <c r="M1716" s="779"/>
    </row>
    <row r="1717" spans="8:13" ht="18" customHeight="1">
      <c r="H1717" s="779"/>
      <c r="I1717" s="779"/>
      <c r="J1717" s="779"/>
      <c r="K1717" s="779"/>
      <c r="L1717" s="779"/>
      <c r="M1717" s="779"/>
    </row>
    <row r="1718" spans="8:13" ht="18" customHeight="1">
      <c r="H1718" s="779"/>
      <c r="I1718" s="779"/>
      <c r="J1718" s="779"/>
      <c r="K1718" s="779"/>
      <c r="L1718" s="779"/>
      <c r="M1718" s="779"/>
    </row>
    <row r="1719" spans="8:13" ht="18" customHeight="1">
      <c r="H1719" s="779"/>
      <c r="I1719" s="779"/>
      <c r="J1719" s="779"/>
      <c r="K1719" s="779"/>
      <c r="L1719" s="779"/>
      <c r="M1719" s="779"/>
    </row>
    <row r="1720" spans="8:13" ht="18" customHeight="1">
      <c r="H1720" s="779"/>
      <c r="I1720" s="779"/>
      <c r="J1720" s="779"/>
      <c r="K1720" s="779"/>
      <c r="L1720" s="779"/>
      <c r="M1720" s="779"/>
    </row>
    <row r="1721" spans="8:13" ht="18" customHeight="1">
      <c r="H1721" s="779"/>
      <c r="I1721" s="779"/>
      <c r="J1721" s="779"/>
      <c r="K1721" s="779"/>
      <c r="L1721" s="779"/>
      <c r="M1721" s="779"/>
    </row>
    <row r="1722" spans="8:13" ht="18" customHeight="1">
      <c r="H1722" s="779"/>
      <c r="I1722" s="779"/>
      <c r="J1722" s="779"/>
      <c r="K1722" s="779"/>
      <c r="L1722" s="779"/>
      <c r="M1722" s="779"/>
    </row>
    <row r="1723" spans="8:13" ht="18" customHeight="1">
      <c r="H1723" s="779"/>
      <c r="I1723" s="779"/>
      <c r="J1723" s="779"/>
      <c r="K1723" s="779"/>
      <c r="L1723" s="779"/>
      <c r="M1723" s="779"/>
    </row>
    <row r="1724" spans="8:13" ht="18" customHeight="1">
      <c r="H1724" s="779"/>
      <c r="I1724" s="779"/>
      <c r="J1724" s="779"/>
      <c r="K1724" s="779"/>
      <c r="L1724" s="779"/>
      <c r="M1724" s="779"/>
    </row>
    <row r="1725" spans="8:13" ht="18" customHeight="1">
      <c r="H1725" s="779"/>
      <c r="I1725" s="779"/>
      <c r="J1725" s="779"/>
      <c r="K1725" s="779"/>
      <c r="L1725" s="779"/>
      <c r="M1725" s="779"/>
    </row>
    <row r="1726" spans="8:13" ht="18" customHeight="1">
      <c r="H1726" s="779"/>
      <c r="I1726" s="779"/>
      <c r="J1726" s="779"/>
      <c r="K1726" s="779"/>
      <c r="L1726" s="779"/>
      <c r="M1726" s="779"/>
    </row>
    <row r="1727" spans="8:13" ht="18" customHeight="1">
      <c r="H1727" s="779"/>
      <c r="I1727" s="779"/>
      <c r="J1727" s="779"/>
      <c r="K1727" s="779"/>
      <c r="L1727" s="779"/>
      <c r="M1727" s="779"/>
    </row>
    <row r="1728" spans="8:13" ht="18" customHeight="1">
      <c r="H1728" s="779"/>
      <c r="I1728" s="779"/>
      <c r="J1728" s="779"/>
      <c r="K1728" s="779"/>
      <c r="L1728" s="779"/>
      <c r="M1728" s="779"/>
    </row>
    <row r="1729" spans="8:13" ht="18" customHeight="1">
      <c r="H1729" s="779"/>
      <c r="I1729" s="779"/>
      <c r="J1729" s="779"/>
      <c r="K1729" s="779"/>
      <c r="L1729" s="779"/>
      <c r="M1729" s="779"/>
    </row>
    <row r="1730" spans="8:13" ht="18" customHeight="1">
      <c r="H1730" s="779"/>
      <c r="I1730" s="779"/>
      <c r="J1730" s="779"/>
      <c r="K1730" s="779"/>
      <c r="L1730" s="779"/>
      <c r="M1730" s="779"/>
    </row>
    <row r="1731" spans="8:13" ht="18" customHeight="1">
      <c r="H1731" s="779"/>
      <c r="I1731" s="779"/>
      <c r="J1731" s="779"/>
      <c r="K1731" s="779"/>
      <c r="L1731" s="779"/>
      <c r="M1731" s="779"/>
    </row>
    <row r="1732" spans="8:13" ht="18" customHeight="1">
      <c r="H1732" s="779"/>
      <c r="I1732" s="779"/>
      <c r="J1732" s="779"/>
      <c r="K1732" s="779"/>
      <c r="L1732" s="779"/>
      <c r="M1732" s="779"/>
    </row>
    <row r="1733" spans="8:13" ht="18" customHeight="1">
      <c r="H1733" s="779"/>
      <c r="I1733" s="779"/>
      <c r="J1733" s="779"/>
      <c r="K1733" s="779"/>
      <c r="L1733" s="779"/>
      <c r="M1733" s="779"/>
    </row>
    <row r="1734" spans="8:13" ht="18" customHeight="1">
      <c r="H1734" s="779"/>
      <c r="I1734" s="779"/>
      <c r="J1734" s="779"/>
      <c r="K1734" s="779"/>
      <c r="L1734" s="779"/>
      <c r="M1734" s="779"/>
    </row>
    <row r="1735" spans="8:13" ht="18" customHeight="1">
      <c r="H1735" s="779"/>
      <c r="I1735" s="779"/>
      <c r="J1735" s="779"/>
      <c r="K1735" s="779"/>
      <c r="L1735" s="779"/>
      <c r="M1735" s="779"/>
    </row>
    <row r="1736" spans="8:13" ht="18" customHeight="1">
      <c r="H1736" s="779"/>
      <c r="I1736" s="779"/>
      <c r="J1736" s="779"/>
      <c r="K1736" s="779"/>
      <c r="L1736" s="779"/>
      <c r="M1736" s="779"/>
    </row>
    <row r="1737" spans="8:13" ht="18" customHeight="1">
      <c r="H1737" s="779"/>
      <c r="I1737" s="779"/>
      <c r="J1737" s="779"/>
      <c r="K1737" s="779"/>
      <c r="L1737" s="779"/>
      <c r="M1737" s="779"/>
    </row>
    <row r="1738" spans="8:13" ht="18" customHeight="1">
      <c r="H1738" s="779"/>
      <c r="I1738" s="779"/>
      <c r="J1738" s="779"/>
      <c r="K1738" s="779"/>
      <c r="L1738" s="779"/>
      <c r="M1738" s="779"/>
    </row>
    <row r="1739" spans="8:13" ht="18" customHeight="1">
      <c r="H1739" s="779"/>
      <c r="I1739" s="779"/>
      <c r="J1739" s="779"/>
      <c r="K1739" s="779"/>
      <c r="L1739" s="779"/>
      <c r="M1739" s="779"/>
    </row>
    <row r="1740" spans="8:13" ht="18" customHeight="1">
      <c r="H1740" s="779"/>
      <c r="I1740" s="779"/>
      <c r="J1740" s="779"/>
      <c r="K1740" s="779"/>
      <c r="L1740" s="779"/>
      <c r="M1740" s="779"/>
    </row>
    <row r="1741" spans="8:13" ht="18" customHeight="1">
      <c r="H1741" s="779"/>
      <c r="I1741" s="779"/>
      <c r="J1741" s="779"/>
      <c r="K1741" s="779"/>
      <c r="L1741" s="779"/>
      <c r="M1741" s="779"/>
    </row>
    <row r="1742" spans="8:13" ht="18" customHeight="1">
      <c r="H1742" s="779"/>
      <c r="I1742" s="779"/>
      <c r="J1742" s="779"/>
      <c r="K1742" s="779"/>
      <c r="L1742" s="779"/>
      <c r="M1742" s="779"/>
    </row>
    <row r="1743" spans="8:13" ht="18" customHeight="1">
      <c r="H1743" s="779"/>
      <c r="I1743" s="779"/>
      <c r="J1743" s="779"/>
      <c r="K1743" s="779"/>
      <c r="L1743" s="779"/>
      <c r="M1743" s="779"/>
    </row>
    <row r="1744" spans="8:13" ht="18" customHeight="1">
      <c r="H1744" s="779"/>
      <c r="I1744" s="779"/>
      <c r="J1744" s="779"/>
      <c r="K1744" s="779"/>
      <c r="L1744" s="779"/>
      <c r="M1744" s="779"/>
    </row>
    <row r="1745" spans="8:13" ht="18" customHeight="1">
      <c r="H1745" s="779"/>
      <c r="I1745" s="779"/>
      <c r="J1745" s="779"/>
      <c r="K1745" s="779"/>
      <c r="L1745" s="779"/>
      <c r="M1745" s="779"/>
    </row>
    <row r="1746" spans="8:13" ht="18" customHeight="1">
      <c r="H1746" s="779"/>
      <c r="I1746" s="779"/>
      <c r="J1746" s="779"/>
      <c r="K1746" s="779"/>
      <c r="L1746" s="779"/>
      <c r="M1746" s="779"/>
    </row>
    <row r="1747" spans="8:13" ht="18" customHeight="1">
      <c r="H1747" s="779"/>
      <c r="I1747" s="779"/>
      <c r="J1747" s="779"/>
      <c r="K1747" s="779"/>
      <c r="L1747" s="779"/>
      <c r="M1747" s="779"/>
    </row>
    <row r="1748" spans="8:13" ht="18" customHeight="1">
      <c r="H1748" s="779"/>
      <c r="I1748" s="779"/>
      <c r="J1748" s="779"/>
      <c r="K1748" s="779"/>
      <c r="L1748" s="779"/>
      <c r="M1748" s="779"/>
    </row>
    <row r="1749" spans="8:13" ht="18" customHeight="1">
      <c r="H1749" s="779"/>
      <c r="I1749" s="779"/>
      <c r="J1749" s="779"/>
      <c r="K1749" s="779"/>
      <c r="L1749" s="779"/>
      <c r="M1749" s="779"/>
    </row>
    <row r="1750" spans="8:13" ht="18" customHeight="1">
      <c r="H1750" s="779"/>
      <c r="I1750" s="779"/>
      <c r="J1750" s="779"/>
      <c r="K1750" s="779"/>
      <c r="L1750" s="779"/>
      <c r="M1750" s="779"/>
    </row>
    <row r="1751" spans="8:13" ht="18" customHeight="1">
      <c r="H1751" s="779"/>
      <c r="I1751" s="779"/>
      <c r="J1751" s="779"/>
      <c r="K1751" s="779"/>
      <c r="L1751" s="779"/>
      <c r="M1751" s="779"/>
    </row>
    <row r="1752" spans="8:13" ht="18" customHeight="1">
      <c r="H1752" s="779"/>
      <c r="I1752" s="779"/>
      <c r="J1752" s="779"/>
      <c r="K1752" s="779"/>
      <c r="L1752" s="779"/>
      <c r="M1752" s="779"/>
    </row>
    <row r="1753" spans="8:13" ht="18" customHeight="1">
      <c r="H1753" s="779"/>
      <c r="I1753" s="779"/>
      <c r="J1753" s="779"/>
      <c r="K1753" s="779"/>
      <c r="L1753" s="779"/>
      <c r="M1753" s="779"/>
    </row>
    <row r="1754" spans="8:13" ht="18" customHeight="1">
      <c r="H1754" s="779"/>
      <c r="I1754" s="779"/>
      <c r="J1754" s="779"/>
      <c r="K1754" s="779"/>
      <c r="L1754" s="779"/>
      <c r="M1754" s="779"/>
    </row>
    <row r="1755" spans="8:13" ht="18" customHeight="1">
      <c r="H1755" s="779"/>
      <c r="I1755" s="779"/>
      <c r="J1755" s="779"/>
      <c r="K1755" s="779"/>
      <c r="L1755" s="779"/>
      <c r="M1755" s="779"/>
    </row>
    <row r="1756" spans="8:13" ht="18" customHeight="1">
      <c r="H1756" s="779"/>
      <c r="I1756" s="779"/>
      <c r="J1756" s="779"/>
      <c r="K1756" s="779"/>
      <c r="L1756" s="779"/>
      <c r="M1756" s="779"/>
    </row>
    <row r="1757" spans="8:13" ht="18" customHeight="1">
      <c r="H1757" s="779"/>
      <c r="I1757" s="779"/>
      <c r="J1757" s="779"/>
      <c r="K1757" s="779"/>
      <c r="L1757" s="779"/>
      <c r="M1757" s="779"/>
    </row>
    <row r="1758" spans="8:13" ht="18" customHeight="1">
      <c r="H1758" s="779"/>
      <c r="I1758" s="779"/>
      <c r="J1758" s="779"/>
      <c r="K1758" s="779"/>
      <c r="L1758" s="779"/>
      <c r="M1758" s="779"/>
    </row>
    <row r="1759" spans="8:13" ht="18" customHeight="1">
      <c r="H1759" s="779"/>
      <c r="I1759" s="779"/>
      <c r="J1759" s="779"/>
      <c r="K1759" s="779"/>
      <c r="L1759" s="779"/>
      <c r="M1759" s="779"/>
    </row>
    <row r="1760" spans="8:13" ht="18" customHeight="1">
      <c r="H1760" s="779"/>
      <c r="I1760" s="779"/>
      <c r="J1760" s="779"/>
      <c r="K1760" s="779"/>
      <c r="L1760" s="779"/>
      <c r="M1760" s="779"/>
    </row>
    <row r="1761" spans="8:13" ht="18" customHeight="1">
      <c r="H1761" s="779"/>
      <c r="I1761" s="779"/>
      <c r="J1761" s="779"/>
      <c r="K1761" s="779"/>
      <c r="L1761" s="779"/>
      <c r="M1761" s="779"/>
    </row>
    <row r="1762" spans="8:13" ht="18" customHeight="1">
      <c r="H1762" s="779"/>
      <c r="I1762" s="779"/>
      <c r="J1762" s="779"/>
      <c r="K1762" s="779"/>
      <c r="L1762" s="779"/>
      <c r="M1762" s="779"/>
    </row>
    <row r="1763" spans="8:13" ht="18" customHeight="1">
      <c r="H1763" s="779"/>
      <c r="I1763" s="779"/>
      <c r="J1763" s="779"/>
      <c r="K1763" s="779"/>
      <c r="L1763" s="779"/>
      <c r="M1763" s="779"/>
    </row>
    <row r="1764" spans="8:13" ht="18" customHeight="1">
      <c r="H1764" s="779"/>
      <c r="I1764" s="779"/>
      <c r="J1764" s="779"/>
      <c r="K1764" s="779"/>
      <c r="L1764" s="779"/>
      <c r="M1764" s="779"/>
    </row>
    <row r="1765" spans="8:13" ht="18" customHeight="1">
      <c r="H1765" s="779"/>
      <c r="I1765" s="779"/>
      <c r="J1765" s="779"/>
      <c r="K1765" s="779"/>
      <c r="L1765" s="779"/>
      <c r="M1765" s="779"/>
    </row>
    <row r="1766" spans="8:13" ht="18" customHeight="1">
      <c r="H1766" s="779"/>
      <c r="I1766" s="779"/>
      <c r="J1766" s="779"/>
      <c r="K1766" s="779"/>
      <c r="L1766" s="779"/>
      <c r="M1766" s="779"/>
    </row>
    <row r="1767" spans="8:13" ht="18" customHeight="1">
      <c r="H1767" s="779"/>
      <c r="I1767" s="779"/>
      <c r="J1767" s="779"/>
      <c r="K1767" s="779"/>
      <c r="L1767" s="779"/>
      <c r="M1767" s="779"/>
    </row>
    <row r="1768" spans="8:13" ht="18" customHeight="1">
      <c r="H1768" s="779"/>
      <c r="I1768" s="779"/>
      <c r="J1768" s="779"/>
      <c r="K1768" s="779"/>
      <c r="L1768" s="779"/>
      <c r="M1768" s="779"/>
    </row>
    <row r="1769" spans="8:13" ht="18" customHeight="1">
      <c r="H1769" s="779"/>
      <c r="I1769" s="779"/>
      <c r="J1769" s="779"/>
      <c r="K1769" s="779"/>
      <c r="L1769" s="779"/>
      <c r="M1769" s="779"/>
    </row>
    <row r="1770" spans="8:13" ht="18" customHeight="1">
      <c r="H1770" s="779"/>
      <c r="I1770" s="779"/>
      <c r="J1770" s="779"/>
      <c r="K1770" s="779"/>
      <c r="L1770" s="779"/>
      <c r="M1770" s="779"/>
    </row>
    <row r="1771" spans="8:13" ht="18" customHeight="1">
      <c r="H1771" s="779"/>
      <c r="I1771" s="779"/>
      <c r="J1771" s="779"/>
      <c r="K1771" s="779"/>
      <c r="L1771" s="779"/>
      <c r="M1771" s="779"/>
    </row>
    <row r="1772" spans="8:13" ht="18" customHeight="1">
      <c r="H1772" s="779"/>
      <c r="I1772" s="779"/>
      <c r="J1772" s="779"/>
      <c r="K1772" s="779"/>
      <c r="L1772" s="779"/>
      <c r="M1772" s="779"/>
    </row>
    <row r="1773" spans="8:13" ht="18" customHeight="1">
      <c r="H1773" s="779"/>
      <c r="I1773" s="779"/>
      <c r="J1773" s="779"/>
      <c r="K1773" s="779"/>
      <c r="L1773" s="779"/>
      <c r="M1773" s="779"/>
    </row>
    <row r="1774" spans="8:13" ht="18" customHeight="1">
      <c r="H1774" s="779"/>
      <c r="I1774" s="779"/>
      <c r="J1774" s="779"/>
      <c r="K1774" s="779"/>
      <c r="L1774" s="779"/>
      <c r="M1774" s="779"/>
    </row>
    <row r="1775" spans="8:13" ht="18" customHeight="1">
      <c r="H1775" s="779"/>
      <c r="I1775" s="779"/>
      <c r="J1775" s="779"/>
      <c r="K1775" s="779"/>
      <c r="L1775" s="779"/>
      <c r="M1775" s="779"/>
    </row>
    <row r="1776" spans="8:13" ht="18" customHeight="1">
      <c r="H1776" s="779"/>
      <c r="I1776" s="779"/>
      <c r="J1776" s="779"/>
      <c r="K1776" s="779"/>
      <c r="L1776" s="779"/>
      <c r="M1776" s="779"/>
    </row>
    <row r="1777" spans="8:13" ht="18" customHeight="1">
      <c r="H1777" s="779"/>
      <c r="I1777" s="779"/>
      <c r="J1777" s="779"/>
      <c r="K1777" s="779"/>
      <c r="L1777" s="779"/>
      <c r="M1777" s="779"/>
    </row>
    <row r="1778" spans="8:13" ht="18" customHeight="1">
      <c r="H1778" s="779"/>
      <c r="I1778" s="779"/>
      <c r="J1778" s="779"/>
      <c r="K1778" s="779"/>
      <c r="L1778" s="779"/>
      <c r="M1778" s="779"/>
    </row>
    <row r="1779" spans="8:13" ht="18" customHeight="1">
      <c r="H1779" s="779"/>
      <c r="I1779" s="779"/>
      <c r="J1779" s="779"/>
      <c r="K1779" s="779"/>
      <c r="L1779" s="779"/>
      <c r="M1779" s="779"/>
    </row>
    <row r="1780" spans="8:13" ht="18" customHeight="1">
      <c r="H1780" s="779"/>
      <c r="I1780" s="779"/>
      <c r="J1780" s="779"/>
      <c r="K1780" s="779"/>
      <c r="L1780" s="779"/>
      <c r="M1780" s="779"/>
    </row>
    <row r="1781" spans="8:13" ht="18" customHeight="1">
      <c r="H1781" s="779"/>
      <c r="I1781" s="779"/>
      <c r="J1781" s="779"/>
      <c r="K1781" s="779"/>
      <c r="L1781" s="779"/>
      <c r="M1781" s="779"/>
    </row>
    <row r="1782" spans="8:13" ht="18" customHeight="1">
      <c r="H1782" s="779"/>
      <c r="I1782" s="779"/>
      <c r="J1782" s="779"/>
      <c r="K1782" s="779"/>
      <c r="L1782" s="779"/>
      <c r="M1782" s="779"/>
    </row>
    <row r="1783" spans="8:13" ht="18" customHeight="1">
      <c r="H1783" s="779"/>
      <c r="I1783" s="779"/>
      <c r="J1783" s="779"/>
      <c r="K1783" s="779"/>
      <c r="L1783" s="779"/>
      <c r="M1783" s="779"/>
    </row>
    <row r="1784" spans="8:13" ht="18" customHeight="1">
      <c r="H1784" s="779"/>
      <c r="I1784" s="779"/>
      <c r="J1784" s="779"/>
      <c r="K1784" s="779"/>
      <c r="L1784" s="779"/>
      <c r="M1784" s="779"/>
    </row>
    <row r="1785" spans="8:13" ht="18" customHeight="1">
      <c r="H1785" s="779"/>
      <c r="I1785" s="779"/>
      <c r="J1785" s="779"/>
      <c r="K1785" s="779"/>
      <c r="L1785" s="779"/>
      <c r="M1785" s="779"/>
    </row>
    <row r="1786" spans="8:13" ht="18" customHeight="1">
      <c r="H1786" s="779"/>
      <c r="I1786" s="779"/>
      <c r="J1786" s="779"/>
      <c r="K1786" s="779"/>
      <c r="L1786" s="779"/>
      <c r="M1786" s="779"/>
    </row>
    <row r="1787" spans="8:13" ht="18" customHeight="1">
      <c r="H1787" s="779"/>
      <c r="I1787" s="779"/>
      <c r="J1787" s="779"/>
      <c r="K1787" s="779"/>
      <c r="L1787" s="779"/>
      <c r="M1787" s="779"/>
    </row>
    <row r="1788" spans="8:13" ht="18" customHeight="1">
      <c r="H1788" s="779"/>
      <c r="I1788" s="779"/>
      <c r="J1788" s="779"/>
      <c r="K1788" s="779"/>
      <c r="L1788" s="779"/>
      <c r="M1788" s="779"/>
    </row>
    <row r="1789" spans="8:13" ht="18" customHeight="1">
      <c r="H1789" s="779"/>
      <c r="I1789" s="779"/>
      <c r="J1789" s="779"/>
      <c r="K1789" s="779"/>
      <c r="L1789" s="779"/>
      <c r="M1789" s="779"/>
    </row>
    <row r="1790" spans="8:13" ht="18" customHeight="1">
      <c r="H1790" s="779"/>
      <c r="I1790" s="779"/>
      <c r="J1790" s="779"/>
      <c r="K1790" s="779"/>
      <c r="L1790" s="779"/>
      <c r="M1790" s="779"/>
    </row>
    <row r="1791" spans="8:13" ht="18" customHeight="1">
      <c r="H1791" s="779"/>
      <c r="I1791" s="779"/>
      <c r="J1791" s="779"/>
      <c r="K1791" s="779"/>
      <c r="L1791" s="779"/>
      <c r="M1791" s="779"/>
    </row>
    <row r="1792" spans="8:13" ht="18" customHeight="1">
      <c r="H1792" s="779"/>
      <c r="I1792" s="779"/>
      <c r="J1792" s="779"/>
      <c r="K1792" s="779"/>
      <c r="L1792" s="779"/>
      <c r="M1792" s="779"/>
    </row>
    <row r="1793" spans="8:13" ht="18" customHeight="1">
      <c r="H1793" s="779"/>
      <c r="I1793" s="779"/>
      <c r="J1793" s="779"/>
      <c r="K1793" s="779"/>
      <c r="L1793" s="779"/>
      <c r="M1793" s="779"/>
    </row>
    <row r="1794" spans="8:13" ht="18" customHeight="1">
      <c r="H1794" s="779"/>
      <c r="I1794" s="779"/>
      <c r="J1794" s="779"/>
      <c r="K1794" s="779"/>
      <c r="L1794" s="779"/>
      <c r="M1794" s="779"/>
    </row>
    <row r="1795" spans="8:13" ht="18" customHeight="1">
      <c r="H1795" s="779"/>
      <c r="I1795" s="779"/>
      <c r="J1795" s="779"/>
      <c r="K1795" s="779"/>
      <c r="L1795" s="779"/>
      <c r="M1795" s="779"/>
    </row>
    <row r="1796" spans="8:13" ht="18" customHeight="1">
      <c r="H1796" s="779"/>
      <c r="I1796" s="779"/>
      <c r="J1796" s="779"/>
      <c r="K1796" s="779"/>
      <c r="L1796" s="779"/>
      <c r="M1796" s="779"/>
    </row>
    <row r="1797" spans="8:13" ht="18" customHeight="1">
      <c r="H1797" s="779"/>
      <c r="I1797" s="779"/>
      <c r="J1797" s="779"/>
      <c r="K1797" s="779"/>
      <c r="L1797" s="779"/>
      <c r="M1797" s="779"/>
    </row>
    <row r="1798" spans="8:13" ht="18" customHeight="1">
      <c r="H1798" s="779"/>
      <c r="I1798" s="779"/>
      <c r="J1798" s="779"/>
      <c r="K1798" s="779"/>
      <c r="L1798" s="779"/>
      <c r="M1798" s="779"/>
    </row>
    <row r="1799" spans="8:13" ht="18" customHeight="1">
      <c r="H1799" s="779"/>
      <c r="I1799" s="779"/>
      <c r="J1799" s="779"/>
      <c r="K1799" s="779"/>
      <c r="L1799" s="779"/>
      <c r="M1799" s="779"/>
    </row>
    <row r="1800" spans="8:13" ht="18" customHeight="1">
      <c r="H1800" s="779"/>
      <c r="I1800" s="779"/>
      <c r="J1800" s="779"/>
      <c r="K1800" s="779"/>
      <c r="L1800" s="779"/>
      <c r="M1800" s="779"/>
    </row>
    <row r="1801" spans="8:13" ht="18" customHeight="1">
      <c r="H1801" s="779"/>
      <c r="I1801" s="779"/>
      <c r="J1801" s="779"/>
      <c r="K1801" s="779"/>
      <c r="L1801" s="779"/>
      <c r="M1801" s="779"/>
    </row>
    <row r="1802" spans="8:13" ht="18" customHeight="1">
      <c r="H1802" s="779"/>
      <c r="I1802" s="779"/>
      <c r="J1802" s="779"/>
      <c r="K1802" s="779"/>
      <c r="L1802" s="779"/>
      <c r="M1802" s="779"/>
    </row>
    <row r="1803" spans="8:13" ht="18" customHeight="1">
      <c r="H1803" s="779"/>
      <c r="I1803" s="779"/>
      <c r="J1803" s="779"/>
      <c r="K1803" s="779"/>
      <c r="L1803" s="779"/>
      <c r="M1803" s="779"/>
    </row>
    <row r="1804" spans="8:13" ht="18" customHeight="1">
      <c r="H1804" s="779"/>
      <c r="I1804" s="779"/>
      <c r="J1804" s="779"/>
      <c r="K1804" s="779"/>
      <c r="L1804" s="779"/>
      <c r="M1804" s="779"/>
    </row>
    <row r="1805" spans="8:13" ht="18" customHeight="1">
      <c r="H1805" s="779"/>
      <c r="I1805" s="779"/>
      <c r="J1805" s="779"/>
      <c r="K1805" s="779"/>
      <c r="L1805" s="779"/>
      <c r="M1805" s="779"/>
    </row>
    <row r="1806" spans="8:13" ht="18" customHeight="1">
      <c r="H1806" s="779"/>
      <c r="I1806" s="779"/>
      <c r="J1806" s="779"/>
      <c r="K1806" s="779"/>
      <c r="L1806" s="779"/>
      <c r="M1806" s="779"/>
    </row>
    <row r="1807" spans="8:13" ht="18" customHeight="1">
      <c r="H1807" s="779"/>
      <c r="I1807" s="779"/>
      <c r="J1807" s="779"/>
      <c r="K1807" s="779"/>
      <c r="L1807" s="779"/>
      <c r="M1807" s="779"/>
    </row>
    <row r="1808" spans="8:13" ht="18" customHeight="1">
      <c r="H1808" s="779"/>
      <c r="I1808" s="779"/>
      <c r="J1808" s="779"/>
      <c r="K1808" s="779"/>
      <c r="L1808" s="779"/>
      <c r="M1808" s="779"/>
    </row>
    <row r="1809" spans="8:13" ht="18" customHeight="1">
      <c r="H1809" s="779"/>
      <c r="I1809" s="779"/>
      <c r="J1809" s="779"/>
      <c r="K1809" s="779"/>
      <c r="L1809" s="779"/>
      <c r="M1809" s="779"/>
    </row>
    <row r="1810" spans="8:13" ht="18" customHeight="1">
      <c r="H1810" s="779"/>
      <c r="I1810" s="779"/>
      <c r="J1810" s="779"/>
      <c r="K1810" s="779"/>
      <c r="L1810" s="779"/>
      <c r="M1810" s="779"/>
    </row>
    <row r="1811" spans="8:13" ht="18" customHeight="1">
      <c r="H1811" s="779"/>
      <c r="I1811" s="779"/>
      <c r="J1811" s="779"/>
      <c r="K1811" s="779"/>
      <c r="L1811" s="779"/>
      <c r="M1811" s="779"/>
    </row>
    <row r="1812" spans="8:13" ht="18" customHeight="1">
      <c r="H1812" s="779"/>
      <c r="I1812" s="779"/>
      <c r="J1812" s="779"/>
      <c r="K1812" s="779"/>
      <c r="L1812" s="779"/>
      <c r="M1812" s="779"/>
    </row>
    <row r="1813" spans="8:13" ht="18" customHeight="1">
      <c r="H1813" s="779"/>
      <c r="I1813" s="779"/>
      <c r="J1813" s="779"/>
      <c r="K1813" s="779"/>
      <c r="L1813" s="779"/>
      <c r="M1813" s="779"/>
    </row>
    <row r="1814" spans="8:13" ht="18" customHeight="1">
      <c r="H1814" s="779"/>
      <c r="I1814" s="779"/>
      <c r="J1814" s="779"/>
      <c r="K1814" s="779"/>
      <c r="L1814" s="779"/>
      <c r="M1814" s="779"/>
    </row>
    <row r="1815" spans="8:13" ht="18" customHeight="1">
      <c r="H1815" s="779"/>
      <c r="I1815" s="779"/>
      <c r="J1815" s="779"/>
      <c r="K1815" s="779"/>
      <c r="L1815" s="779"/>
      <c r="M1815" s="779"/>
    </row>
    <row r="1816" spans="8:13" ht="18" customHeight="1">
      <c r="H1816" s="779"/>
      <c r="I1816" s="779"/>
      <c r="J1816" s="779"/>
      <c r="K1816" s="779"/>
      <c r="L1816" s="779"/>
      <c r="M1816" s="779"/>
    </row>
    <row r="1817" spans="8:13" ht="18" customHeight="1">
      <c r="H1817" s="779"/>
      <c r="I1817" s="779"/>
      <c r="J1817" s="779"/>
      <c r="K1817" s="779"/>
      <c r="L1817" s="779"/>
      <c r="M1817" s="779"/>
    </row>
    <row r="1818" spans="8:13" ht="18" customHeight="1">
      <c r="H1818" s="779"/>
      <c r="I1818" s="779"/>
      <c r="J1818" s="779"/>
      <c r="K1818" s="779"/>
      <c r="L1818" s="779"/>
      <c r="M1818" s="779"/>
    </row>
    <row r="1819" spans="8:13" ht="18" customHeight="1">
      <c r="H1819" s="779"/>
      <c r="I1819" s="779"/>
      <c r="J1819" s="779"/>
      <c r="K1819" s="779"/>
      <c r="L1819" s="779"/>
      <c r="M1819" s="779"/>
    </row>
    <row r="1820" spans="8:13" ht="18" customHeight="1">
      <c r="H1820" s="779"/>
      <c r="I1820" s="779"/>
      <c r="J1820" s="779"/>
      <c r="K1820" s="779"/>
      <c r="L1820" s="779"/>
      <c r="M1820" s="779"/>
    </row>
    <row r="1821" spans="8:13" ht="18" customHeight="1">
      <c r="H1821" s="779"/>
      <c r="I1821" s="779"/>
      <c r="J1821" s="779"/>
      <c r="K1821" s="779"/>
      <c r="L1821" s="779"/>
      <c r="M1821" s="779"/>
    </row>
    <row r="1822" spans="8:13" ht="18" customHeight="1">
      <c r="H1822" s="779"/>
      <c r="I1822" s="779"/>
      <c r="J1822" s="779"/>
      <c r="K1822" s="779"/>
      <c r="L1822" s="779"/>
      <c r="M1822" s="779"/>
    </row>
    <row r="1823" spans="8:13" ht="18" customHeight="1">
      <c r="H1823" s="779"/>
      <c r="I1823" s="779"/>
      <c r="J1823" s="779"/>
      <c r="K1823" s="779"/>
      <c r="L1823" s="779"/>
      <c r="M1823" s="779"/>
    </row>
    <row r="1824" spans="8:13" ht="18" customHeight="1">
      <c r="H1824" s="779"/>
      <c r="I1824" s="779"/>
      <c r="J1824" s="779"/>
      <c r="K1824" s="779"/>
      <c r="L1824" s="779"/>
      <c r="M1824" s="779"/>
    </row>
    <row r="1825" spans="8:13" ht="18" customHeight="1">
      <c r="H1825" s="779"/>
      <c r="I1825" s="779"/>
      <c r="J1825" s="779"/>
      <c r="K1825" s="779"/>
      <c r="L1825" s="779"/>
      <c r="M1825" s="779"/>
    </row>
    <row r="1826" spans="8:13" ht="18" customHeight="1">
      <c r="H1826" s="779"/>
      <c r="I1826" s="779"/>
      <c r="J1826" s="779"/>
      <c r="K1826" s="779"/>
      <c r="L1826" s="779"/>
      <c r="M1826" s="779"/>
    </row>
    <row r="1827" spans="8:13" ht="18" customHeight="1">
      <c r="H1827" s="779"/>
      <c r="I1827" s="779"/>
      <c r="J1827" s="779"/>
      <c r="K1827" s="779"/>
      <c r="L1827" s="779"/>
      <c r="M1827" s="779"/>
    </row>
    <row r="1828" spans="8:13" ht="18" customHeight="1">
      <c r="H1828" s="779"/>
      <c r="I1828" s="779"/>
      <c r="J1828" s="779"/>
      <c r="K1828" s="779"/>
      <c r="L1828" s="779"/>
      <c r="M1828" s="779"/>
    </row>
    <row r="1829" spans="8:13" ht="18" customHeight="1">
      <c r="H1829" s="779"/>
      <c r="I1829" s="779"/>
      <c r="J1829" s="779"/>
      <c r="K1829" s="779"/>
      <c r="L1829" s="779"/>
      <c r="M1829" s="779"/>
    </row>
    <row r="1830" spans="8:13" ht="18" customHeight="1">
      <c r="H1830" s="779"/>
      <c r="I1830" s="779"/>
      <c r="J1830" s="779"/>
      <c r="K1830" s="779"/>
      <c r="L1830" s="779"/>
      <c r="M1830" s="779"/>
    </row>
    <row r="1831" spans="8:13" ht="18" customHeight="1">
      <c r="H1831" s="779"/>
      <c r="I1831" s="779"/>
      <c r="J1831" s="779"/>
      <c r="K1831" s="779"/>
      <c r="L1831" s="779"/>
      <c r="M1831" s="779"/>
    </row>
    <row r="1832" spans="8:13" ht="18" customHeight="1">
      <c r="H1832" s="779"/>
      <c r="I1832" s="779"/>
      <c r="J1832" s="779"/>
      <c r="K1832" s="779"/>
      <c r="L1832" s="779"/>
      <c r="M1832" s="779"/>
    </row>
    <row r="1833" spans="8:13" ht="18" customHeight="1">
      <c r="H1833" s="779"/>
      <c r="I1833" s="779"/>
      <c r="J1833" s="779"/>
      <c r="K1833" s="779"/>
      <c r="L1833" s="779"/>
      <c r="M1833" s="779"/>
    </row>
    <row r="1834" spans="8:13" ht="18" customHeight="1">
      <c r="H1834" s="779"/>
      <c r="I1834" s="779"/>
      <c r="J1834" s="779"/>
      <c r="K1834" s="779"/>
      <c r="L1834" s="779"/>
      <c r="M1834" s="779"/>
    </row>
    <row r="1835" spans="8:13" ht="18" customHeight="1">
      <c r="H1835" s="779"/>
      <c r="I1835" s="779"/>
      <c r="J1835" s="779"/>
      <c r="K1835" s="779"/>
      <c r="L1835" s="779"/>
      <c r="M1835" s="779"/>
    </row>
    <row r="1836" spans="8:13" ht="18" customHeight="1">
      <c r="H1836" s="779"/>
      <c r="I1836" s="779"/>
      <c r="J1836" s="779"/>
      <c r="K1836" s="779"/>
      <c r="L1836" s="779"/>
      <c r="M1836" s="779"/>
    </row>
    <row r="1837" spans="8:13" ht="18" customHeight="1">
      <c r="H1837" s="779"/>
      <c r="I1837" s="779"/>
      <c r="J1837" s="779"/>
      <c r="K1837" s="779"/>
      <c r="L1837" s="779"/>
      <c r="M1837" s="779"/>
    </row>
    <row r="1838" spans="8:13" ht="18" customHeight="1">
      <c r="H1838" s="779"/>
      <c r="I1838" s="779"/>
      <c r="J1838" s="779"/>
      <c r="K1838" s="779"/>
      <c r="L1838" s="779"/>
      <c r="M1838" s="779"/>
    </row>
    <row r="1839" spans="8:13" ht="18" customHeight="1">
      <c r="H1839" s="779"/>
      <c r="I1839" s="779"/>
      <c r="J1839" s="779"/>
      <c r="K1839" s="779"/>
      <c r="L1839" s="779"/>
      <c r="M1839" s="779"/>
    </row>
    <row r="1840" spans="8:13" ht="18" customHeight="1">
      <c r="H1840" s="779"/>
      <c r="I1840" s="779"/>
      <c r="J1840" s="779"/>
      <c r="K1840" s="779"/>
      <c r="L1840" s="779"/>
      <c r="M1840" s="779"/>
    </row>
    <row r="1841" spans="8:13" ht="18" customHeight="1">
      <c r="H1841" s="779"/>
      <c r="I1841" s="779"/>
      <c r="J1841" s="779"/>
      <c r="K1841" s="779"/>
      <c r="L1841" s="779"/>
      <c r="M1841" s="779"/>
    </row>
    <row r="1842" spans="8:13" ht="18" customHeight="1">
      <c r="H1842" s="779"/>
      <c r="I1842" s="779"/>
      <c r="J1842" s="779"/>
      <c r="K1842" s="779"/>
      <c r="L1842" s="779"/>
      <c r="M1842" s="779"/>
    </row>
    <row r="1843" spans="8:13" ht="18" customHeight="1">
      <c r="H1843" s="779"/>
      <c r="I1843" s="779"/>
      <c r="J1843" s="779"/>
      <c r="K1843" s="779"/>
      <c r="L1843" s="779"/>
      <c r="M1843" s="779"/>
    </row>
    <row r="1844" spans="8:13" ht="18" customHeight="1">
      <c r="H1844" s="779"/>
      <c r="I1844" s="779"/>
      <c r="J1844" s="779"/>
      <c r="K1844" s="779"/>
      <c r="L1844" s="779"/>
      <c r="M1844" s="779"/>
    </row>
    <row r="1845" spans="8:13" ht="18" customHeight="1">
      <c r="H1845" s="779"/>
      <c r="I1845" s="779"/>
      <c r="J1845" s="779"/>
      <c r="K1845" s="779"/>
      <c r="L1845" s="779"/>
      <c r="M1845" s="779"/>
    </row>
    <row r="1846" spans="8:13" ht="18" customHeight="1">
      <c r="H1846" s="779"/>
      <c r="I1846" s="779"/>
      <c r="J1846" s="779"/>
      <c r="K1846" s="779"/>
      <c r="L1846" s="779"/>
      <c r="M1846" s="779"/>
    </row>
    <row r="1847" spans="8:13" ht="18" customHeight="1">
      <c r="H1847" s="779"/>
      <c r="I1847" s="779"/>
      <c r="J1847" s="779"/>
      <c r="K1847" s="779"/>
      <c r="L1847" s="779"/>
      <c r="M1847" s="779"/>
    </row>
    <row r="1848" spans="8:13" ht="18" customHeight="1">
      <c r="H1848" s="779"/>
      <c r="I1848" s="779"/>
      <c r="J1848" s="779"/>
      <c r="K1848" s="779"/>
      <c r="L1848" s="779"/>
      <c r="M1848" s="779"/>
    </row>
    <row r="1849" spans="8:13" ht="18" customHeight="1">
      <c r="H1849" s="779"/>
      <c r="I1849" s="779"/>
      <c r="J1849" s="779"/>
      <c r="K1849" s="779"/>
      <c r="L1849" s="779"/>
      <c r="M1849" s="779"/>
    </row>
    <row r="1850" spans="8:13" ht="18" customHeight="1">
      <c r="H1850" s="779"/>
      <c r="I1850" s="779"/>
      <c r="J1850" s="779"/>
      <c r="K1850" s="779"/>
      <c r="L1850" s="779"/>
      <c r="M1850" s="779"/>
    </row>
    <row r="1851" spans="8:13" ht="18" customHeight="1">
      <c r="H1851" s="779"/>
      <c r="I1851" s="779"/>
      <c r="J1851" s="779"/>
      <c r="K1851" s="779"/>
      <c r="L1851" s="779"/>
      <c r="M1851" s="779"/>
    </row>
    <row r="1852" spans="8:13" ht="18" customHeight="1">
      <c r="H1852" s="779"/>
      <c r="I1852" s="779"/>
      <c r="J1852" s="779"/>
      <c r="K1852" s="779"/>
      <c r="L1852" s="779"/>
      <c r="M1852" s="779"/>
    </row>
    <row r="1853" spans="8:13" ht="18" customHeight="1">
      <c r="H1853" s="779"/>
      <c r="I1853" s="779"/>
      <c r="J1853" s="779"/>
      <c r="K1853" s="779"/>
      <c r="L1853" s="779"/>
      <c r="M1853" s="779"/>
    </row>
    <row r="1854" spans="8:13" ht="18" customHeight="1">
      <c r="H1854" s="779"/>
      <c r="I1854" s="779"/>
      <c r="J1854" s="779"/>
      <c r="K1854" s="779"/>
      <c r="L1854" s="779"/>
      <c r="M1854" s="779"/>
    </row>
    <row r="1855" spans="8:13" ht="18" customHeight="1">
      <c r="H1855" s="779"/>
      <c r="I1855" s="779"/>
      <c r="J1855" s="779"/>
      <c r="K1855" s="779"/>
      <c r="L1855" s="779"/>
      <c r="M1855" s="779"/>
    </row>
    <row r="1856" spans="8:13" ht="18" customHeight="1">
      <c r="H1856" s="779"/>
      <c r="I1856" s="779"/>
      <c r="J1856" s="779"/>
      <c r="K1856" s="779"/>
      <c r="L1856" s="779"/>
      <c r="M1856" s="779"/>
    </row>
    <row r="1857" spans="8:13" ht="18" customHeight="1">
      <c r="H1857" s="779"/>
      <c r="I1857" s="779"/>
      <c r="J1857" s="779"/>
      <c r="K1857" s="779"/>
      <c r="L1857" s="779"/>
      <c r="M1857" s="779"/>
    </row>
    <row r="1858" spans="8:13" ht="18" customHeight="1">
      <c r="H1858" s="779"/>
      <c r="I1858" s="779"/>
      <c r="J1858" s="779"/>
      <c r="K1858" s="779"/>
      <c r="L1858" s="779"/>
      <c r="M1858" s="779"/>
    </row>
    <row r="1859" spans="8:13" ht="18" customHeight="1">
      <c r="H1859" s="779"/>
      <c r="I1859" s="779"/>
      <c r="J1859" s="779"/>
      <c r="K1859" s="779"/>
      <c r="L1859" s="779"/>
      <c r="M1859" s="779"/>
    </row>
    <row r="1860" spans="8:13" ht="18" customHeight="1">
      <c r="H1860" s="779"/>
      <c r="I1860" s="779"/>
      <c r="J1860" s="779"/>
      <c r="K1860" s="779"/>
      <c r="L1860" s="779"/>
      <c r="M1860" s="779"/>
    </row>
    <row r="1861" spans="8:13" ht="18" customHeight="1">
      <c r="H1861" s="779"/>
      <c r="I1861" s="779"/>
      <c r="J1861" s="779"/>
      <c r="K1861" s="779"/>
      <c r="L1861" s="779"/>
      <c r="M1861" s="779"/>
    </row>
    <row r="1862" spans="8:13" ht="18" customHeight="1">
      <c r="H1862" s="779"/>
      <c r="I1862" s="779"/>
      <c r="J1862" s="779"/>
      <c r="K1862" s="779"/>
      <c r="L1862" s="779"/>
      <c r="M1862" s="779"/>
    </row>
    <row r="1863" spans="8:13" ht="18" customHeight="1">
      <c r="H1863" s="779"/>
      <c r="I1863" s="779"/>
      <c r="J1863" s="779"/>
      <c r="K1863" s="779"/>
      <c r="L1863" s="779"/>
      <c r="M1863" s="779"/>
    </row>
  </sheetData>
  <sheetProtection algorithmName="SHA-512" hashValue="mmt9QuKuEEp5s8RvIXPeyXtzPLmCXpmcqf8/8ANjtzaWUhQMF+vtphtpRvJFfQ/ixNmHt2N7zEU6Y+JuBW1IOw==" saltValue="fYO0oAkHBgibxwTF8Mmh+g==" spinCount="100000" sheet="1" objects="1" scenarios="1"/>
  <mergeCells count="225">
    <mergeCell ref="A84:M84"/>
    <mergeCell ref="A294:M294"/>
    <mergeCell ref="A295:M295"/>
    <mergeCell ref="A225:M225"/>
    <mergeCell ref="J168:L168"/>
    <mergeCell ref="A169:F169"/>
    <mergeCell ref="A170:F170"/>
    <mergeCell ref="A172:F172"/>
    <mergeCell ref="A214:M214"/>
    <mergeCell ref="A231:M231"/>
    <mergeCell ref="A236:M236"/>
    <mergeCell ref="J237:L237"/>
    <mergeCell ref="A238:F238"/>
    <mergeCell ref="A239:F239"/>
    <mergeCell ref="A241:F241"/>
    <mergeCell ref="A283:M283"/>
    <mergeCell ref="A286:M286"/>
    <mergeCell ref="A292:M292"/>
    <mergeCell ref="A293:M293"/>
    <mergeCell ref="A222:M222"/>
    <mergeCell ref="A223:M223"/>
    <mergeCell ref="A224:M224"/>
    <mergeCell ref="A226:M226"/>
    <mergeCell ref="A230:M230"/>
    <mergeCell ref="C235:M235"/>
    <mergeCell ref="J374:L374"/>
    <mergeCell ref="A375:F375"/>
    <mergeCell ref="A376:F376"/>
    <mergeCell ref="A378:F378"/>
    <mergeCell ref="A373:M373"/>
    <mergeCell ref="A366:M366"/>
    <mergeCell ref="A367:M367"/>
    <mergeCell ref="C371:M372"/>
    <mergeCell ref="A299:M299"/>
    <mergeCell ref="A300:M300"/>
    <mergeCell ref="C304:M304"/>
    <mergeCell ref="A351:M351"/>
    <mergeCell ref="A357:M357"/>
    <mergeCell ref="A360:M360"/>
    <mergeCell ref="A361:M361"/>
    <mergeCell ref="A362:M362"/>
    <mergeCell ref="A363:M363"/>
    <mergeCell ref="A308:F308"/>
    <mergeCell ref="A310:F310"/>
    <mergeCell ref="A305:M305"/>
    <mergeCell ref="J306:L306"/>
    <mergeCell ref="A307:F307"/>
    <mergeCell ref="A421:M421"/>
    <mergeCell ref="A440:M440"/>
    <mergeCell ref="J441:L441"/>
    <mergeCell ref="A442:F442"/>
    <mergeCell ref="A443:F443"/>
    <mergeCell ref="A445:F445"/>
    <mergeCell ref="A425:M425"/>
    <mergeCell ref="A428:M428"/>
    <mergeCell ref="A429:M429"/>
    <mergeCell ref="A430:M430"/>
    <mergeCell ref="A431:M431"/>
    <mergeCell ref="A434:M434"/>
    <mergeCell ref="A435:M435"/>
    <mergeCell ref="C439:M439"/>
    <mergeCell ref="A572:M572"/>
    <mergeCell ref="A511:F511"/>
    <mergeCell ref="A513:F513"/>
    <mergeCell ref="A557:M557"/>
    <mergeCell ref="A559:M559"/>
    <mergeCell ref="A560:M560"/>
    <mergeCell ref="A561:M561"/>
    <mergeCell ref="A562:M562"/>
    <mergeCell ref="A566:M566"/>
    <mergeCell ref="A567:M567"/>
    <mergeCell ref="C571:M571"/>
    <mergeCell ref="A697:M697"/>
    <mergeCell ref="A698:M698"/>
    <mergeCell ref="J573:L573"/>
    <mergeCell ref="A574:F574"/>
    <mergeCell ref="A575:F575"/>
    <mergeCell ref="A577:F577"/>
    <mergeCell ref="A620:M620"/>
    <mergeCell ref="A626:M626"/>
    <mergeCell ref="A628:M628"/>
    <mergeCell ref="A629:M629"/>
    <mergeCell ref="A630:M630"/>
    <mergeCell ref="A631:M631"/>
    <mergeCell ref="A635:M635"/>
    <mergeCell ref="A636:M636"/>
    <mergeCell ref="G696:H696"/>
    <mergeCell ref="I696:J696"/>
    <mergeCell ref="A642:M642"/>
    <mergeCell ref="J643:L643"/>
    <mergeCell ref="A644:F644"/>
    <mergeCell ref="A645:F645"/>
    <mergeCell ref="A647:F647"/>
    <mergeCell ref="C640:M641"/>
    <mergeCell ref="A693:M693"/>
    <mergeCell ref="A695:M695"/>
    <mergeCell ref="A830:M830"/>
    <mergeCell ref="A832:M832"/>
    <mergeCell ref="A714:F714"/>
    <mergeCell ref="A716:F716"/>
    <mergeCell ref="I764:J764"/>
    <mergeCell ref="L764:M764"/>
    <mergeCell ref="A711:M711"/>
    <mergeCell ref="A713:F713"/>
    <mergeCell ref="J712:L712"/>
    <mergeCell ref="J780:L780"/>
    <mergeCell ref="A781:F781"/>
    <mergeCell ref="A782:F782"/>
    <mergeCell ref="A784:F784"/>
    <mergeCell ref="A779:M779"/>
    <mergeCell ref="A768:M768"/>
    <mergeCell ref="A769:M769"/>
    <mergeCell ref="A773:M773"/>
    <mergeCell ref="A774:M774"/>
    <mergeCell ref="C778:M778"/>
    <mergeCell ref="A912:M912"/>
    <mergeCell ref="J913:L913"/>
    <mergeCell ref="A914:F914"/>
    <mergeCell ref="A847:M847"/>
    <mergeCell ref="J848:L848"/>
    <mergeCell ref="A849:F849"/>
    <mergeCell ref="A850:F850"/>
    <mergeCell ref="A852:F852"/>
    <mergeCell ref="A834:M834"/>
    <mergeCell ref="A835:M835"/>
    <mergeCell ref="A836:M836"/>
    <mergeCell ref="A837:M837"/>
    <mergeCell ref="A841:M841"/>
    <mergeCell ref="A842:M842"/>
    <mergeCell ref="C846:M846"/>
    <mergeCell ref="A892:M892"/>
    <mergeCell ref="A896:M896"/>
    <mergeCell ref="A898:M898"/>
    <mergeCell ref="A899:M899"/>
    <mergeCell ref="A900:M900"/>
    <mergeCell ref="A901:M901"/>
    <mergeCell ref="A905:M905"/>
    <mergeCell ref="A906:M906"/>
    <mergeCell ref="C910:M911"/>
    <mergeCell ref="A975:M975"/>
    <mergeCell ref="A915:F915"/>
    <mergeCell ref="A917:F917"/>
    <mergeCell ref="A954:M954"/>
    <mergeCell ref="A960:M960"/>
    <mergeCell ref="A962:M962"/>
    <mergeCell ref="A963:M963"/>
    <mergeCell ref="A964:M964"/>
    <mergeCell ref="A965:M965"/>
    <mergeCell ref="A969:M969"/>
    <mergeCell ref="A970:M970"/>
    <mergeCell ref="C974:M974"/>
    <mergeCell ref="I1035:J1035"/>
    <mergeCell ref="L1035:M1035"/>
    <mergeCell ref="I1036:J1036"/>
    <mergeCell ref="L1036:M1036"/>
    <mergeCell ref="A1043:M1043"/>
    <mergeCell ref="J976:L976"/>
    <mergeCell ref="A977:F977"/>
    <mergeCell ref="A978:F978"/>
    <mergeCell ref="A980:F980"/>
    <mergeCell ref="G1034:H1034"/>
    <mergeCell ref="I1034:J1034"/>
    <mergeCell ref="A1031:M1031"/>
    <mergeCell ref="A1033:M1033"/>
    <mergeCell ref="A1:M1"/>
    <mergeCell ref="A2:M2"/>
    <mergeCell ref="A3:M3"/>
    <mergeCell ref="A4:M4"/>
    <mergeCell ref="A8:M8"/>
    <mergeCell ref="A9:M9"/>
    <mergeCell ref="C13:M15"/>
    <mergeCell ref="A73:M73"/>
    <mergeCell ref="A75:M75"/>
    <mergeCell ref="A16:M16"/>
    <mergeCell ref="J17:L17"/>
    <mergeCell ref="A18:F18"/>
    <mergeCell ref="A19:F19"/>
    <mergeCell ref="A167:M167"/>
    <mergeCell ref="A93:F93"/>
    <mergeCell ref="A95:F95"/>
    <mergeCell ref="A90:M90"/>
    <mergeCell ref="J91:L91"/>
    <mergeCell ref="A92:F92"/>
    <mergeCell ref="A21:F21"/>
    <mergeCell ref="I76:J76"/>
    <mergeCell ref="L76:M76"/>
    <mergeCell ref="A148:M148"/>
    <mergeCell ref="A150:M150"/>
    <mergeCell ref="A153:M153"/>
    <mergeCell ref="A155:M155"/>
    <mergeCell ref="A154:M154"/>
    <mergeCell ref="A156:M156"/>
    <mergeCell ref="A160:M160"/>
    <mergeCell ref="A161:M161"/>
    <mergeCell ref="C165:M166"/>
    <mergeCell ref="A80:M80"/>
    <mergeCell ref="A77:M77"/>
    <mergeCell ref="A78:M78"/>
    <mergeCell ref="A79:M79"/>
    <mergeCell ref="A85:M85"/>
    <mergeCell ref="C89:M89"/>
    <mergeCell ref="A491:M491"/>
    <mergeCell ref="A493:M493"/>
    <mergeCell ref="A495:M495"/>
    <mergeCell ref="A496:M496"/>
    <mergeCell ref="A497:M497"/>
    <mergeCell ref="A498:M498"/>
    <mergeCell ref="A502:M502"/>
    <mergeCell ref="C507:M507"/>
    <mergeCell ref="A555:M555"/>
    <mergeCell ref="A503:M503"/>
    <mergeCell ref="A508:M508"/>
    <mergeCell ref="J509:L509"/>
    <mergeCell ref="A510:F510"/>
    <mergeCell ref="I494:J494"/>
    <mergeCell ref="L494:M494"/>
    <mergeCell ref="A699:M699"/>
    <mergeCell ref="A700:M700"/>
    <mergeCell ref="A704:M704"/>
    <mergeCell ref="A705:M705"/>
    <mergeCell ref="C709:M710"/>
    <mergeCell ref="A761:M761"/>
    <mergeCell ref="A763:M763"/>
    <mergeCell ref="A766:M766"/>
    <mergeCell ref="A767:M767"/>
  </mergeCells>
  <printOptions horizontalCentered="1"/>
  <pageMargins left="0.5" right="0" top="0.5" bottom="0" header="0" footer="0"/>
  <pageSetup paperSize="14" scale="75" orientation="portrait" r:id="rId1"/>
  <headerFooter alignWithMargins="0">
    <oddFooter xml:space="preserve">&amp;C&amp;"Times New Roman,Bold"&amp;16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1"/>
  <sheetViews>
    <sheetView workbookViewId="0">
      <selection activeCell="E13" sqref="E13"/>
    </sheetView>
  </sheetViews>
  <sheetFormatPr defaultRowHeight="12.75"/>
  <cols>
    <col min="1" max="1" width="10.140625" style="1" customWidth="1"/>
    <col min="2" max="2" width="7.28515625" style="1" customWidth="1"/>
    <col min="3" max="3" width="13.85546875" style="1" customWidth="1"/>
    <col min="4" max="4" width="9.28515625" style="1" customWidth="1"/>
    <col min="5" max="5" width="18.42578125" style="1" customWidth="1"/>
    <col min="6" max="6" width="9.42578125" style="1" customWidth="1"/>
    <col min="7" max="7" width="14.5703125" style="1" customWidth="1"/>
    <col min="8" max="8" width="13.85546875" style="1" hidden="1" customWidth="1"/>
    <col min="9" max="9" width="14.5703125" style="1" hidden="1" customWidth="1"/>
    <col min="10" max="10" width="19.28515625" style="1" customWidth="1"/>
    <col min="11" max="11" width="16.42578125" style="1" customWidth="1"/>
    <col min="12" max="12" width="14.28515625" style="1" bestFit="1" customWidth="1"/>
    <col min="13" max="13" width="11.28515625" style="1" bestFit="1" customWidth="1"/>
    <col min="14" max="14" width="9.140625" style="1" customWidth="1"/>
    <col min="15" max="15" width="11.7109375" style="1" bestFit="1" customWidth="1"/>
    <col min="16" max="16384" width="9.140625" style="1"/>
  </cols>
  <sheetData>
    <row r="1" spans="1:14" s="683" customFormat="1" ht="15.75">
      <c r="A1" s="676"/>
      <c r="B1" s="677"/>
      <c r="C1" s="677"/>
      <c r="D1" s="677"/>
      <c r="E1" s="677"/>
      <c r="F1" s="677"/>
      <c r="G1" s="677"/>
      <c r="H1" s="677"/>
      <c r="I1" s="677"/>
      <c r="J1" s="677"/>
      <c r="K1" s="678"/>
    </row>
    <row r="2" spans="1:14" s="1253" customFormat="1" ht="15">
      <c r="A2" s="1467" t="s">
        <v>861</v>
      </c>
      <c r="B2" s="1467"/>
      <c r="C2" s="1467"/>
      <c r="D2" s="1467"/>
      <c r="E2" s="1467"/>
      <c r="F2" s="1467"/>
      <c r="G2" s="1467"/>
      <c r="H2" s="1467"/>
      <c r="I2" s="1467"/>
      <c r="J2" s="1467"/>
      <c r="K2" s="1467"/>
      <c r="L2" s="1319"/>
      <c r="M2" s="1319"/>
      <c r="N2" s="1319"/>
    </row>
    <row r="3" spans="1:14" s="1253" customFormat="1" ht="15">
      <c r="A3" s="1467" t="s">
        <v>174</v>
      </c>
      <c r="B3" s="1467"/>
      <c r="C3" s="1467"/>
      <c r="D3" s="1467"/>
      <c r="E3" s="1467"/>
      <c r="F3" s="1467"/>
      <c r="G3" s="1467"/>
      <c r="H3" s="1467"/>
      <c r="I3" s="1467"/>
      <c r="J3" s="1467"/>
      <c r="K3" s="1467"/>
      <c r="L3" s="1319"/>
      <c r="M3" s="1319"/>
      <c r="N3" s="1319"/>
    </row>
    <row r="4" spans="1:14" s="1253" customFormat="1" ht="15">
      <c r="A4" s="1467" t="s">
        <v>1780</v>
      </c>
      <c r="B4" s="1467"/>
      <c r="C4" s="1467"/>
      <c r="D4" s="1467"/>
      <c r="E4" s="1467"/>
      <c r="F4" s="1467"/>
      <c r="G4" s="1467"/>
      <c r="H4" s="1467"/>
      <c r="I4" s="1467"/>
      <c r="J4" s="1467"/>
      <c r="K4" s="1467"/>
      <c r="L4" s="1319"/>
      <c r="M4" s="1319"/>
      <c r="N4" s="1319"/>
    </row>
    <row r="5" spans="1:14" s="1253" customFormat="1" ht="15">
      <c r="A5" s="1467"/>
      <c r="B5" s="1467"/>
      <c r="C5" s="1467"/>
      <c r="D5" s="1467"/>
      <c r="E5" s="1467"/>
      <c r="F5" s="1467"/>
      <c r="G5" s="1467"/>
      <c r="H5" s="1467"/>
      <c r="I5" s="1467"/>
      <c r="J5" s="1467"/>
      <c r="K5" s="1467"/>
      <c r="L5" s="1319"/>
      <c r="M5" s="1319"/>
      <c r="N5" s="1319"/>
    </row>
    <row r="6" spans="1:14" s="1253" customFormat="1" ht="15">
      <c r="A6" s="1254"/>
      <c r="B6" s="1254"/>
      <c r="C6" s="1254"/>
      <c r="D6" s="1254"/>
      <c r="E6" s="1254"/>
      <c r="F6" s="1254"/>
      <c r="G6" s="1254"/>
      <c r="H6" s="1254"/>
      <c r="I6" s="1254"/>
      <c r="J6" s="1254"/>
      <c r="K6" s="1254"/>
      <c r="L6" s="1254"/>
      <c r="M6" s="1254"/>
      <c r="N6" s="1319"/>
    </row>
    <row r="7" spans="1:14" s="1253" customFormat="1" ht="15">
      <c r="A7" s="1254"/>
      <c r="B7" s="1254"/>
      <c r="C7" s="1254"/>
      <c r="D7" s="1254"/>
      <c r="E7" s="1254"/>
      <c r="F7" s="1254"/>
      <c r="G7" s="1254"/>
      <c r="H7" s="1254"/>
      <c r="I7" s="1254"/>
      <c r="J7" s="1254"/>
      <c r="K7" s="1254"/>
      <c r="L7" s="1254"/>
      <c r="M7" s="1254"/>
      <c r="N7" s="1319"/>
    </row>
    <row r="8" spans="1:14" s="1253" customFormat="1" ht="18">
      <c r="A8" s="1468" t="s">
        <v>1781</v>
      </c>
      <c r="B8" s="1468"/>
      <c r="C8" s="1468"/>
      <c r="D8" s="1468"/>
      <c r="E8" s="1468"/>
      <c r="F8" s="1468"/>
      <c r="G8" s="1468"/>
      <c r="H8" s="1468"/>
      <c r="I8" s="1468"/>
      <c r="J8" s="1468"/>
      <c r="K8" s="1468"/>
      <c r="L8" s="1320"/>
      <c r="M8" s="1320"/>
      <c r="N8" s="1320"/>
    </row>
    <row r="9" spans="1:14" s="1253" customFormat="1" ht="15">
      <c r="A9" s="1469" t="s">
        <v>1861</v>
      </c>
      <c r="B9" s="1469"/>
      <c r="C9" s="1469"/>
      <c r="D9" s="1469"/>
      <c r="E9" s="1469"/>
      <c r="F9" s="1469"/>
      <c r="G9" s="1469"/>
      <c r="H9" s="1469"/>
      <c r="I9" s="1469"/>
      <c r="J9" s="1469"/>
      <c r="K9" s="1469"/>
      <c r="L9" s="1321"/>
      <c r="M9" s="1321"/>
      <c r="N9" s="1321"/>
    </row>
    <row r="10" spans="1:14" s="1253" customFormat="1" ht="15.75">
      <c r="A10" s="1253" t="s">
        <v>1862</v>
      </c>
      <c r="G10" s="1254"/>
      <c r="I10" s="1255"/>
      <c r="L10" s="1256"/>
      <c r="M10" s="1256"/>
    </row>
    <row r="11" spans="1:14" s="1253" customFormat="1" ht="15.75">
      <c r="A11" s="1253" t="s">
        <v>1811</v>
      </c>
      <c r="G11" s="1254"/>
      <c r="I11" s="1255"/>
      <c r="L11" s="1256"/>
      <c r="M11" s="1256"/>
    </row>
    <row r="12" spans="1:14" s="1253" customFormat="1" ht="8.1" customHeight="1">
      <c r="A12" s="1257" t="s">
        <v>1812</v>
      </c>
      <c r="G12" s="1254"/>
      <c r="I12" s="1255"/>
      <c r="L12" s="1256"/>
      <c r="M12" s="1256"/>
    </row>
    <row r="13" spans="1:14" s="1394" customFormat="1" ht="15.75" customHeight="1">
      <c r="A13" s="1397" t="s">
        <v>1863</v>
      </c>
      <c r="F13" s="1396"/>
      <c r="G13" s="1396"/>
      <c r="H13" s="1396"/>
      <c r="I13" s="1396"/>
      <c r="J13" s="1396"/>
      <c r="K13" s="1396"/>
      <c r="L13" s="1396"/>
      <c r="M13" s="1396"/>
      <c r="N13" s="1396"/>
    </row>
    <row r="14" spans="1:14" s="683" customFormat="1" ht="8.1" customHeight="1">
      <c r="A14" s="1045"/>
      <c r="B14" s="1045"/>
      <c r="C14" s="1045"/>
      <c r="D14" s="1045"/>
      <c r="E14" s="1045"/>
      <c r="F14" s="1045"/>
      <c r="G14" s="1045"/>
      <c r="H14" s="1045"/>
      <c r="I14" s="1045"/>
      <c r="J14" s="1045"/>
      <c r="K14" s="1045"/>
    </row>
    <row r="15" spans="1:14" s="683" customFormat="1" ht="4.5" customHeight="1" thickBot="1">
      <c r="A15" s="1513"/>
      <c r="B15" s="1513"/>
      <c r="C15" s="1513"/>
      <c r="D15" s="1513"/>
      <c r="E15" s="1513"/>
      <c r="F15" s="1513"/>
      <c r="G15" s="1513"/>
      <c r="H15" s="1513"/>
      <c r="I15" s="1513"/>
      <c r="J15" s="1513"/>
      <c r="K15" s="1513"/>
    </row>
    <row r="16" spans="1:14" s="683" customFormat="1" ht="19.5" customHeight="1">
      <c r="A16" s="684"/>
      <c r="B16" s="516"/>
      <c r="C16" s="962"/>
      <c r="D16" s="963"/>
      <c r="E16" s="964"/>
      <c r="F16" s="516"/>
      <c r="G16" s="516" t="s">
        <v>6</v>
      </c>
      <c r="H16" s="1445" t="s">
        <v>618</v>
      </c>
      <c r="I16" s="1446"/>
      <c r="J16" s="1447"/>
      <c r="K16" s="679" t="s">
        <v>7</v>
      </c>
    </row>
    <row r="17" spans="1:13" s="683" customFormat="1" ht="15.75">
      <c r="A17" s="685" t="s">
        <v>821</v>
      </c>
      <c r="B17" s="518"/>
      <c r="C17" s="969"/>
      <c r="D17" s="965"/>
      <c r="E17" s="970"/>
      <c r="F17" s="518"/>
      <c r="G17" s="518">
        <v>2021</v>
      </c>
      <c r="H17" s="518" t="s">
        <v>560</v>
      </c>
      <c r="I17" s="518" t="s">
        <v>561</v>
      </c>
      <c r="J17" s="518">
        <v>2022</v>
      </c>
      <c r="K17" s="520">
        <v>2023</v>
      </c>
    </row>
    <row r="18" spans="1:13" s="683" customFormat="1" ht="15.75">
      <c r="A18" s="685" t="s">
        <v>822</v>
      </c>
      <c r="B18" s="518" t="s">
        <v>616</v>
      </c>
      <c r="C18" s="1452" t="s">
        <v>617</v>
      </c>
      <c r="D18" s="1451"/>
      <c r="E18" s="1453"/>
      <c r="F18" s="518"/>
      <c r="G18" s="518" t="s">
        <v>909</v>
      </c>
      <c r="H18" s="518" t="s">
        <v>559</v>
      </c>
      <c r="I18" s="518" t="s">
        <v>562</v>
      </c>
      <c r="J18" s="518" t="s">
        <v>909</v>
      </c>
      <c r="K18" s="520" t="s">
        <v>909</v>
      </c>
    </row>
    <row r="19" spans="1:13" s="683" customFormat="1" ht="15.75">
      <c r="A19" s="685" t="s">
        <v>4</v>
      </c>
      <c r="B19" s="518"/>
      <c r="C19" s="969"/>
      <c r="D19" s="965"/>
      <c r="E19" s="970"/>
      <c r="F19" s="518"/>
      <c r="G19" s="518" t="s">
        <v>559</v>
      </c>
      <c r="H19" s="518">
        <v>2022</v>
      </c>
      <c r="I19" s="518">
        <v>2022</v>
      </c>
      <c r="J19" s="518" t="s">
        <v>910</v>
      </c>
      <c r="K19" s="520" t="s">
        <v>564</v>
      </c>
    </row>
    <row r="20" spans="1:13" ht="13.5" thickBot="1">
      <c r="A20" s="686"/>
      <c r="B20" s="526"/>
      <c r="C20" s="1508"/>
      <c r="D20" s="1455"/>
      <c r="E20" s="1509"/>
      <c r="F20" s="526"/>
      <c r="G20" s="526"/>
      <c r="H20" s="526"/>
      <c r="I20" s="526"/>
      <c r="J20" s="526"/>
      <c r="K20" s="528"/>
    </row>
    <row r="21" spans="1:13">
      <c r="A21" s="627"/>
      <c r="B21" s="627"/>
      <c r="C21" s="687"/>
      <c r="D21" s="688"/>
      <c r="E21" s="689"/>
      <c r="F21" s="690"/>
      <c r="G21" s="691"/>
      <c r="H21" s="692"/>
      <c r="I21" s="692"/>
      <c r="J21" s="692"/>
      <c r="K21" s="692"/>
    </row>
    <row r="22" spans="1:13" s="683" customFormat="1" ht="18" customHeight="1">
      <c r="A22" s="693"/>
      <c r="B22" s="540"/>
      <c r="C22" s="694" t="s">
        <v>784</v>
      </c>
      <c r="D22" s="695"/>
      <c r="E22" s="696"/>
      <c r="F22" s="540">
        <v>1181</v>
      </c>
      <c r="G22" s="697">
        <f>1019029.82+39016.88</f>
        <v>1058046.7</v>
      </c>
      <c r="H22" s="616">
        <v>746207.62</v>
      </c>
      <c r="I22" s="616">
        <f>1090005-H22</f>
        <v>343797.38</v>
      </c>
      <c r="J22" s="616">
        <f>I22+H22</f>
        <v>1090005</v>
      </c>
      <c r="K22" s="616">
        <v>1100000</v>
      </c>
      <c r="L22" s="683">
        <v>746207.62</v>
      </c>
      <c r="M22" s="981">
        <f>L22-H22</f>
        <v>0</v>
      </c>
    </row>
    <row r="23" spans="1:13" s="683" customFormat="1" ht="18" customHeight="1">
      <c r="A23" s="693"/>
      <c r="B23" s="540"/>
      <c r="C23" s="694" t="s">
        <v>785</v>
      </c>
      <c r="D23" s="695"/>
      <c r="E23" s="696"/>
      <c r="F23" s="540">
        <v>1191</v>
      </c>
      <c r="G23" s="697">
        <f>406207.97</f>
        <v>406207.97</v>
      </c>
      <c r="H23" s="616">
        <f>227427.34+38850</f>
        <v>266277.33999999997</v>
      </c>
      <c r="I23" s="616">
        <f>634596-H23</f>
        <v>368318.66000000003</v>
      </c>
      <c r="J23" s="616">
        <f t="shared" ref="J23:J52" si="0">I23+H23</f>
        <v>634596</v>
      </c>
      <c r="K23" s="616">
        <v>635000</v>
      </c>
      <c r="L23" s="683">
        <f>227427.34+38850</f>
        <v>266277.33999999997</v>
      </c>
      <c r="M23" s="981">
        <f t="shared" ref="M23:M53" si="1">L23-H23</f>
        <v>0</v>
      </c>
    </row>
    <row r="24" spans="1:13" s="683" customFormat="1" ht="18" customHeight="1">
      <c r="A24" s="693"/>
      <c r="B24" s="540"/>
      <c r="C24" s="694" t="s">
        <v>786</v>
      </c>
      <c r="D24" s="695"/>
      <c r="E24" s="696"/>
      <c r="F24" s="540">
        <v>1158</v>
      </c>
      <c r="G24" s="697">
        <f>57793.1</f>
        <v>57793.1</v>
      </c>
      <c r="H24" s="616">
        <f>20510</f>
        <v>20510</v>
      </c>
      <c r="I24" s="616">
        <f>70000-H24</f>
        <v>49490</v>
      </c>
      <c r="J24" s="616">
        <f t="shared" si="0"/>
        <v>70000</v>
      </c>
      <c r="K24" s="616">
        <v>70000</v>
      </c>
      <c r="L24" s="683">
        <v>20510</v>
      </c>
      <c r="M24" s="981">
        <f t="shared" si="1"/>
        <v>0</v>
      </c>
    </row>
    <row r="25" spans="1:13" s="683" customFormat="1" ht="18" customHeight="1">
      <c r="A25" s="693"/>
      <c r="B25" s="540"/>
      <c r="C25" s="694" t="s">
        <v>787</v>
      </c>
      <c r="D25" s="695"/>
      <c r="E25" s="696"/>
      <c r="F25" s="540">
        <v>1111</v>
      </c>
      <c r="G25" s="697">
        <f>49970+69999</f>
        <v>119969</v>
      </c>
      <c r="H25" s="616">
        <f>98988</f>
        <v>98988</v>
      </c>
      <c r="I25" s="616">
        <f>100000-H25</f>
        <v>1012</v>
      </c>
      <c r="J25" s="616">
        <f t="shared" si="0"/>
        <v>100000</v>
      </c>
      <c r="K25" s="616">
        <v>100000</v>
      </c>
      <c r="L25" s="683">
        <v>98988</v>
      </c>
      <c r="M25" s="981">
        <f t="shared" si="1"/>
        <v>0</v>
      </c>
    </row>
    <row r="26" spans="1:13" s="683" customFormat="1" ht="18" customHeight="1">
      <c r="A26" s="693"/>
      <c r="B26" s="540"/>
      <c r="C26" s="694" t="s">
        <v>788</v>
      </c>
      <c r="D26" s="695"/>
      <c r="E26" s="696"/>
      <c r="F26" s="540" t="s">
        <v>262</v>
      </c>
      <c r="G26" s="697">
        <f>30000</f>
        <v>30000</v>
      </c>
      <c r="H26" s="616">
        <f>15000</f>
        <v>15000</v>
      </c>
      <c r="I26" s="616">
        <f>33000-H26</f>
        <v>18000</v>
      </c>
      <c r="J26" s="616">
        <f t="shared" si="0"/>
        <v>33000</v>
      </c>
      <c r="K26" s="616">
        <v>33000</v>
      </c>
      <c r="L26" s="683">
        <v>15000</v>
      </c>
      <c r="M26" s="981">
        <f t="shared" si="1"/>
        <v>0</v>
      </c>
    </row>
    <row r="27" spans="1:13" s="683" customFormat="1" ht="18" customHeight="1">
      <c r="A27" s="693"/>
      <c r="B27" s="540"/>
      <c r="C27" s="694" t="s">
        <v>789</v>
      </c>
      <c r="D27" s="695"/>
      <c r="E27" s="696"/>
      <c r="F27" s="540" t="s">
        <v>26</v>
      </c>
      <c r="G27" s="697">
        <f>30000</f>
        <v>30000</v>
      </c>
      <c r="H27" s="616">
        <f>15000</f>
        <v>15000</v>
      </c>
      <c r="I27" s="616">
        <f>33000-H27</f>
        <v>18000</v>
      </c>
      <c r="J27" s="616">
        <f t="shared" si="0"/>
        <v>33000</v>
      </c>
      <c r="K27" s="616">
        <v>33000</v>
      </c>
      <c r="L27" s="683">
        <v>15000</v>
      </c>
      <c r="M27" s="981">
        <f t="shared" si="1"/>
        <v>0</v>
      </c>
    </row>
    <row r="28" spans="1:13" s="683" customFormat="1" ht="18" customHeight="1">
      <c r="A28" s="693"/>
      <c r="B28" s="540"/>
      <c r="C28" s="694" t="s">
        <v>792</v>
      </c>
      <c r="D28" s="695"/>
      <c r="E28" s="696"/>
      <c r="F28" s="540" t="s">
        <v>27</v>
      </c>
      <c r="G28" s="697">
        <f>146656+48505</f>
        <v>195161</v>
      </c>
      <c r="H28" s="616">
        <v>59398</v>
      </c>
      <c r="I28" s="616">
        <f>200000-H28</f>
        <v>140602</v>
      </c>
      <c r="J28" s="616">
        <f t="shared" si="0"/>
        <v>200000</v>
      </c>
      <c r="K28" s="616">
        <v>200000</v>
      </c>
      <c r="L28" s="683">
        <v>59398</v>
      </c>
      <c r="M28" s="981">
        <f t="shared" si="1"/>
        <v>0</v>
      </c>
    </row>
    <row r="29" spans="1:13" s="683" customFormat="1" ht="18" customHeight="1">
      <c r="A29" s="693"/>
      <c r="B29" s="540"/>
      <c r="C29" s="694" t="s">
        <v>793</v>
      </c>
      <c r="D29" s="695"/>
      <c r="E29" s="696"/>
      <c r="F29" s="540" t="s">
        <v>28</v>
      </c>
      <c r="G29" s="697">
        <f>142982+51400</f>
        <v>194382</v>
      </c>
      <c r="H29" s="616">
        <v>53249</v>
      </c>
      <c r="I29" s="616">
        <f>200000-H29</f>
        <v>146751</v>
      </c>
      <c r="J29" s="616">
        <f t="shared" si="0"/>
        <v>200000</v>
      </c>
      <c r="K29" s="616">
        <v>200000</v>
      </c>
      <c r="L29" s="683">
        <v>53249</v>
      </c>
      <c r="M29" s="981">
        <f t="shared" si="1"/>
        <v>0</v>
      </c>
    </row>
    <row r="30" spans="1:13" s="683" customFormat="1" ht="18" customHeight="1">
      <c r="A30" s="693"/>
      <c r="B30" s="540"/>
      <c r="C30" s="694" t="s">
        <v>794</v>
      </c>
      <c r="D30" s="695"/>
      <c r="E30" s="696"/>
      <c r="F30" s="540" t="s">
        <v>29</v>
      </c>
      <c r="G30" s="697">
        <v>24000</v>
      </c>
      <c r="H30" s="616">
        <v>0</v>
      </c>
      <c r="I30" s="616">
        <f>30000-H30</f>
        <v>30000</v>
      </c>
      <c r="J30" s="616">
        <f t="shared" si="0"/>
        <v>30000</v>
      </c>
      <c r="K30" s="616">
        <v>30000</v>
      </c>
      <c r="M30" s="981">
        <f t="shared" si="1"/>
        <v>0</v>
      </c>
    </row>
    <row r="31" spans="1:13" s="683" customFormat="1" ht="18" customHeight="1">
      <c r="A31" s="693"/>
      <c r="B31" s="540"/>
      <c r="C31" s="694" t="s">
        <v>844</v>
      </c>
      <c r="D31" s="695"/>
      <c r="E31" s="696"/>
      <c r="F31" s="540" t="s">
        <v>30</v>
      </c>
      <c r="G31" s="697">
        <f>49950+48000</f>
        <v>97950</v>
      </c>
      <c r="H31" s="616">
        <v>0</v>
      </c>
      <c r="I31" s="616">
        <f>100000-H31</f>
        <v>100000</v>
      </c>
      <c r="J31" s="616">
        <f t="shared" si="0"/>
        <v>100000</v>
      </c>
      <c r="K31" s="616">
        <v>100000</v>
      </c>
      <c r="M31" s="981">
        <f t="shared" si="1"/>
        <v>0</v>
      </c>
    </row>
    <row r="32" spans="1:13" s="683" customFormat="1" ht="18" customHeight="1">
      <c r="A32" s="693"/>
      <c r="B32" s="540"/>
      <c r="C32" s="694" t="s">
        <v>827</v>
      </c>
      <c r="D32" s="695"/>
      <c r="E32" s="696"/>
      <c r="F32" s="540" t="s">
        <v>31</v>
      </c>
      <c r="G32" s="697">
        <v>0</v>
      </c>
      <c r="H32" s="616">
        <v>0</v>
      </c>
      <c r="I32" s="616">
        <f>204000-H32</f>
        <v>204000</v>
      </c>
      <c r="J32" s="616">
        <f t="shared" si="0"/>
        <v>204000</v>
      </c>
      <c r="K32" s="616">
        <v>204000</v>
      </c>
      <c r="M32" s="981">
        <f t="shared" si="1"/>
        <v>0</v>
      </c>
    </row>
    <row r="33" spans="1:13" s="683" customFormat="1" ht="18" customHeight="1">
      <c r="A33" s="693"/>
      <c r="B33" s="540"/>
      <c r="C33" s="694" t="s">
        <v>908</v>
      </c>
      <c r="D33" s="695"/>
      <c r="E33" s="696"/>
      <c r="F33" s="540" t="s">
        <v>391</v>
      </c>
      <c r="G33" s="697">
        <f>184556+81275+19990</f>
        <v>285821</v>
      </c>
      <c r="H33" s="616">
        <f>99890</f>
        <v>99890</v>
      </c>
      <c r="I33" s="616">
        <f>300000-H33</f>
        <v>200110</v>
      </c>
      <c r="J33" s="616">
        <f t="shared" si="0"/>
        <v>300000</v>
      </c>
      <c r="K33" s="616">
        <v>238000</v>
      </c>
      <c r="L33" s="683">
        <v>99890</v>
      </c>
      <c r="M33" s="981">
        <f t="shared" si="1"/>
        <v>0</v>
      </c>
    </row>
    <row r="34" spans="1:13" s="683" customFormat="1" ht="18" customHeight="1">
      <c r="A34" s="693"/>
      <c r="B34" s="540"/>
      <c r="C34" s="694" t="s">
        <v>1684</v>
      </c>
      <c r="D34" s="695"/>
      <c r="E34" s="696"/>
      <c r="F34" s="980" t="s">
        <v>392</v>
      </c>
      <c r="G34" s="697">
        <v>0</v>
      </c>
      <c r="H34" s="616">
        <v>0</v>
      </c>
      <c r="I34" s="616">
        <f>0-H34</f>
        <v>0</v>
      </c>
      <c r="J34" s="616">
        <f t="shared" si="0"/>
        <v>0</v>
      </c>
      <c r="K34" s="616">
        <v>150000</v>
      </c>
      <c r="M34" s="981">
        <f t="shared" si="1"/>
        <v>0</v>
      </c>
    </row>
    <row r="35" spans="1:13" s="683" customFormat="1" ht="18" customHeight="1">
      <c r="A35" s="693"/>
      <c r="B35" s="540"/>
      <c r="C35" s="694" t="s">
        <v>796</v>
      </c>
      <c r="D35" s="695"/>
      <c r="E35" s="696"/>
      <c r="F35" s="540" t="s">
        <v>393</v>
      </c>
      <c r="G35" s="697">
        <v>0</v>
      </c>
      <c r="H35" s="616">
        <v>0</v>
      </c>
      <c r="I35" s="616">
        <f>30000-H35</f>
        <v>30000</v>
      </c>
      <c r="J35" s="616">
        <f t="shared" si="0"/>
        <v>30000</v>
      </c>
      <c r="K35" s="616">
        <v>30000</v>
      </c>
      <c r="M35" s="981">
        <f t="shared" si="1"/>
        <v>0</v>
      </c>
    </row>
    <row r="36" spans="1:13" s="683" customFormat="1" ht="18" customHeight="1">
      <c r="A36" s="693"/>
      <c r="B36" s="540"/>
      <c r="C36" s="694" t="s">
        <v>797</v>
      </c>
      <c r="D36" s="695"/>
      <c r="E36" s="696"/>
      <c r="F36" s="540" t="s">
        <v>394</v>
      </c>
      <c r="G36" s="697">
        <f>152000</f>
        <v>152000</v>
      </c>
      <c r="H36" s="616">
        <f>64000</f>
        <v>64000</v>
      </c>
      <c r="I36" s="616">
        <f>176400-H36</f>
        <v>112400</v>
      </c>
      <c r="J36" s="616">
        <f t="shared" si="0"/>
        <v>176400</v>
      </c>
      <c r="K36" s="616">
        <v>176400</v>
      </c>
      <c r="L36" s="683">
        <v>64000</v>
      </c>
      <c r="M36" s="981">
        <f t="shared" si="1"/>
        <v>0</v>
      </c>
    </row>
    <row r="37" spans="1:13" s="753" customFormat="1" ht="18" customHeight="1">
      <c r="A37" s="734"/>
      <c r="B37" s="598"/>
      <c r="C37" s="735" t="s">
        <v>1472</v>
      </c>
      <c r="D37" s="736"/>
      <c r="E37" s="737"/>
      <c r="F37" s="598" t="s">
        <v>395</v>
      </c>
      <c r="G37" s="752">
        <v>0</v>
      </c>
      <c r="H37" s="738">
        <v>0</v>
      </c>
      <c r="I37" s="738">
        <f>75000-H37</f>
        <v>75000</v>
      </c>
      <c r="J37" s="738">
        <f t="shared" si="0"/>
        <v>75000</v>
      </c>
      <c r="K37" s="738">
        <v>50000</v>
      </c>
      <c r="M37" s="981">
        <f t="shared" si="1"/>
        <v>0</v>
      </c>
    </row>
    <row r="38" spans="1:13" s="683" customFormat="1" ht="18" customHeight="1">
      <c r="A38" s="693"/>
      <c r="B38" s="540"/>
      <c r="C38" s="694" t="s">
        <v>799</v>
      </c>
      <c r="D38" s="695"/>
      <c r="E38" s="696"/>
      <c r="F38" s="540" t="s">
        <v>396</v>
      </c>
      <c r="G38" s="697">
        <v>0</v>
      </c>
      <c r="H38" s="616">
        <v>0</v>
      </c>
      <c r="I38" s="616">
        <f>150000-H38</f>
        <v>150000</v>
      </c>
      <c r="J38" s="616">
        <f t="shared" si="0"/>
        <v>150000</v>
      </c>
      <c r="K38" s="616">
        <v>150000</v>
      </c>
      <c r="M38" s="981">
        <f t="shared" si="1"/>
        <v>0</v>
      </c>
    </row>
    <row r="39" spans="1:13" s="683" customFormat="1" ht="18" customHeight="1">
      <c r="A39" s="693"/>
      <c r="B39" s="540"/>
      <c r="C39" s="694" t="s">
        <v>875</v>
      </c>
      <c r="D39" s="695"/>
      <c r="E39" s="696"/>
      <c r="F39" s="540" t="s">
        <v>397</v>
      </c>
      <c r="G39" s="697">
        <v>960000</v>
      </c>
      <c r="H39" s="616">
        <f>648000</f>
        <v>648000</v>
      </c>
      <c r="I39" s="616">
        <f>1248000-H39</f>
        <v>600000</v>
      </c>
      <c r="J39" s="616">
        <f t="shared" si="0"/>
        <v>1248000</v>
      </c>
      <c r="K39" s="616">
        <v>1248000</v>
      </c>
      <c r="L39" s="683">
        <v>648000</v>
      </c>
      <c r="M39" s="981">
        <f t="shared" si="1"/>
        <v>0</v>
      </c>
    </row>
    <row r="40" spans="1:13" s="683" customFormat="1" ht="18" customHeight="1">
      <c r="A40" s="693"/>
      <c r="B40" s="540"/>
      <c r="C40" s="694" t="s">
        <v>795</v>
      </c>
      <c r="D40" s="695"/>
      <c r="E40" s="696"/>
      <c r="F40" s="540" t="s">
        <v>398</v>
      </c>
      <c r="G40" s="697">
        <v>0</v>
      </c>
      <c r="H40" s="616">
        <v>0</v>
      </c>
      <c r="I40" s="616">
        <f>135000-H40</f>
        <v>135000</v>
      </c>
      <c r="J40" s="616">
        <f t="shared" si="0"/>
        <v>135000</v>
      </c>
      <c r="K40" s="616">
        <v>135000</v>
      </c>
      <c r="M40" s="981">
        <f t="shared" si="1"/>
        <v>0</v>
      </c>
    </row>
    <row r="41" spans="1:13" s="683" customFormat="1" ht="18" customHeight="1">
      <c r="A41" s="693"/>
      <c r="B41" s="540"/>
      <c r="C41" s="694" t="s">
        <v>800</v>
      </c>
      <c r="D41" s="695"/>
      <c r="E41" s="696"/>
      <c r="F41" s="540" t="s">
        <v>399</v>
      </c>
      <c r="G41" s="697">
        <f>243650</f>
        <v>243650</v>
      </c>
      <c r="H41" s="616">
        <v>0</v>
      </c>
      <c r="I41" s="616">
        <f>243650-H41</f>
        <v>243650</v>
      </c>
      <c r="J41" s="616">
        <f t="shared" si="0"/>
        <v>243650</v>
      </c>
      <c r="K41" s="616">
        <v>243650</v>
      </c>
      <c r="M41" s="981">
        <f t="shared" si="1"/>
        <v>0</v>
      </c>
    </row>
    <row r="42" spans="1:13" s="683" customFormat="1" ht="18" customHeight="1">
      <c r="A42" s="698"/>
      <c r="B42" s="547"/>
      <c r="C42" s="699" t="s">
        <v>888</v>
      </c>
      <c r="D42" s="700"/>
      <c r="E42" s="701"/>
      <c r="F42" s="540" t="s">
        <v>400</v>
      </c>
      <c r="G42" s="702">
        <f>144000</f>
        <v>144000</v>
      </c>
      <c r="H42" s="703">
        <v>0</v>
      </c>
      <c r="I42" s="616">
        <f>201600-H42</f>
        <v>201600</v>
      </c>
      <c r="J42" s="616">
        <f t="shared" si="0"/>
        <v>201600</v>
      </c>
      <c r="K42" s="703">
        <v>201600</v>
      </c>
      <c r="M42" s="981">
        <f t="shared" si="1"/>
        <v>0</v>
      </c>
    </row>
    <row r="43" spans="1:13" s="683" customFormat="1" ht="18" customHeight="1">
      <c r="A43" s="698"/>
      <c r="B43" s="547"/>
      <c r="C43" s="699" t="s">
        <v>925</v>
      </c>
      <c r="D43" s="700"/>
      <c r="E43" s="701"/>
      <c r="F43" s="540" t="s">
        <v>1536</v>
      </c>
      <c r="G43" s="702">
        <f>243000</f>
        <v>243000</v>
      </c>
      <c r="H43" s="703">
        <v>0</v>
      </c>
      <c r="I43" s="616">
        <f>335400-H43</f>
        <v>335400</v>
      </c>
      <c r="J43" s="616">
        <f t="shared" si="0"/>
        <v>335400</v>
      </c>
      <c r="K43" s="703">
        <v>335400</v>
      </c>
      <c r="M43" s="981">
        <f t="shared" si="1"/>
        <v>0</v>
      </c>
    </row>
    <row r="44" spans="1:13" s="683" customFormat="1" ht="18" customHeight="1">
      <c r="A44" s="698"/>
      <c r="B44" s="547"/>
      <c r="C44" s="699" t="s">
        <v>1685</v>
      </c>
      <c r="D44" s="700"/>
      <c r="E44" s="701"/>
      <c r="F44" s="540" t="s">
        <v>926</v>
      </c>
      <c r="G44" s="702">
        <v>0</v>
      </c>
      <c r="H44" s="703">
        <f>238500</f>
        <v>238500</v>
      </c>
      <c r="I44" s="616">
        <f>630000+400000-H44</f>
        <v>791500</v>
      </c>
      <c r="J44" s="616">
        <f t="shared" si="0"/>
        <v>1030000</v>
      </c>
      <c r="K44" s="703">
        <v>1000000</v>
      </c>
      <c r="L44" s="683">
        <v>238500</v>
      </c>
      <c r="M44" s="981">
        <f t="shared" si="1"/>
        <v>0</v>
      </c>
    </row>
    <row r="45" spans="1:13" s="704" customFormat="1" ht="18" customHeight="1">
      <c r="A45" s="734"/>
      <c r="B45" s="598"/>
      <c r="C45" s="735" t="s">
        <v>1451</v>
      </c>
      <c r="D45" s="736"/>
      <c r="E45" s="737"/>
      <c r="F45" s="540" t="s">
        <v>1537</v>
      </c>
      <c r="G45" s="752">
        <f>40660</f>
        <v>40660</v>
      </c>
      <c r="H45" s="738">
        <v>0</v>
      </c>
      <c r="I45" s="616">
        <f>100000-H45</f>
        <v>100000</v>
      </c>
      <c r="J45" s="616">
        <f t="shared" si="0"/>
        <v>100000</v>
      </c>
      <c r="K45" s="738">
        <v>100000</v>
      </c>
      <c r="M45" s="981">
        <f t="shared" si="1"/>
        <v>0</v>
      </c>
    </row>
    <row r="46" spans="1:13" s="704" customFormat="1" ht="18" customHeight="1">
      <c r="A46" s="598"/>
      <c r="B46" s="598"/>
      <c r="C46" s="735" t="s">
        <v>1468</v>
      </c>
      <c r="D46" s="736"/>
      <c r="E46" s="737"/>
      <c r="F46" s="540" t="s">
        <v>927</v>
      </c>
      <c r="G46" s="747">
        <f>620500</f>
        <v>620500</v>
      </c>
      <c r="H46" s="746">
        <v>628000</v>
      </c>
      <c r="I46" s="616">
        <f>1260000-H46</f>
        <v>632000</v>
      </c>
      <c r="J46" s="616">
        <f t="shared" si="0"/>
        <v>1260000</v>
      </c>
      <c r="K46" s="746">
        <v>1260000</v>
      </c>
      <c r="L46" s="704">
        <v>628000</v>
      </c>
      <c r="M46" s="981">
        <f t="shared" si="1"/>
        <v>0</v>
      </c>
    </row>
    <row r="47" spans="1:13" s="704" customFormat="1" ht="18" customHeight="1">
      <c r="A47" s="598"/>
      <c r="B47" s="598"/>
      <c r="C47" s="735" t="s">
        <v>798</v>
      </c>
      <c r="D47" s="736"/>
      <c r="E47" s="737"/>
      <c r="F47" s="540" t="s">
        <v>1452</v>
      </c>
      <c r="G47" s="747">
        <v>0</v>
      </c>
      <c r="H47" s="738">
        <v>0</v>
      </c>
      <c r="I47" s="616">
        <f>75000-H47</f>
        <v>75000</v>
      </c>
      <c r="J47" s="616">
        <f t="shared" si="0"/>
        <v>75000</v>
      </c>
      <c r="K47" s="738">
        <v>75000</v>
      </c>
      <c r="M47" s="981">
        <f t="shared" si="1"/>
        <v>0</v>
      </c>
    </row>
    <row r="48" spans="1:13" s="704" customFormat="1" ht="18" customHeight="1">
      <c r="A48" s="598"/>
      <c r="B48" s="598"/>
      <c r="C48" s="735" t="s">
        <v>1473</v>
      </c>
      <c r="D48" s="736"/>
      <c r="E48" s="737"/>
      <c r="F48" s="540" t="s">
        <v>1469</v>
      </c>
      <c r="G48" s="747">
        <f>65500</f>
        <v>65500</v>
      </c>
      <c r="H48" s="738">
        <v>0</v>
      </c>
      <c r="I48" s="616">
        <f>66000-H48</f>
        <v>66000</v>
      </c>
      <c r="J48" s="616">
        <f t="shared" si="0"/>
        <v>66000</v>
      </c>
      <c r="K48" s="738">
        <v>0</v>
      </c>
      <c r="M48" s="981">
        <f t="shared" si="1"/>
        <v>0</v>
      </c>
    </row>
    <row r="49" spans="1:13" s="704" customFormat="1" ht="18" customHeight="1">
      <c r="A49" s="598"/>
      <c r="B49" s="598"/>
      <c r="C49" s="735" t="s">
        <v>1686</v>
      </c>
      <c r="D49" s="736"/>
      <c r="E49" s="737"/>
      <c r="F49" s="540" t="s">
        <v>1687</v>
      </c>
      <c r="G49" s="747">
        <v>0</v>
      </c>
      <c r="H49" s="738">
        <v>0</v>
      </c>
      <c r="I49" s="616">
        <f>600000-H49</f>
        <v>600000</v>
      </c>
      <c r="J49" s="616">
        <f t="shared" si="0"/>
        <v>600000</v>
      </c>
      <c r="K49" s="738">
        <v>0</v>
      </c>
      <c r="M49" s="981">
        <f t="shared" si="1"/>
        <v>0</v>
      </c>
    </row>
    <row r="50" spans="1:13" s="704" customFormat="1" ht="18" customHeight="1">
      <c r="A50" s="598"/>
      <c r="B50" s="598"/>
      <c r="C50" s="735" t="s">
        <v>1474</v>
      </c>
      <c r="D50" s="736"/>
      <c r="E50" s="737"/>
      <c r="F50" s="540" t="s">
        <v>1475</v>
      </c>
      <c r="G50" s="747">
        <f>599000</f>
        <v>599000</v>
      </c>
      <c r="H50" s="738">
        <v>293000</v>
      </c>
      <c r="I50" s="616">
        <f>600000+600000-H50</f>
        <v>907000</v>
      </c>
      <c r="J50" s="616">
        <f t="shared" si="0"/>
        <v>1200000</v>
      </c>
      <c r="K50" s="738">
        <v>1200000</v>
      </c>
      <c r="L50" s="704">
        <v>293000</v>
      </c>
      <c r="M50" s="981">
        <f t="shared" si="1"/>
        <v>0</v>
      </c>
    </row>
    <row r="51" spans="1:13" s="704" customFormat="1" ht="18" customHeight="1">
      <c r="A51" s="598"/>
      <c r="B51" s="598"/>
      <c r="C51" s="735" t="s">
        <v>1585</v>
      </c>
      <c r="D51" s="736"/>
      <c r="E51" s="737"/>
      <c r="F51" s="540" t="s">
        <v>1586</v>
      </c>
      <c r="G51" s="747">
        <v>0</v>
      </c>
      <c r="H51" s="738">
        <v>0</v>
      </c>
      <c r="I51" s="616">
        <f>30000-H51</f>
        <v>30000</v>
      </c>
      <c r="J51" s="616">
        <f t="shared" si="0"/>
        <v>30000</v>
      </c>
      <c r="K51" s="738">
        <v>0</v>
      </c>
      <c r="M51" s="981">
        <f t="shared" si="1"/>
        <v>0</v>
      </c>
    </row>
    <row r="52" spans="1:13" s="704" customFormat="1" ht="18" customHeight="1">
      <c r="A52" s="598"/>
      <c r="B52" s="598"/>
      <c r="C52" s="735" t="s">
        <v>1615</v>
      </c>
      <c r="D52" s="736"/>
      <c r="E52" s="737"/>
      <c r="F52" s="540" t="s">
        <v>1616</v>
      </c>
      <c r="G52" s="747">
        <v>0</v>
      </c>
      <c r="H52" s="738">
        <v>0</v>
      </c>
      <c r="I52" s="616">
        <f>100000-H52</f>
        <v>100000</v>
      </c>
      <c r="J52" s="616">
        <f t="shared" si="0"/>
        <v>100000</v>
      </c>
      <c r="K52" s="738">
        <v>0</v>
      </c>
      <c r="M52" s="981">
        <f t="shared" si="1"/>
        <v>0</v>
      </c>
    </row>
    <row r="53" spans="1:13" s="705" customFormat="1" ht="18" customHeight="1" thickBot="1">
      <c r="A53" s="739" t="s">
        <v>613</v>
      </c>
      <c r="B53" s="740"/>
      <c r="C53" s="741"/>
      <c r="D53" s="742"/>
      <c r="E53" s="743"/>
      <c r="F53" s="744"/>
      <c r="G53" s="745">
        <f>SUM(G21:G52)</f>
        <v>5567640.7699999996</v>
      </c>
      <c r="H53" s="745">
        <f>SUM(H21:H52)</f>
        <v>3246019.96</v>
      </c>
      <c r="I53" s="745">
        <f>SUM(I21:I52)</f>
        <v>6804631.04</v>
      </c>
      <c r="J53" s="745">
        <f>SUM(J21:J52)</f>
        <v>10050651</v>
      </c>
      <c r="K53" s="745">
        <f>SUM(K21:K52)</f>
        <v>9298050</v>
      </c>
      <c r="M53" s="981">
        <f t="shared" si="1"/>
        <v>-3246019.96</v>
      </c>
    </row>
    <row r="54" spans="1:13" ht="18" customHeight="1">
      <c r="A54" s="509"/>
      <c r="B54" s="618"/>
      <c r="C54" s="618"/>
      <c r="D54" s="618"/>
      <c r="E54" s="618"/>
      <c r="F54" s="618"/>
      <c r="G54" s="618"/>
      <c r="H54" s="706"/>
      <c r="I54" s="706"/>
      <c r="J54" s="706"/>
      <c r="K54" s="706"/>
    </row>
    <row r="55" spans="1:13" ht="15.75">
      <c r="A55" s="1484" t="s">
        <v>1796</v>
      </c>
      <c r="B55" s="1484"/>
      <c r="C55" s="1484"/>
      <c r="D55" s="1484"/>
      <c r="E55" s="1484"/>
      <c r="F55" s="1484"/>
      <c r="G55" s="1484"/>
      <c r="H55" s="1484"/>
      <c r="I55" s="1484"/>
      <c r="J55" s="1484"/>
      <c r="K55" s="1484"/>
      <c r="L55" s="1339"/>
      <c r="M55" s="1339"/>
    </row>
    <row r="56" spans="1:13">
      <c r="A56" s="509"/>
      <c r="B56" s="618"/>
      <c r="C56" s="618"/>
      <c r="D56" s="618"/>
      <c r="E56" s="618"/>
      <c r="F56" s="618"/>
      <c r="G56" s="618"/>
      <c r="H56" s="706"/>
      <c r="I56" s="706"/>
      <c r="J56" s="706"/>
      <c r="K56" s="706"/>
    </row>
    <row r="57" spans="1:13">
      <c r="A57" s="509"/>
      <c r="B57" s="618"/>
      <c r="C57" s="618"/>
      <c r="D57" s="618"/>
      <c r="E57" s="618"/>
      <c r="F57" s="618"/>
      <c r="G57" s="618"/>
      <c r="H57" s="706"/>
      <c r="I57" s="706"/>
      <c r="J57" s="706"/>
      <c r="K57" s="706"/>
    </row>
    <row r="58" spans="1:13">
      <c r="A58" s="509"/>
      <c r="B58" s="618"/>
      <c r="C58" s="618"/>
      <c r="D58" s="618"/>
      <c r="E58" s="618"/>
      <c r="F58" s="618"/>
      <c r="G58" s="618"/>
      <c r="H58" s="706"/>
      <c r="I58" s="706"/>
      <c r="J58" s="706"/>
      <c r="K58" s="706"/>
    </row>
    <row r="59" spans="1:13">
      <c r="A59" s="509"/>
      <c r="B59" s="618"/>
      <c r="C59" s="618"/>
      <c r="D59" s="618"/>
      <c r="E59" s="618"/>
      <c r="F59" s="618"/>
      <c r="G59" s="618"/>
      <c r="H59" s="706"/>
      <c r="I59" s="706"/>
      <c r="J59" s="706"/>
      <c r="K59" s="706"/>
    </row>
    <row r="60" spans="1:13">
      <c r="A60" s="509"/>
      <c r="B60" s="618"/>
      <c r="C60" s="618"/>
      <c r="D60" s="618"/>
      <c r="E60" s="618"/>
      <c r="F60" s="618"/>
      <c r="G60" s="618"/>
      <c r="H60" s="706"/>
      <c r="I60" s="706"/>
      <c r="J60" s="706"/>
      <c r="K60" s="706"/>
    </row>
    <row r="61" spans="1:13">
      <c r="A61" s="509"/>
      <c r="B61" s="618"/>
      <c r="C61" s="618"/>
      <c r="D61" s="618"/>
      <c r="E61" s="618"/>
      <c r="F61" s="618"/>
      <c r="G61" s="618"/>
      <c r="H61" s="706"/>
      <c r="I61" s="706"/>
      <c r="J61" s="706"/>
      <c r="K61" s="706"/>
    </row>
    <row r="62" spans="1:13">
      <c r="A62" s="509"/>
      <c r="B62" s="618"/>
      <c r="C62" s="618"/>
      <c r="D62" s="618"/>
      <c r="E62" s="618"/>
      <c r="F62" s="618"/>
      <c r="G62" s="618"/>
      <c r="H62" s="706"/>
      <c r="I62" s="706"/>
      <c r="J62" s="706"/>
      <c r="K62" s="706"/>
    </row>
    <row r="63" spans="1:13">
      <c r="A63" s="509"/>
      <c r="B63" s="618"/>
      <c r="C63" s="618"/>
      <c r="D63" s="618"/>
      <c r="E63" s="618"/>
      <c r="F63" s="618"/>
      <c r="G63" s="618"/>
      <c r="H63" s="706"/>
      <c r="I63" s="706"/>
      <c r="J63" s="706"/>
      <c r="K63" s="706"/>
    </row>
    <row r="64" spans="1:13">
      <c r="A64" s="509"/>
      <c r="B64" s="618"/>
      <c r="C64" s="618"/>
      <c r="D64" s="618"/>
      <c r="E64" s="618"/>
      <c r="F64" s="618"/>
      <c r="G64" s="618"/>
      <c r="H64" s="706"/>
      <c r="I64" s="706"/>
      <c r="J64" s="706"/>
      <c r="K64" s="706"/>
    </row>
    <row r="65" spans="1:13">
      <c r="A65" s="509"/>
      <c r="B65" s="618"/>
      <c r="C65" s="618"/>
      <c r="D65" s="618"/>
      <c r="E65" s="618"/>
      <c r="F65" s="618"/>
      <c r="G65" s="618"/>
      <c r="H65" s="706"/>
      <c r="I65" s="706"/>
      <c r="J65" s="706"/>
      <c r="K65" s="706"/>
    </row>
    <row r="66" spans="1:13">
      <c r="A66" s="509"/>
      <c r="B66" s="618"/>
      <c r="C66" s="618"/>
      <c r="D66" s="618"/>
      <c r="E66" s="618"/>
      <c r="F66" s="618"/>
      <c r="G66" s="618"/>
      <c r="H66" s="706"/>
      <c r="I66" s="706"/>
      <c r="J66" s="706"/>
      <c r="K66" s="706"/>
    </row>
    <row r="67" spans="1:13">
      <c r="A67" s="509"/>
      <c r="B67" s="618"/>
      <c r="C67" s="618"/>
      <c r="D67" s="618"/>
      <c r="E67" s="618"/>
      <c r="F67" s="618"/>
      <c r="G67" s="618"/>
      <c r="H67" s="706"/>
      <c r="I67" s="706"/>
      <c r="J67" s="706"/>
      <c r="K67" s="706"/>
    </row>
    <row r="68" spans="1:13">
      <c r="A68" s="509"/>
      <c r="B68" s="618"/>
      <c r="C68" s="618"/>
      <c r="D68" s="618"/>
      <c r="E68" s="618"/>
      <c r="F68" s="618"/>
      <c r="G68" s="618"/>
      <c r="H68" s="706"/>
      <c r="I68" s="706"/>
      <c r="J68" s="706"/>
      <c r="K68" s="706"/>
    </row>
    <row r="69" spans="1:13" ht="20.100000000000001" customHeight="1">
      <c r="A69" s="1456" t="s">
        <v>1864</v>
      </c>
      <c r="B69" s="1456"/>
      <c r="C69" s="1456"/>
      <c r="D69" s="1456"/>
      <c r="E69" s="1456"/>
      <c r="F69" s="1456"/>
      <c r="G69" s="1456"/>
      <c r="H69" s="1456"/>
      <c r="I69" s="1456"/>
      <c r="J69" s="1456"/>
      <c r="K69" s="1456"/>
      <c r="L69" s="707"/>
      <c r="M69" s="707"/>
    </row>
    <row r="70" spans="1:13">
      <c r="A70" s="509"/>
      <c r="B70" s="618"/>
      <c r="C70" s="618"/>
      <c r="D70" s="618"/>
      <c r="E70" s="618"/>
      <c r="F70" s="618"/>
      <c r="G70" s="618"/>
      <c r="H70" s="706"/>
      <c r="I70" s="706"/>
      <c r="J70" s="706"/>
      <c r="K70" s="706"/>
    </row>
    <row r="71" spans="1:13">
      <c r="A71" s="509"/>
      <c r="B71" s="618"/>
      <c r="C71" s="618"/>
      <c r="D71" s="618"/>
      <c r="E71" s="618"/>
      <c r="F71" s="618"/>
      <c r="G71" s="618"/>
      <c r="H71" s="706"/>
      <c r="I71" s="706"/>
      <c r="J71" s="706"/>
      <c r="K71" s="706"/>
    </row>
    <row r="72" spans="1:13">
      <c r="A72" s="509"/>
      <c r="B72" s="618"/>
      <c r="C72" s="618"/>
      <c r="D72" s="618"/>
      <c r="E72" s="618"/>
      <c r="F72" s="618"/>
      <c r="G72" s="618"/>
      <c r="H72" s="706"/>
      <c r="I72" s="706"/>
      <c r="J72" s="706"/>
      <c r="K72" s="706"/>
    </row>
    <row r="73" spans="1:13">
      <c r="A73" s="509"/>
      <c r="B73" s="618"/>
      <c r="C73" s="618"/>
      <c r="D73" s="618"/>
      <c r="E73" s="618"/>
      <c r="F73" s="618"/>
      <c r="G73" s="618"/>
      <c r="H73" s="706"/>
      <c r="I73" s="706"/>
      <c r="J73" s="706"/>
      <c r="K73" s="706"/>
    </row>
    <row r="74" spans="1:13">
      <c r="A74" s="509"/>
      <c r="B74" s="618"/>
      <c r="C74" s="618"/>
      <c r="D74" s="618"/>
      <c r="E74" s="618"/>
      <c r="F74" s="618"/>
      <c r="G74" s="618"/>
      <c r="H74" s="706"/>
      <c r="I74" s="706"/>
      <c r="J74" s="706"/>
      <c r="K74" s="706"/>
    </row>
    <row r="75" spans="1:13">
      <c r="A75" s="509"/>
      <c r="B75" s="618"/>
      <c r="C75" s="618"/>
      <c r="D75" s="618"/>
      <c r="E75" s="618"/>
      <c r="F75" s="618"/>
      <c r="G75" s="618"/>
      <c r="H75" s="706"/>
      <c r="I75" s="706"/>
      <c r="J75" s="706"/>
      <c r="K75" s="706"/>
    </row>
    <row r="76" spans="1:13">
      <c r="A76" s="509"/>
      <c r="B76" s="618"/>
      <c r="C76" s="618"/>
      <c r="D76" s="618"/>
      <c r="E76" s="618"/>
      <c r="F76" s="618"/>
      <c r="G76" s="618"/>
      <c r="H76" s="706"/>
      <c r="I76" s="706"/>
      <c r="J76" s="706"/>
      <c r="K76" s="706"/>
    </row>
    <row r="77" spans="1:13">
      <c r="A77" s="509"/>
      <c r="B77" s="618"/>
      <c r="C77" s="618"/>
      <c r="D77" s="618"/>
      <c r="E77" s="618"/>
      <c r="F77" s="618"/>
      <c r="G77" s="618"/>
      <c r="H77" s="706"/>
      <c r="I77" s="706"/>
      <c r="J77" s="706"/>
      <c r="K77" s="706"/>
    </row>
    <row r="78" spans="1:13">
      <c r="A78" s="509"/>
      <c r="B78" s="618"/>
      <c r="C78" s="618"/>
      <c r="D78" s="618"/>
      <c r="E78" s="618"/>
      <c r="F78" s="618"/>
      <c r="G78" s="618"/>
      <c r="H78" s="706"/>
      <c r="I78" s="706"/>
      <c r="J78" s="706"/>
      <c r="K78" s="706"/>
    </row>
    <row r="79" spans="1:13">
      <c r="A79" s="509"/>
      <c r="B79" s="618"/>
      <c r="C79" s="618"/>
      <c r="D79" s="618"/>
      <c r="E79" s="618"/>
      <c r="F79" s="618"/>
      <c r="G79" s="618"/>
      <c r="H79" s="706"/>
      <c r="I79" s="706"/>
      <c r="J79" s="706"/>
      <c r="K79" s="706"/>
    </row>
    <row r="80" spans="1:13">
      <c r="A80" s="509"/>
      <c r="B80" s="618"/>
      <c r="C80" s="618"/>
      <c r="D80" s="618"/>
      <c r="E80" s="618"/>
      <c r="F80" s="618"/>
      <c r="G80" s="618"/>
      <c r="H80" s="706"/>
      <c r="I80" s="706"/>
      <c r="J80" s="706"/>
      <c r="K80" s="706"/>
    </row>
    <row r="81" spans="1:14">
      <c r="A81" s="509"/>
      <c r="B81" s="618"/>
      <c r="C81" s="618"/>
      <c r="D81" s="618"/>
      <c r="E81" s="618"/>
      <c r="F81" s="618"/>
      <c r="G81" s="618"/>
      <c r="H81" s="706"/>
      <c r="I81" s="706"/>
      <c r="J81" s="706"/>
      <c r="K81" s="706"/>
    </row>
    <row r="82" spans="1:14">
      <c r="A82" s="509"/>
      <c r="B82" s="618"/>
      <c r="C82" s="618"/>
      <c r="D82" s="618"/>
      <c r="E82" s="618"/>
      <c r="F82" s="618"/>
      <c r="G82" s="618"/>
      <c r="H82" s="706"/>
      <c r="I82" s="706"/>
      <c r="J82" s="706"/>
      <c r="K82" s="706"/>
    </row>
    <row r="83" spans="1:14" s="1253" customFormat="1" ht="15">
      <c r="A83" s="1467" t="s">
        <v>861</v>
      </c>
      <c r="B83" s="1467"/>
      <c r="C83" s="1467"/>
      <c r="D83" s="1467"/>
      <c r="E83" s="1467"/>
      <c r="F83" s="1467"/>
      <c r="G83" s="1467"/>
      <c r="H83" s="1467"/>
      <c r="I83" s="1467"/>
      <c r="J83" s="1467"/>
      <c r="K83" s="1467"/>
      <c r="L83" s="1319"/>
      <c r="M83" s="1319"/>
      <c r="N83" s="1319"/>
    </row>
    <row r="84" spans="1:14" s="1253" customFormat="1" ht="15">
      <c r="A84" s="1467" t="s">
        <v>174</v>
      </c>
      <c r="B84" s="1467"/>
      <c r="C84" s="1467"/>
      <c r="D84" s="1467"/>
      <c r="E84" s="1467"/>
      <c r="F84" s="1467"/>
      <c r="G84" s="1467"/>
      <c r="H84" s="1467"/>
      <c r="I84" s="1467"/>
      <c r="J84" s="1467"/>
      <c r="K84" s="1467"/>
      <c r="L84" s="1319"/>
      <c r="M84" s="1319"/>
      <c r="N84" s="1319"/>
    </row>
    <row r="85" spans="1:14" s="1253" customFormat="1" ht="15">
      <c r="A85" s="1467" t="s">
        <v>1780</v>
      </c>
      <c r="B85" s="1467"/>
      <c r="C85" s="1467"/>
      <c r="D85" s="1467"/>
      <c r="E85" s="1467"/>
      <c r="F85" s="1467"/>
      <c r="G85" s="1467"/>
      <c r="H85" s="1467"/>
      <c r="I85" s="1467"/>
      <c r="J85" s="1467"/>
      <c r="K85" s="1467"/>
      <c r="L85" s="1319"/>
      <c r="M85" s="1319"/>
      <c r="N85" s="1319"/>
    </row>
    <row r="86" spans="1:14" s="1253" customFormat="1" ht="15">
      <c r="A86" s="1467"/>
      <c r="B86" s="1467"/>
      <c r="C86" s="1467"/>
      <c r="D86" s="1467"/>
      <c r="E86" s="1467"/>
      <c r="F86" s="1467"/>
      <c r="G86" s="1467"/>
      <c r="H86" s="1467"/>
      <c r="I86" s="1467"/>
      <c r="J86" s="1467"/>
      <c r="K86" s="1467"/>
      <c r="L86" s="1319"/>
      <c r="M86" s="1319"/>
      <c r="N86" s="1319"/>
    </row>
    <row r="87" spans="1:14" s="1253" customFormat="1" ht="15">
      <c r="A87" s="1254"/>
      <c r="B87" s="1254"/>
      <c r="C87" s="1254"/>
      <c r="D87" s="1254"/>
      <c r="E87" s="1254"/>
      <c r="F87" s="1254"/>
      <c r="G87" s="1254"/>
      <c r="H87" s="1254"/>
      <c r="I87" s="1254"/>
      <c r="J87" s="1254"/>
      <c r="K87" s="1254"/>
      <c r="L87" s="1254"/>
      <c r="M87" s="1254"/>
      <c r="N87" s="1319"/>
    </row>
    <row r="88" spans="1:14" s="1253" customFormat="1" ht="15">
      <c r="A88" s="1254"/>
      <c r="B88" s="1254"/>
      <c r="C88" s="1254"/>
      <c r="D88" s="1254"/>
      <c r="E88" s="1254"/>
      <c r="F88" s="1254"/>
      <c r="G88" s="1254"/>
      <c r="H88" s="1254"/>
      <c r="I88" s="1254"/>
      <c r="J88" s="1254"/>
      <c r="K88" s="1254"/>
      <c r="L88" s="1254"/>
      <c r="M88" s="1254"/>
      <c r="N88" s="1319"/>
    </row>
    <row r="89" spans="1:14" s="1253" customFormat="1" ht="15">
      <c r="A89" s="1370"/>
      <c r="B89" s="1370"/>
      <c r="C89" s="1370"/>
      <c r="D89" s="1370"/>
      <c r="E89" s="1370"/>
      <c r="F89" s="1370"/>
      <c r="G89" s="1370"/>
      <c r="H89" s="1370"/>
      <c r="I89" s="1370"/>
      <c r="J89" s="1370"/>
      <c r="K89" s="1370"/>
      <c r="L89" s="1370"/>
      <c r="M89" s="1370"/>
      <c r="N89" s="1319"/>
    </row>
    <row r="90" spans="1:14" s="1253" customFormat="1" ht="18">
      <c r="A90" s="1468" t="s">
        <v>1781</v>
      </c>
      <c r="B90" s="1468"/>
      <c r="C90" s="1468"/>
      <c r="D90" s="1468"/>
      <c r="E90" s="1468"/>
      <c r="F90" s="1468"/>
      <c r="G90" s="1468"/>
      <c r="H90" s="1468"/>
      <c r="I90" s="1468"/>
      <c r="J90" s="1468"/>
      <c r="K90" s="1468"/>
      <c r="L90" s="1320"/>
      <c r="M90" s="1320"/>
      <c r="N90" s="1320"/>
    </row>
    <row r="91" spans="1:14" s="1253" customFormat="1" ht="15">
      <c r="A91" s="1469" t="s">
        <v>1861</v>
      </c>
      <c r="B91" s="1469"/>
      <c r="C91" s="1469"/>
      <c r="D91" s="1469"/>
      <c r="E91" s="1469"/>
      <c r="F91" s="1469"/>
      <c r="G91" s="1469"/>
      <c r="H91" s="1469"/>
      <c r="I91" s="1469"/>
      <c r="J91" s="1469"/>
      <c r="K91" s="1469"/>
      <c r="L91" s="1321"/>
      <c r="M91" s="1321"/>
      <c r="N91" s="1321"/>
    </row>
    <row r="92" spans="1:14" s="1253" customFormat="1" ht="15.75">
      <c r="A92" s="1253" t="s">
        <v>1865</v>
      </c>
      <c r="G92" s="1254"/>
      <c r="I92" s="1255"/>
      <c r="L92" s="1256"/>
      <c r="M92" s="1256"/>
    </row>
    <row r="93" spans="1:14" s="1253" customFormat="1" ht="15.75">
      <c r="A93" s="1253" t="s">
        <v>1811</v>
      </c>
      <c r="G93" s="1424"/>
      <c r="I93" s="1255"/>
      <c r="L93" s="1256"/>
      <c r="M93" s="1256"/>
    </row>
    <row r="94" spans="1:14" s="1253" customFormat="1" ht="8.1" customHeight="1">
      <c r="A94" s="1257" t="s">
        <v>1812</v>
      </c>
      <c r="G94" s="1424"/>
      <c r="I94" s="1255"/>
      <c r="L94" s="1256"/>
      <c r="M94" s="1256"/>
    </row>
    <row r="95" spans="1:14" ht="16.5" thickBot="1">
      <c r="A95" s="1513"/>
      <c r="B95" s="1513"/>
      <c r="C95" s="1513"/>
      <c r="D95" s="1513"/>
      <c r="E95" s="1513"/>
      <c r="F95" s="1513"/>
      <c r="G95" s="1513"/>
      <c r="H95" s="1513"/>
      <c r="I95" s="1513"/>
      <c r="J95" s="1513"/>
      <c r="K95" s="1513"/>
    </row>
    <row r="96" spans="1:14">
      <c r="A96" s="684"/>
      <c r="B96" s="516"/>
      <c r="C96" s="1364"/>
      <c r="D96" s="1365"/>
      <c r="E96" s="1366"/>
      <c r="F96" s="516"/>
      <c r="G96" s="516" t="s">
        <v>6</v>
      </c>
      <c r="H96" s="1445" t="s">
        <v>618</v>
      </c>
      <c r="I96" s="1446"/>
      <c r="J96" s="1447"/>
      <c r="K96" s="679" t="s">
        <v>7</v>
      </c>
    </row>
    <row r="97" spans="1:15">
      <c r="A97" s="685" t="s">
        <v>821</v>
      </c>
      <c r="B97" s="518"/>
      <c r="C97" s="1368"/>
      <c r="D97" s="1367"/>
      <c r="E97" s="1369"/>
      <c r="F97" s="518"/>
      <c r="G97" s="518">
        <v>2021</v>
      </c>
      <c r="H97" s="518" t="s">
        <v>560</v>
      </c>
      <c r="I97" s="518" t="s">
        <v>561</v>
      </c>
      <c r="J97" s="518">
        <v>2022</v>
      </c>
      <c r="K97" s="520">
        <v>2023</v>
      </c>
    </row>
    <row r="98" spans="1:15">
      <c r="A98" s="685" t="s">
        <v>822</v>
      </c>
      <c r="B98" s="518" t="s">
        <v>616</v>
      </c>
      <c r="C98" s="1452" t="s">
        <v>617</v>
      </c>
      <c r="D98" s="1451"/>
      <c r="E98" s="1453"/>
      <c r="F98" s="518"/>
      <c r="G98" s="518" t="s">
        <v>909</v>
      </c>
      <c r="H98" s="518" t="s">
        <v>559</v>
      </c>
      <c r="I98" s="518" t="s">
        <v>562</v>
      </c>
      <c r="J98" s="518" t="s">
        <v>909</v>
      </c>
      <c r="K98" s="520" t="s">
        <v>909</v>
      </c>
    </row>
    <row r="99" spans="1:15">
      <c r="A99" s="685" t="s">
        <v>4</v>
      </c>
      <c r="B99" s="518"/>
      <c r="C99" s="1368"/>
      <c r="D99" s="1367"/>
      <c r="E99" s="1369"/>
      <c r="F99" s="518"/>
      <c r="G99" s="518" t="s">
        <v>559</v>
      </c>
      <c r="H99" s="518">
        <v>2022</v>
      </c>
      <c r="I99" s="518">
        <v>2022</v>
      </c>
      <c r="J99" s="518" t="s">
        <v>910</v>
      </c>
      <c r="K99" s="520" t="s">
        <v>564</v>
      </c>
    </row>
    <row r="100" spans="1:15" ht="13.5" thickBot="1">
      <c r="A100" s="686"/>
      <c r="B100" s="526"/>
      <c r="C100" s="1508"/>
      <c r="D100" s="1455"/>
      <c r="E100" s="1509"/>
      <c r="F100" s="526"/>
      <c r="G100" s="526"/>
      <c r="H100" s="526"/>
      <c r="I100" s="526"/>
      <c r="J100" s="526"/>
      <c r="K100" s="528"/>
    </row>
    <row r="101" spans="1:15">
      <c r="A101" s="627"/>
      <c r="B101" s="627"/>
      <c r="C101" s="687"/>
      <c r="D101" s="688"/>
      <c r="E101" s="689"/>
      <c r="F101" s="690"/>
      <c r="G101" s="691"/>
      <c r="H101" s="692"/>
      <c r="I101" s="692"/>
      <c r="J101" s="692"/>
      <c r="K101" s="692"/>
    </row>
    <row r="102" spans="1:15" ht="18" customHeight="1">
      <c r="A102" s="693"/>
      <c r="B102" s="540"/>
      <c r="C102" s="694" t="s">
        <v>555</v>
      </c>
      <c r="D102" s="695"/>
      <c r="E102" s="696"/>
      <c r="F102" s="540">
        <v>6911</v>
      </c>
      <c r="G102" s="697">
        <f>2534935.84+33980+27021122.28+839728.38</f>
        <v>30429766.5</v>
      </c>
      <c r="H102" s="616">
        <f>416735.38+17770639.08</f>
        <v>18187374.459999997</v>
      </c>
      <c r="I102" s="616">
        <f>43848762.8+39458.09-H102</f>
        <v>25700846.430000003</v>
      </c>
      <c r="J102" s="616">
        <f>I102+H102</f>
        <v>43888220.890000001</v>
      </c>
      <c r="K102" s="616">
        <v>37503890.200000003</v>
      </c>
      <c r="L102" s="1">
        <f>416735.38+17770639.08</f>
        <v>18187374.459999997</v>
      </c>
      <c r="M102" s="708">
        <f>L102-H102</f>
        <v>0</v>
      </c>
    </row>
    <row r="103" spans="1:15" ht="18" customHeight="1">
      <c r="A103" s="693"/>
      <c r="B103" s="540"/>
      <c r="C103" s="694" t="s">
        <v>266</v>
      </c>
      <c r="D103" s="695"/>
      <c r="E103" s="696"/>
      <c r="F103" s="540">
        <v>9998</v>
      </c>
      <c r="G103" s="697">
        <f>3684016+3979584.44+7000</f>
        <v>7670600.4399999995</v>
      </c>
      <c r="H103" s="616">
        <f>697777</f>
        <v>697777</v>
      </c>
      <c r="I103" s="616">
        <f>11580690.7-H103</f>
        <v>10882913.699999999</v>
      </c>
      <c r="J103" s="616">
        <f t="shared" ref="J103:J191" si="2">I103+H103</f>
        <v>11580690.699999999</v>
      </c>
      <c r="K103" s="616">
        <v>10156472.550000001</v>
      </c>
      <c r="L103" s="1">
        <f>697777</f>
        <v>697777</v>
      </c>
      <c r="M103" s="708">
        <f t="shared" ref="M103:M132" si="3">L103-H103</f>
        <v>0</v>
      </c>
    </row>
    <row r="104" spans="1:15" s="683" customFormat="1" ht="18" customHeight="1">
      <c r="A104" s="693"/>
      <c r="B104" s="540"/>
      <c r="C104" s="694" t="s">
        <v>556</v>
      </c>
      <c r="D104" s="695"/>
      <c r="E104" s="696"/>
      <c r="F104" s="540">
        <v>9995</v>
      </c>
      <c r="G104" s="697">
        <v>21000</v>
      </c>
      <c r="H104" s="616">
        <f>21000</f>
        <v>21000</v>
      </c>
      <c r="I104" s="616">
        <f>21000-H104</f>
        <v>0</v>
      </c>
      <c r="J104" s="616">
        <f t="shared" si="2"/>
        <v>21000</v>
      </c>
      <c r="K104" s="616">
        <v>21000</v>
      </c>
      <c r="L104" s="683">
        <v>21000</v>
      </c>
      <c r="M104" s="708">
        <f t="shared" si="3"/>
        <v>0</v>
      </c>
    </row>
    <row r="105" spans="1:15" ht="18" customHeight="1">
      <c r="A105" s="693"/>
      <c r="B105" s="540"/>
      <c r="C105" s="694" t="s">
        <v>805</v>
      </c>
      <c r="D105" s="695"/>
      <c r="E105" s="696"/>
      <c r="F105" s="540" t="s">
        <v>402</v>
      </c>
      <c r="G105" s="697">
        <f>994135.96+2222040.4+999000</f>
        <v>4215176.3599999994</v>
      </c>
      <c r="H105" s="616">
        <f>886701.96</f>
        <v>886701.96</v>
      </c>
      <c r="I105" s="616">
        <f>3500000-H105</f>
        <v>2613298.04</v>
      </c>
      <c r="J105" s="616">
        <f t="shared" si="2"/>
        <v>3500000</v>
      </c>
      <c r="K105" s="616">
        <v>4348400</v>
      </c>
      <c r="L105" s="1">
        <v>886701.96</v>
      </c>
      <c r="M105" s="708">
        <f t="shared" si="3"/>
        <v>0</v>
      </c>
    </row>
    <row r="106" spans="1:15" ht="18" customHeight="1">
      <c r="A106" s="693"/>
      <c r="B106" s="540"/>
      <c r="C106" s="694" t="s">
        <v>814</v>
      </c>
      <c r="D106" s="695"/>
      <c r="E106" s="696"/>
      <c r="F106" s="540" t="s">
        <v>401</v>
      </c>
      <c r="G106" s="697"/>
      <c r="H106" s="616"/>
      <c r="I106" s="616"/>
      <c r="J106" s="616"/>
      <c r="K106" s="616"/>
      <c r="M106" s="708">
        <f t="shared" si="3"/>
        <v>0</v>
      </c>
    </row>
    <row r="107" spans="1:15" ht="18" customHeight="1">
      <c r="A107" s="693"/>
      <c r="B107" s="540"/>
      <c r="C107" s="694" t="s">
        <v>815</v>
      </c>
      <c r="D107" s="695"/>
      <c r="E107" s="696"/>
      <c r="F107" s="540" t="s">
        <v>403</v>
      </c>
      <c r="G107" s="697">
        <f>413238</f>
        <v>413238</v>
      </c>
      <c r="H107" s="616">
        <v>297213.90999999997</v>
      </c>
      <c r="I107" s="616">
        <f>612400-H107</f>
        <v>315186.09000000003</v>
      </c>
      <c r="J107" s="616">
        <f t="shared" si="2"/>
        <v>612400</v>
      </c>
      <c r="K107" s="616">
        <v>596000</v>
      </c>
      <c r="L107" s="708">
        <v>297213.90999999997</v>
      </c>
      <c r="M107" s="708">
        <f t="shared" si="3"/>
        <v>0</v>
      </c>
    </row>
    <row r="108" spans="1:15" ht="18" customHeight="1">
      <c r="A108" s="693"/>
      <c r="B108" s="540"/>
      <c r="C108" s="694" t="s">
        <v>816</v>
      </c>
      <c r="D108" s="695"/>
      <c r="E108" s="696"/>
      <c r="F108" s="540" t="s">
        <v>404</v>
      </c>
      <c r="G108" s="697">
        <f>124000</f>
        <v>124000</v>
      </c>
      <c r="H108" s="616">
        <v>90500</v>
      </c>
      <c r="I108" s="616">
        <f>423000-H108</f>
        <v>332500</v>
      </c>
      <c r="J108" s="616">
        <f t="shared" si="2"/>
        <v>423000</v>
      </c>
      <c r="K108" s="616">
        <v>347000</v>
      </c>
      <c r="L108" s="1">
        <v>90500</v>
      </c>
      <c r="M108" s="708">
        <f t="shared" si="3"/>
        <v>0</v>
      </c>
    </row>
    <row r="109" spans="1:15" ht="18" customHeight="1">
      <c r="A109" s="693"/>
      <c r="B109" s="540"/>
      <c r="C109" s="694" t="s">
        <v>817</v>
      </c>
      <c r="D109" s="695"/>
      <c r="E109" s="696"/>
      <c r="F109" s="540" t="s">
        <v>405</v>
      </c>
      <c r="G109" s="697">
        <f>265863</f>
        <v>265863</v>
      </c>
      <c r="H109" s="616">
        <v>143352</v>
      </c>
      <c r="I109" s="616">
        <f>486000-H109</f>
        <v>342648</v>
      </c>
      <c r="J109" s="616">
        <f t="shared" si="2"/>
        <v>486000</v>
      </c>
      <c r="K109" s="616">
        <v>479000</v>
      </c>
      <c r="L109" s="1">
        <v>143352</v>
      </c>
      <c r="M109" s="708">
        <f t="shared" si="3"/>
        <v>0</v>
      </c>
    </row>
    <row r="110" spans="1:15" ht="18" customHeight="1">
      <c r="A110" s="693"/>
      <c r="B110" s="540"/>
      <c r="C110" s="694" t="s">
        <v>818</v>
      </c>
      <c r="D110" s="695"/>
      <c r="E110" s="696"/>
      <c r="F110" s="540" t="s">
        <v>406</v>
      </c>
      <c r="G110" s="697">
        <f>538306+34000</f>
        <v>572306</v>
      </c>
      <c r="H110" s="616">
        <v>117874</v>
      </c>
      <c r="I110" s="616">
        <f>671038.14-H110</f>
        <v>553164.14</v>
      </c>
      <c r="J110" s="616">
        <f t="shared" si="2"/>
        <v>671038.14</v>
      </c>
      <c r="K110" s="616">
        <v>453194.51</v>
      </c>
      <c r="L110" s="708">
        <v>117874</v>
      </c>
      <c r="M110" s="708">
        <f t="shared" si="3"/>
        <v>0</v>
      </c>
      <c r="O110" s="708">
        <f>SUM(K107:K110)</f>
        <v>1875194.51</v>
      </c>
    </row>
    <row r="111" spans="1:15" ht="18" customHeight="1">
      <c r="A111" s="693"/>
      <c r="B111" s="540"/>
      <c r="C111" s="694" t="s">
        <v>860</v>
      </c>
      <c r="D111" s="695"/>
      <c r="E111" s="696"/>
      <c r="F111" s="540" t="s">
        <v>407</v>
      </c>
      <c r="G111" s="697">
        <f>788164.35+483034.75</f>
        <v>1271199.1000000001</v>
      </c>
      <c r="H111" s="616">
        <f>193635+137900</f>
        <v>331535</v>
      </c>
      <c r="I111" s="616">
        <f>2192438.14-H111</f>
        <v>1860903.1400000001</v>
      </c>
      <c r="J111" s="616">
        <f t="shared" si="2"/>
        <v>2192438.14</v>
      </c>
      <c r="K111" s="616">
        <v>1875194.51</v>
      </c>
      <c r="L111" s="1">
        <f>193635+137900</f>
        <v>331535</v>
      </c>
      <c r="M111" s="708">
        <f t="shared" si="3"/>
        <v>0</v>
      </c>
    </row>
    <row r="112" spans="1:15" ht="18" customHeight="1">
      <c r="A112" s="693"/>
      <c r="B112" s="540"/>
      <c r="C112" s="694" t="s">
        <v>819</v>
      </c>
      <c r="D112" s="695"/>
      <c r="E112" s="696"/>
      <c r="F112" s="540" t="s">
        <v>32</v>
      </c>
      <c r="G112" s="697">
        <f>6046833</f>
        <v>6046833</v>
      </c>
      <c r="H112" s="616">
        <v>3853180</v>
      </c>
      <c r="I112" s="616">
        <f>5500000+3000891.73-H112</f>
        <v>4647711.7300000004</v>
      </c>
      <c r="J112" s="616">
        <f t="shared" si="2"/>
        <v>8500891.7300000004</v>
      </c>
      <c r="K112" s="616">
        <v>4000000</v>
      </c>
      <c r="L112" s="1">
        <f>3853180</f>
        <v>3853180</v>
      </c>
      <c r="M112" s="708">
        <f t="shared" si="3"/>
        <v>0</v>
      </c>
    </row>
    <row r="113" spans="1:13" ht="18" customHeight="1">
      <c r="A113" s="693"/>
      <c r="B113" s="540"/>
      <c r="C113" s="694" t="s">
        <v>801</v>
      </c>
      <c r="D113" s="695"/>
      <c r="E113" s="696"/>
      <c r="F113" s="540">
        <v>6544</v>
      </c>
      <c r="G113" s="697">
        <f>6000000</f>
        <v>6000000</v>
      </c>
      <c r="H113" s="616">
        <v>3000000</v>
      </c>
      <c r="I113" s="616">
        <f>6000000-H113</f>
        <v>3000000</v>
      </c>
      <c r="J113" s="616">
        <f t="shared" si="2"/>
        <v>6000000</v>
      </c>
      <c r="K113" s="616">
        <v>4000000</v>
      </c>
      <c r="L113" s="1">
        <v>3000000</v>
      </c>
      <c r="M113" s="708">
        <f t="shared" si="3"/>
        <v>0</v>
      </c>
    </row>
    <row r="114" spans="1:13" ht="18" customHeight="1">
      <c r="A114" s="693"/>
      <c r="B114" s="540"/>
      <c r="C114" s="694" t="s">
        <v>916</v>
      </c>
      <c r="D114" s="695"/>
      <c r="E114" s="696"/>
      <c r="F114" s="540">
        <v>8821</v>
      </c>
      <c r="G114" s="697">
        <f>3804660.25+159339.75</f>
        <v>3964000</v>
      </c>
      <c r="H114" s="616">
        <v>2915585.34</v>
      </c>
      <c r="I114" s="616">
        <f>3500000+2000000-H114</f>
        <v>2584414.66</v>
      </c>
      <c r="J114" s="616">
        <f t="shared" si="2"/>
        <v>5500000</v>
      </c>
      <c r="K114" s="616">
        <v>5000000</v>
      </c>
      <c r="L114" s="1">
        <v>2915585.34</v>
      </c>
      <c r="M114" s="708">
        <f t="shared" si="3"/>
        <v>0</v>
      </c>
    </row>
    <row r="115" spans="1:13" ht="18" customHeight="1">
      <c r="A115" s="693"/>
      <c r="B115" s="540"/>
      <c r="C115" s="694" t="s">
        <v>802</v>
      </c>
      <c r="D115" s="695"/>
      <c r="E115" s="696"/>
      <c r="F115" s="540">
        <v>8801</v>
      </c>
      <c r="G115" s="697">
        <f>113764.8+21000</f>
        <v>134764.79999999999</v>
      </c>
      <c r="H115" s="616">
        <v>21570</v>
      </c>
      <c r="I115" s="616">
        <f>1000000-H115</f>
        <v>978430</v>
      </c>
      <c r="J115" s="616">
        <f t="shared" si="2"/>
        <v>1000000</v>
      </c>
      <c r="K115" s="616">
        <v>500000</v>
      </c>
      <c r="L115" s="1">
        <v>21570</v>
      </c>
      <c r="M115" s="708">
        <f t="shared" si="3"/>
        <v>0</v>
      </c>
    </row>
    <row r="116" spans="1:13" ht="18" customHeight="1">
      <c r="A116" s="693"/>
      <c r="B116" s="540"/>
      <c r="C116" s="694" t="s">
        <v>823</v>
      </c>
      <c r="D116" s="695"/>
      <c r="E116" s="696"/>
      <c r="F116" s="540">
        <v>8771</v>
      </c>
      <c r="G116" s="697">
        <f>1050000</f>
        <v>1050000</v>
      </c>
      <c r="H116" s="616">
        <v>464848.55</v>
      </c>
      <c r="I116" s="616">
        <f>1050000-H116</f>
        <v>585151.44999999995</v>
      </c>
      <c r="J116" s="616">
        <f t="shared" si="2"/>
        <v>1050000</v>
      </c>
      <c r="K116" s="616">
        <v>1050000</v>
      </c>
      <c r="L116" s="1">
        <v>464848.55</v>
      </c>
      <c r="M116" s="708">
        <f t="shared" si="3"/>
        <v>0</v>
      </c>
    </row>
    <row r="117" spans="1:13" ht="18" customHeight="1">
      <c r="A117" s="693"/>
      <c r="B117" s="540"/>
      <c r="C117" s="694" t="s">
        <v>370</v>
      </c>
      <c r="D117" s="695"/>
      <c r="E117" s="696"/>
      <c r="F117" s="540">
        <v>8781</v>
      </c>
      <c r="G117" s="697">
        <f>3800000</f>
        <v>3800000</v>
      </c>
      <c r="H117" s="616">
        <v>4023539.9</v>
      </c>
      <c r="I117" s="616">
        <f>5700000+500000-H117</f>
        <v>2176460.1</v>
      </c>
      <c r="J117" s="616">
        <f t="shared" si="2"/>
        <v>6200000</v>
      </c>
      <c r="K117" s="616">
        <v>7000000</v>
      </c>
      <c r="L117" s="1">
        <v>4023539.9</v>
      </c>
      <c r="M117" s="708">
        <f t="shared" si="3"/>
        <v>0</v>
      </c>
    </row>
    <row r="118" spans="1:13" ht="18" customHeight="1">
      <c r="A118" s="693"/>
      <c r="B118" s="540"/>
      <c r="C118" s="694" t="s">
        <v>824</v>
      </c>
      <c r="D118" s="695"/>
      <c r="E118" s="696"/>
      <c r="F118" s="540">
        <v>8791</v>
      </c>
      <c r="G118" s="697">
        <f>692431.77</f>
        <v>692431.77</v>
      </c>
      <c r="H118" s="616">
        <v>380047.19</v>
      </c>
      <c r="I118" s="616">
        <f>700000+200000-H118</f>
        <v>519952.81</v>
      </c>
      <c r="J118" s="616">
        <f t="shared" si="2"/>
        <v>900000</v>
      </c>
      <c r="K118" s="616">
        <v>700000</v>
      </c>
      <c r="L118" s="1">
        <v>380047.19</v>
      </c>
      <c r="M118" s="708">
        <f t="shared" si="3"/>
        <v>0</v>
      </c>
    </row>
    <row r="119" spans="1:13" ht="18" customHeight="1">
      <c r="A119" s="693"/>
      <c r="B119" s="540"/>
      <c r="C119" s="694" t="s">
        <v>803</v>
      </c>
      <c r="D119" s="695"/>
      <c r="E119" s="696"/>
      <c r="F119" s="540" t="s">
        <v>33</v>
      </c>
      <c r="G119" s="697">
        <f>442529.74+34951.4</f>
        <v>477481.14</v>
      </c>
      <c r="H119" s="616">
        <v>163998</v>
      </c>
      <c r="I119" s="616">
        <f>500000+200000-H119</f>
        <v>536002</v>
      </c>
      <c r="J119" s="616">
        <f t="shared" si="2"/>
        <v>700000</v>
      </c>
      <c r="K119" s="616">
        <v>500000</v>
      </c>
      <c r="L119" s="1">
        <v>163998</v>
      </c>
      <c r="M119" s="708">
        <f t="shared" si="3"/>
        <v>0</v>
      </c>
    </row>
    <row r="120" spans="1:13" ht="18" customHeight="1">
      <c r="A120" s="693"/>
      <c r="B120" s="540"/>
      <c r="C120" s="694" t="s">
        <v>804</v>
      </c>
      <c r="D120" s="695"/>
      <c r="E120" s="696"/>
      <c r="F120" s="540" t="s">
        <v>34</v>
      </c>
      <c r="G120" s="697">
        <f>20000</f>
        <v>20000</v>
      </c>
      <c r="H120" s="616">
        <v>362061.64</v>
      </c>
      <c r="I120" s="616">
        <f>600000+350000-H120</f>
        <v>587938.36</v>
      </c>
      <c r="J120" s="616">
        <f t="shared" si="2"/>
        <v>950000</v>
      </c>
      <c r="K120" s="616">
        <v>600000</v>
      </c>
      <c r="L120" s="1">
        <v>362061.64</v>
      </c>
      <c r="M120" s="708">
        <f t="shared" si="3"/>
        <v>0</v>
      </c>
    </row>
    <row r="121" spans="1:13" ht="18" customHeight="1">
      <c r="A121" s="693"/>
      <c r="B121" s="540"/>
      <c r="C121" s="694" t="s">
        <v>862</v>
      </c>
      <c r="D121" s="695"/>
      <c r="E121" s="696"/>
      <c r="F121" s="540" t="s">
        <v>863</v>
      </c>
      <c r="G121" s="697">
        <v>0</v>
      </c>
      <c r="H121" s="616">
        <v>0</v>
      </c>
      <c r="I121" s="616">
        <f>120000-H121</f>
        <v>120000</v>
      </c>
      <c r="J121" s="616">
        <f t="shared" si="2"/>
        <v>120000</v>
      </c>
      <c r="K121" s="616">
        <v>120000</v>
      </c>
      <c r="M121" s="708">
        <f t="shared" si="3"/>
        <v>0</v>
      </c>
    </row>
    <row r="122" spans="1:13" ht="18" customHeight="1">
      <c r="A122" s="693"/>
      <c r="B122" s="540"/>
      <c r="C122" s="694" t="s">
        <v>810</v>
      </c>
      <c r="D122" s="695"/>
      <c r="E122" s="696"/>
      <c r="F122" s="540" t="s">
        <v>408</v>
      </c>
      <c r="G122" s="697">
        <f>248541+37215</f>
        <v>285756</v>
      </c>
      <c r="H122" s="616">
        <v>579020</v>
      </c>
      <c r="I122" s="616">
        <f>800000-H122</f>
        <v>220980</v>
      </c>
      <c r="J122" s="616">
        <f t="shared" si="2"/>
        <v>800000</v>
      </c>
      <c r="K122" s="616">
        <v>400000</v>
      </c>
      <c r="L122" s="1">
        <v>579020</v>
      </c>
      <c r="M122" s="708">
        <f t="shared" si="3"/>
        <v>0</v>
      </c>
    </row>
    <row r="123" spans="1:13" ht="18" customHeight="1">
      <c r="A123" s="693"/>
      <c r="B123" s="540"/>
      <c r="C123" s="694" t="s">
        <v>820</v>
      </c>
      <c r="D123" s="695"/>
      <c r="E123" s="696"/>
      <c r="F123" s="540" t="s">
        <v>35</v>
      </c>
      <c r="G123" s="697">
        <f>335909.6+54798</f>
        <v>390707.6</v>
      </c>
      <c r="H123" s="616">
        <v>10200</v>
      </c>
      <c r="I123" s="616">
        <f>400000-H123</f>
        <v>389800</v>
      </c>
      <c r="J123" s="616">
        <f t="shared" si="2"/>
        <v>400000</v>
      </c>
      <c r="K123" s="616">
        <v>400000</v>
      </c>
      <c r="L123" s="1">
        <v>10200</v>
      </c>
      <c r="M123" s="708">
        <f t="shared" si="3"/>
        <v>0</v>
      </c>
    </row>
    <row r="124" spans="1:13" ht="18" customHeight="1">
      <c r="A124" s="693"/>
      <c r="B124" s="540"/>
      <c r="C124" s="694" t="s">
        <v>811</v>
      </c>
      <c r="D124" s="695"/>
      <c r="E124" s="696"/>
      <c r="F124" s="540" t="s">
        <v>36</v>
      </c>
      <c r="G124" s="697">
        <v>0</v>
      </c>
      <c r="H124" s="616">
        <v>0</v>
      </c>
      <c r="I124" s="616">
        <f>120000-H124</f>
        <v>120000</v>
      </c>
      <c r="J124" s="616">
        <f t="shared" si="2"/>
        <v>120000</v>
      </c>
      <c r="K124" s="616">
        <v>50000</v>
      </c>
      <c r="M124" s="708">
        <f t="shared" si="3"/>
        <v>0</v>
      </c>
    </row>
    <row r="125" spans="1:13" ht="18" customHeight="1">
      <c r="A125" s="693"/>
      <c r="B125" s="540"/>
      <c r="C125" s="694" t="s">
        <v>812</v>
      </c>
      <c r="D125" s="695"/>
      <c r="E125" s="696"/>
      <c r="F125" s="540" t="s">
        <v>37</v>
      </c>
      <c r="G125" s="697">
        <f>237762.32+30200</f>
        <v>267962.32</v>
      </c>
      <c r="H125" s="616">
        <v>9950</v>
      </c>
      <c r="I125" s="616">
        <f>300000-H125</f>
        <v>290050</v>
      </c>
      <c r="J125" s="616">
        <f t="shared" si="2"/>
        <v>300000</v>
      </c>
      <c r="K125" s="616">
        <v>300000</v>
      </c>
      <c r="L125" s="1">
        <v>9950</v>
      </c>
      <c r="M125" s="708">
        <f t="shared" si="3"/>
        <v>0</v>
      </c>
    </row>
    <row r="126" spans="1:13" ht="18" customHeight="1">
      <c r="A126" s="693"/>
      <c r="B126" s="540"/>
      <c r="C126" s="694" t="s">
        <v>813</v>
      </c>
      <c r="D126" s="695"/>
      <c r="E126" s="696"/>
      <c r="F126" s="540" t="s">
        <v>38</v>
      </c>
      <c r="G126" s="697">
        <f>444554.59+91485</f>
        <v>536039.59000000008</v>
      </c>
      <c r="H126" s="616">
        <v>304640</v>
      </c>
      <c r="I126" s="616">
        <f>550000-H126</f>
        <v>245360</v>
      </c>
      <c r="J126" s="616">
        <f t="shared" si="2"/>
        <v>550000</v>
      </c>
      <c r="K126" s="616">
        <v>550000</v>
      </c>
      <c r="L126" s="1">
        <v>304640</v>
      </c>
      <c r="M126" s="708">
        <f t="shared" si="3"/>
        <v>0</v>
      </c>
    </row>
    <row r="127" spans="1:13" ht="18" customHeight="1">
      <c r="A127" s="693"/>
      <c r="B127" s="540"/>
      <c r="C127" s="694" t="s">
        <v>809</v>
      </c>
      <c r="D127" s="695"/>
      <c r="E127" s="696"/>
      <c r="F127" s="540" t="s">
        <v>39</v>
      </c>
      <c r="G127" s="697">
        <f>24000</f>
        <v>24000</v>
      </c>
      <c r="H127" s="616">
        <v>4000</v>
      </c>
      <c r="I127" s="616">
        <f>24000-H127</f>
        <v>20000</v>
      </c>
      <c r="J127" s="616">
        <f t="shared" si="2"/>
        <v>24000</v>
      </c>
      <c r="K127" s="616">
        <v>12000</v>
      </c>
      <c r="L127" s="1">
        <v>4000</v>
      </c>
      <c r="M127" s="708">
        <f t="shared" si="3"/>
        <v>0</v>
      </c>
    </row>
    <row r="128" spans="1:13" ht="18" customHeight="1">
      <c r="A128" s="693"/>
      <c r="B128" s="540"/>
      <c r="C128" s="694" t="s">
        <v>806</v>
      </c>
      <c r="D128" s="695"/>
      <c r="E128" s="696"/>
      <c r="F128" s="540" t="s">
        <v>40</v>
      </c>
      <c r="G128" s="697">
        <f>337199.98+58962</f>
        <v>396161.98</v>
      </c>
      <c r="H128" s="616">
        <v>0</v>
      </c>
      <c r="I128" s="616">
        <f>500000-H128</f>
        <v>500000</v>
      </c>
      <c r="J128" s="616">
        <f t="shared" si="2"/>
        <v>500000</v>
      </c>
      <c r="K128" s="616">
        <v>500000</v>
      </c>
      <c r="M128" s="708">
        <f t="shared" si="3"/>
        <v>0</v>
      </c>
    </row>
    <row r="129" spans="1:13" ht="18" customHeight="1">
      <c r="A129" s="693"/>
      <c r="B129" s="540"/>
      <c r="C129" s="694" t="s">
        <v>807</v>
      </c>
      <c r="D129" s="695"/>
      <c r="E129" s="696"/>
      <c r="F129" s="540" t="s">
        <v>218</v>
      </c>
      <c r="G129" s="697">
        <f>181506+44485</f>
        <v>225991</v>
      </c>
      <c r="H129" s="616">
        <v>6000</v>
      </c>
      <c r="I129" s="616">
        <f>250000-H129</f>
        <v>244000</v>
      </c>
      <c r="J129" s="616">
        <f t="shared" si="2"/>
        <v>250000</v>
      </c>
      <c r="K129" s="616">
        <v>250000</v>
      </c>
      <c r="L129" s="1">
        <v>6000</v>
      </c>
      <c r="M129" s="708">
        <f t="shared" si="3"/>
        <v>0</v>
      </c>
    </row>
    <row r="130" spans="1:13" ht="18" customHeight="1">
      <c r="A130" s="693"/>
      <c r="B130" s="540"/>
      <c r="C130" s="694" t="s">
        <v>808</v>
      </c>
      <c r="D130" s="695"/>
      <c r="E130" s="696"/>
      <c r="F130" s="540" t="s">
        <v>219</v>
      </c>
      <c r="G130" s="697">
        <f>109280+66740</f>
        <v>176020</v>
      </c>
      <c r="H130" s="616">
        <v>99600</v>
      </c>
      <c r="I130" s="616">
        <f>250000-H130</f>
        <v>150400</v>
      </c>
      <c r="J130" s="616">
        <f t="shared" si="2"/>
        <v>250000</v>
      </c>
      <c r="K130" s="616">
        <v>250000</v>
      </c>
      <c r="L130" s="1">
        <v>99600</v>
      </c>
      <c r="M130" s="708">
        <f t="shared" si="3"/>
        <v>0</v>
      </c>
    </row>
    <row r="131" spans="1:13" ht="18" customHeight="1">
      <c r="A131" s="693"/>
      <c r="B131" s="540"/>
      <c r="C131" s="694" t="s">
        <v>859</v>
      </c>
      <c r="D131" s="695"/>
      <c r="E131" s="696"/>
      <c r="F131" s="540" t="s">
        <v>409</v>
      </c>
      <c r="G131" s="697">
        <f>3046599.24+20763</f>
        <v>3067362.24</v>
      </c>
      <c r="H131" s="616">
        <v>1019343.12</v>
      </c>
      <c r="I131" s="616">
        <f>2450000+1300000-H131</f>
        <v>2730656.88</v>
      </c>
      <c r="J131" s="616">
        <f t="shared" si="2"/>
        <v>3750000</v>
      </c>
      <c r="K131" s="616">
        <v>1900000</v>
      </c>
      <c r="L131" s="1">
        <v>1019343.12</v>
      </c>
      <c r="M131" s="708">
        <f t="shared" si="3"/>
        <v>0</v>
      </c>
    </row>
    <row r="132" spans="1:13" ht="18" customHeight="1">
      <c r="A132" s="693"/>
      <c r="B132" s="540"/>
      <c r="C132" s="694" t="s">
        <v>368</v>
      </c>
      <c r="D132" s="695"/>
      <c r="E132" s="696"/>
      <c r="F132" s="540" t="s">
        <v>410</v>
      </c>
      <c r="G132" s="697">
        <f>110000</f>
        <v>110000</v>
      </c>
      <c r="H132" s="616">
        <v>200000</v>
      </c>
      <c r="I132" s="616">
        <f>200000-H132</f>
        <v>0</v>
      </c>
      <c r="J132" s="616">
        <f t="shared" si="2"/>
        <v>200000</v>
      </c>
      <c r="K132" s="616">
        <v>200000</v>
      </c>
      <c r="L132" s="1">
        <v>200000</v>
      </c>
      <c r="M132" s="708">
        <f t="shared" si="3"/>
        <v>0</v>
      </c>
    </row>
    <row r="133" spans="1:13" ht="18" customHeight="1">
      <c r="A133" s="693"/>
      <c r="B133" s="540"/>
      <c r="C133" s="694" t="s">
        <v>1587</v>
      </c>
      <c r="D133" s="695"/>
      <c r="E133" s="696"/>
      <c r="F133" s="540" t="s">
        <v>220</v>
      </c>
      <c r="G133" s="697">
        <f>999871</f>
        <v>999871</v>
      </c>
      <c r="H133" s="616">
        <v>0</v>
      </c>
      <c r="I133" s="887">
        <f t="shared" ref="I133" si="4">0-H133</f>
        <v>0</v>
      </c>
      <c r="J133" s="616">
        <f t="shared" si="2"/>
        <v>0</v>
      </c>
      <c r="K133" s="616">
        <v>0</v>
      </c>
    </row>
    <row r="134" spans="1:13" s="888" customFormat="1" ht="18" customHeight="1">
      <c r="A134" s="1401"/>
      <c r="B134" s="1402"/>
      <c r="C134" s="1403" t="s">
        <v>1588</v>
      </c>
      <c r="D134" s="1404"/>
      <c r="E134" s="1405"/>
      <c r="F134" s="1402" t="s">
        <v>256</v>
      </c>
      <c r="G134" s="1406">
        <f>999552.53</f>
        <v>999552.53</v>
      </c>
      <c r="H134" s="1407">
        <v>0</v>
      </c>
      <c r="I134" s="1407">
        <f t="shared" ref="I134:I146" si="5">0-H134</f>
        <v>0</v>
      </c>
      <c r="J134" s="1407">
        <f t="shared" ref="J134:J146" si="6">I134+H134</f>
        <v>0</v>
      </c>
      <c r="K134" s="1407">
        <v>0</v>
      </c>
    </row>
    <row r="135" spans="1:13" s="888" customFormat="1" ht="28.5" customHeight="1">
      <c r="A135" s="884"/>
      <c r="B135" s="885"/>
      <c r="C135" s="1510" t="s">
        <v>1589</v>
      </c>
      <c r="D135" s="1511"/>
      <c r="E135" s="1512"/>
      <c r="F135" s="885" t="s">
        <v>257</v>
      </c>
      <c r="G135" s="886">
        <f>225000</f>
        <v>225000</v>
      </c>
      <c r="H135" s="887">
        <v>0</v>
      </c>
      <c r="I135" s="887">
        <f t="shared" si="5"/>
        <v>0</v>
      </c>
      <c r="J135" s="887">
        <f t="shared" si="6"/>
        <v>0</v>
      </c>
      <c r="K135" s="887">
        <v>0</v>
      </c>
    </row>
    <row r="136" spans="1:13" s="888" customFormat="1" ht="18" customHeight="1">
      <c r="A136" s="884"/>
      <c r="B136" s="885"/>
      <c r="C136" s="982" t="s">
        <v>1590</v>
      </c>
      <c r="D136" s="982"/>
      <c r="E136" s="982"/>
      <c r="F136" s="885" t="s">
        <v>261</v>
      </c>
      <c r="G136" s="886">
        <f>299668.87</f>
        <v>299668.87</v>
      </c>
      <c r="H136" s="887">
        <v>0</v>
      </c>
      <c r="I136" s="887">
        <f t="shared" si="5"/>
        <v>0</v>
      </c>
      <c r="J136" s="887">
        <f t="shared" si="6"/>
        <v>0</v>
      </c>
      <c r="K136" s="887">
        <v>0</v>
      </c>
    </row>
    <row r="137" spans="1:13" s="888" customFormat="1" ht="16.5" customHeight="1">
      <c r="A137" s="884"/>
      <c r="B137" s="885"/>
      <c r="C137" s="1510" t="s">
        <v>1591</v>
      </c>
      <c r="D137" s="1511"/>
      <c r="E137" s="1512"/>
      <c r="F137" s="885" t="s">
        <v>935</v>
      </c>
      <c r="G137" s="886">
        <f>199830</f>
        <v>199830</v>
      </c>
      <c r="H137" s="887">
        <v>0</v>
      </c>
      <c r="I137" s="887">
        <f t="shared" si="5"/>
        <v>0</v>
      </c>
      <c r="J137" s="887">
        <f t="shared" si="6"/>
        <v>0</v>
      </c>
      <c r="K137" s="887">
        <v>0</v>
      </c>
    </row>
    <row r="138" spans="1:13" s="888" customFormat="1" ht="16.5" customHeight="1">
      <c r="A138" s="884"/>
      <c r="B138" s="885"/>
      <c r="C138" s="1510" t="s">
        <v>1683</v>
      </c>
      <c r="D138" s="1511"/>
      <c r="E138" s="1512"/>
      <c r="F138" s="885" t="s">
        <v>653</v>
      </c>
      <c r="G138" s="886">
        <f>199860</f>
        <v>199860</v>
      </c>
      <c r="H138" s="887">
        <v>0</v>
      </c>
      <c r="I138" s="887">
        <f t="shared" si="5"/>
        <v>0</v>
      </c>
      <c r="J138" s="887">
        <f t="shared" si="6"/>
        <v>0</v>
      </c>
      <c r="K138" s="887">
        <v>0</v>
      </c>
    </row>
    <row r="139" spans="1:13" s="888" customFormat="1" ht="18" customHeight="1">
      <c r="A139" s="884"/>
      <c r="B139" s="885"/>
      <c r="C139" s="982" t="s">
        <v>1592</v>
      </c>
      <c r="D139" s="982"/>
      <c r="E139" s="982"/>
      <c r="F139" s="885" t="s">
        <v>654</v>
      </c>
      <c r="G139" s="886">
        <f>199832</f>
        <v>199832</v>
      </c>
      <c r="H139" s="887">
        <v>0</v>
      </c>
      <c r="I139" s="887">
        <f t="shared" si="5"/>
        <v>0</v>
      </c>
      <c r="J139" s="887">
        <f t="shared" si="6"/>
        <v>0</v>
      </c>
      <c r="K139" s="887">
        <v>0</v>
      </c>
    </row>
    <row r="140" spans="1:13" s="888" customFormat="1" ht="28.5" customHeight="1">
      <c r="A140" s="884"/>
      <c r="B140" s="885"/>
      <c r="C140" s="1510" t="s">
        <v>1593</v>
      </c>
      <c r="D140" s="1511"/>
      <c r="E140" s="1512"/>
      <c r="F140" s="885" t="s">
        <v>655</v>
      </c>
      <c r="G140" s="886">
        <f>199960</f>
        <v>199960</v>
      </c>
      <c r="H140" s="887">
        <v>0</v>
      </c>
      <c r="I140" s="887">
        <f t="shared" si="5"/>
        <v>0</v>
      </c>
      <c r="J140" s="887">
        <f t="shared" si="6"/>
        <v>0</v>
      </c>
      <c r="K140" s="887">
        <v>0</v>
      </c>
    </row>
    <row r="141" spans="1:13" s="888" customFormat="1" ht="18" customHeight="1">
      <c r="A141" s="884"/>
      <c r="B141" s="885"/>
      <c r="C141" s="982" t="s">
        <v>1594</v>
      </c>
      <c r="D141" s="982"/>
      <c r="E141" s="982"/>
      <c r="F141" s="885" t="s">
        <v>936</v>
      </c>
      <c r="G141" s="886">
        <f>199748</f>
        <v>199748</v>
      </c>
      <c r="H141" s="887">
        <v>0</v>
      </c>
      <c r="I141" s="887">
        <f t="shared" si="5"/>
        <v>0</v>
      </c>
      <c r="J141" s="887">
        <f t="shared" si="6"/>
        <v>0</v>
      </c>
      <c r="K141" s="887">
        <v>0</v>
      </c>
    </row>
    <row r="142" spans="1:13" s="888" customFormat="1" ht="32.25" customHeight="1">
      <c r="A142" s="884"/>
      <c r="B142" s="885"/>
      <c r="C142" s="1510" t="s">
        <v>1595</v>
      </c>
      <c r="D142" s="1511"/>
      <c r="E142" s="1512"/>
      <c r="F142" s="885" t="s">
        <v>1477</v>
      </c>
      <c r="G142" s="886">
        <f>99960</f>
        <v>99960</v>
      </c>
      <c r="H142" s="887">
        <v>0</v>
      </c>
      <c r="I142" s="887">
        <f t="shared" si="5"/>
        <v>0</v>
      </c>
      <c r="J142" s="887">
        <f t="shared" si="6"/>
        <v>0</v>
      </c>
      <c r="K142" s="887">
        <v>0</v>
      </c>
    </row>
    <row r="143" spans="1:13" s="888" customFormat="1" ht="29.25" customHeight="1">
      <c r="A143" s="884"/>
      <c r="B143" s="885"/>
      <c r="C143" s="1510" t="s">
        <v>1596</v>
      </c>
      <c r="D143" s="1511"/>
      <c r="E143" s="1512"/>
      <c r="F143" s="885" t="s">
        <v>1478</v>
      </c>
      <c r="G143" s="886">
        <f>199890</f>
        <v>199890</v>
      </c>
      <c r="H143" s="887">
        <v>0</v>
      </c>
      <c r="I143" s="887">
        <f t="shared" si="5"/>
        <v>0</v>
      </c>
      <c r="J143" s="887">
        <f t="shared" si="6"/>
        <v>0</v>
      </c>
      <c r="K143" s="887">
        <v>0</v>
      </c>
    </row>
    <row r="144" spans="1:13" s="888" customFormat="1" ht="27.75" customHeight="1">
      <c r="A144" s="884"/>
      <c r="B144" s="885"/>
      <c r="C144" s="1510" t="s">
        <v>1597</v>
      </c>
      <c r="D144" s="1511"/>
      <c r="E144" s="1512"/>
      <c r="F144" s="885" t="s">
        <v>1479</v>
      </c>
      <c r="G144" s="886">
        <f>199960</f>
        <v>199960</v>
      </c>
      <c r="H144" s="887">
        <v>0</v>
      </c>
      <c r="I144" s="887">
        <f t="shared" si="5"/>
        <v>0</v>
      </c>
      <c r="J144" s="887">
        <f t="shared" si="6"/>
        <v>0</v>
      </c>
      <c r="K144" s="887">
        <v>0</v>
      </c>
    </row>
    <row r="145" spans="1:14" s="888" customFormat="1" ht="18.75" customHeight="1">
      <c r="A145" s="884"/>
      <c r="B145" s="885"/>
      <c r="C145" s="982" t="s">
        <v>1598</v>
      </c>
      <c r="D145" s="982"/>
      <c r="E145" s="982"/>
      <c r="F145" s="885" t="s">
        <v>1480</v>
      </c>
      <c r="G145" s="886">
        <f>199985</f>
        <v>199985</v>
      </c>
      <c r="H145" s="887">
        <v>0</v>
      </c>
      <c r="I145" s="887">
        <f t="shared" si="5"/>
        <v>0</v>
      </c>
      <c r="J145" s="887">
        <f t="shared" si="6"/>
        <v>0</v>
      </c>
      <c r="K145" s="887">
        <v>0</v>
      </c>
    </row>
    <row r="146" spans="1:14" s="888" customFormat="1" ht="21" customHeight="1">
      <c r="A146" s="884"/>
      <c r="B146" s="885"/>
      <c r="C146" s="982" t="s">
        <v>1599</v>
      </c>
      <c r="D146" s="982"/>
      <c r="E146" s="982"/>
      <c r="F146" s="885" t="s">
        <v>1481</v>
      </c>
      <c r="G146" s="886">
        <f>49000</f>
        <v>49000</v>
      </c>
      <c r="H146" s="887">
        <v>0</v>
      </c>
      <c r="I146" s="887">
        <f t="shared" si="5"/>
        <v>0</v>
      </c>
      <c r="J146" s="887">
        <f t="shared" si="6"/>
        <v>0</v>
      </c>
      <c r="K146" s="887">
        <v>0</v>
      </c>
    </row>
    <row r="149" spans="1:14" ht="18" customHeight="1">
      <c r="A149" s="1484" t="s">
        <v>1796</v>
      </c>
      <c r="B149" s="1484"/>
      <c r="C149" s="1484"/>
      <c r="D149" s="1484"/>
      <c r="E149" s="1484"/>
      <c r="F149" s="1484"/>
      <c r="G149" s="1484"/>
      <c r="H149" s="1484"/>
      <c r="I149" s="1484"/>
      <c r="J149" s="1484"/>
      <c r="K149" s="1484"/>
    </row>
    <row r="150" spans="1:14" ht="18" customHeight="1">
      <c r="A150" s="1373"/>
      <c r="B150" s="1373"/>
      <c r="C150" s="1373"/>
      <c r="D150" s="1373"/>
      <c r="E150" s="1373"/>
      <c r="F150" s="1373"/>
      <c r="G150" s="1373"/>
      <c r="H150" s="1373"/>
      <c r="I150" s="1373"/>
      <c r="J150" s="1373"/>
      <c r="K150" s="1373"/>
    </row>
    <row r="151" spans="1:14" ht="18" customHeight="1">
      <c r="A151" s="1456" t="s">
        <v>1866</v>
      </c>
      <c r="B151" s="1456"/>
      <c r="C151" s="1456"/>
      <c r="D151" s="1456"/>
      <c r="E151" s="1456"/>
      <c r="F151" s="1456"/>
      <c r="G151" s="1456"/>
      <c r="H151" s="1456"/>
      <c r="I151" s="1456"/>
      <c r="J151" s="1456"/>
      <c r="K151" s="1456"/>
    </row>
    <row r="152" spans="1:14" ht="18" customHeight="1">
      <c r="A152" s="1373"/>
      <c r="B152" s="1373"/>
      <c r="C152" s="1373"/>
      <c r="D152" s="1373"/>
      <c r="E152" s="1373"/>
      <c r="F152" s="1373"/>
      <c r="G152" s="1373"/>
      <c r="H152" s="1373"/>
      <c r="I152" s="1373"/>
      <c r="J152" s="1373"/>
      <c r="K152" s="1373"/>
    </row>
    <row r="153" spans="1:14" ht="18" customHeight="1">
      <c r="A153" s="971"/>
      <c r="B153" s="971"/>
      <c r="C153" s="718"/>
      <c r="D153" s="718"/>
      <c r="E153" s="718"/>
      <c r="F153" s="971"/>
      <c r="G153" s="1408"/>
      <c r="H153" s="1409"/>
      <c r="I153" s="1410"/>
      <c r="J153" s="1409"/>
      <c r="K153" s="1409"/>
    </row>
    <row r="154" spans="1:14" ht="18" customHeight="1">
      <c r="A154" s="971"/>
      <c r="B154" s="971"/>
      <c r="C154" s="718"/>
      <c r="D154" s="718"/>
      <c r="E154" s="718"/>
      <c r="F154" s="971"/>
      <c r="G154" s="1408"/>
      <c r="H154" s="1409"/>
      <c r="I154" s="1410"/>
      <c r="J154" s="1409"/>
      <c r="K154" s="1409"/>
    </row>
    <row r="155" spans="1:14" s="1253" customFormat="1" ht="15">
      <c r="A155" s="1467" t="s">
        <v>861</v>
      </c>
      <c r="B155" s="1467"/>
      <c r="C155" s="1467"/>
      <c r="D155" s="1467"/>
      <c r="E155" s="1467"/>
      <c r="F155" s="1467"/>
      <c r="G155" s="1467"/>
      <c r="H155" s="1467"/>
      <c r="I155" s="1467"/>
      <c r="J155" s="1467"/>
      <c r="K155" s="1467"/>
      <c r="L155" s="1319"/>
      <c r="M155" s="1319"/>
      <c r="N155" s="1319"/>
    </row>
    <row r="156" spans="1:14" s="1253" customFormat="1" ht="15">
      <c r="A156" s="1467" t="s">
        <v>174</v>
      </c>
      <c r="B156" s="1467"/>
      <c r="C156" s="1467"/>
      <c r="D156" s="1467"/>
      <c r="E156" s="1467"/>
      <c r="F156" s="1467"/>
      <c r="G156" s="1467"/>
      <c r="H156" s="1467"/>
      <c r="I156" s="1467"/>
      <c r="J156" s="1467"/>
      <c r="K156" s="1467"/>
      <c r="L156" s="1319"/>
      <c r="M156" s="1319"/>
      <c r="N156" s="1319"/>
    </row>
    <row r="157" spans="1:14" s="1253" customFormat="1" ht="15">
      <c r="A157" s="1467" t="s">
        <v>1780</v>
      </c>
      <c r="B157" s="1467"/>
      <c r="C157" s="1467"/>
      <c r="D157" s="1467"/>
      <c r="E157" s="1467"/>
      <c r="F157" s="1467"/>
      <c r="G157" s="1467"/>
      <c r="H157" s="1467"/>
      <c r="I157" s="1467"/>
      <c r="J157" s="1467"/>
      <c r="K157" s="1467"/>
      <c r="L157" s="1319"/>
      <c r="M157" s="1319"/>
      <c r="N157" s="1319"/>
    </row>
    <row r="158" spans="1:14" s="1253" customFormat="1" ht="15">
      <c r="A158" s="1467"/>
      <c r="B158" s="1467"/>
      <c r="C158" s="1467"/>
      <c r="D158" s="1467"/>
      <c r="E158" s="1467"/>
      <c r="F158" s="1467"/>
      <c r="G158" s="1467"/>
      <c r="H158" s="1467"/>
      <c r="I158" s="1467"/>
      <c r="J158" s="1467"/>
      <c r="K158" s="1467"/>
      <c r="L158" s="1319"/>
      <c r="M158" s="1319"/>
      <c r="N158" s="1319"/>
    </row>
    <row r="159" spans="1:14" s="1253" customFormat="1" ht="15">
      <c r="A159" s="1370"/>
      <c r="B159" s="1370"/>
      <c r="C159" s="1370"/>
      <c r="D159" s="1370"/>
      <c r="E159" s="1370"/>
      <c r="F159" s="1370"/>
      <c r="G159" s="1370"/>
      <c r="H159" s="1370"/>
      <c r="I159" s="1370"/>
      <c r="J159" s="1370"/>
      <c r="K159" s="1370"/>
      <c r="L159" s="1370"/>
      <c r="M159" s="1370"/>
      <c r="N159" s="1319"/>
    </row>
    <row r="160" spans="1:14" s="1253" customFormat="1" ht="15">
      <c r="A160" s="1370"/>
      <c r="B160" s="1370"/>
      <c r="C160" s="1370"/>
      <c r="D160" s="1370"/>
      <c r="E160" s="1370"/>
      <c r="F160" s="1370"/>
      <c r="G160" s="1370"/>
      <c r="H160" s="1370"/>
      <c r="I160" s="1370"/>
      <c r="J160" s="1370"/>
      <c r="K160" s="1370"/>
      <c r="L160" s="1370"/>
      <c r="M160" s="1370"/>
      <c r="N160" s="1319"/>
    </row>
    <row r="161" spans="1:14" s="1253" customFormat="1" ht="18">
      <c r="A161" s="1468" t="s">
        <v>1781</v>
      </c>
      <c r="B161" s="1468"/>
      <c r="C161" s="1468"/>
      <c r="D161" s="1468"/>
      <c r="E161" s="1468"/>
      <c r="F161" s="1468"/>
      <c r="G161" s="1468"/>
      <c r="H161" s="1468"/>
      <c r="I161" s="1468"/>
      <c r="J161" s="1468"/>
      <c r="K161" s="1468"/>
      <c r="L161" s="1320"/>
      <c r="M161" s="1320"/>
      <c r="N161" s="1320"/>
    </row>
    <row r="162" spans="1:14" s="1253" customFormat="1" ht="15">
      <c r="A162" s="1469" t="s">
        <v>1861</v>
      </c>
      <c r="B162" s="1469"/>
      <c r="C162" s="1469"/>
      <c r="D162" s="1469"/>
      <c r="E162" s="1469"/>
      <c r="F162" s="1469"/>
      <c r="G162" s="1469"/>
      <c r="H162" s="1469"/>
      <c r="I162" s="1469"/>
      <c r="J162" s="1469"/>
      <c r="K162" s="1469"/>
      <c r="L162" s="1321"/>
      <c r="M162" s="1321"/>
      <c r="N162" s="1321"/>
    </row>
    <row r="163" spans="1:14" s="1253" customFormat="1" ht="15.75">
      <c r="A163" s="1253" t="s">
        <v>1913</v>
      </c>
      <c r="G163" s="1370"/>
      <c r="I163" s="1255"/>
      <c r="L163" s="1256"/>
      <c r="M163" s="1256"/>
    </row>
    <row r="164" spans="1:14" s="1253" customFormat="1" ht="15.75">
      <c r="A164" s="1253" t="s">
        <v>1811</v>
      </c>
      <c r="G164" s="1424"/>
      <c r="I164" s="1255"/>
      <c r="L164" s="1256"/>
      <c r="M164" s="1256"/>
    </row>
    <row r="165" spans="1:14" s="1253" customFormat="1" ht="8.1" customHeight="1">
      <c r="A165" s="1257" t="s">
        <v>1812</v>
      </c>
      <c r="G165" s="1424"/>
      <c r="I165" s="1255"/>
      <c r="L165" s="1256"/>
      <c r="M165" s="1256"/>
    </row>
    <row r="166" spans="1:14" s="1253" customFormat="1" ht="16.5" thickBot="1">
      <c r="G166" s="1370"/>
      <c r="I166" s="1255"/>
      <c r="L166" s="1256"/>
      <c r="M166" s="1256"/>
    </row>
    <row r="167" spans="1:14" ht="18" customHeight="1">
      <c r="A167" s="684"/>
      <c r="B167" s="516"/>
      <c r="C167" s="1364"/>
      <c r="D167" s="1365"/>
      <c r="E167" s="1366"/>
      <c r="F167" s="516"/>
      <c r="G167" s="516" t="s">
        <v>6</v>
      </c>
      <c r="H167" s="1445" t="s">
        <v>618</v>
      </c>
      <c r="I167" s="1446"/>
      <c r="J167" s="1447"/>
      <c r="K167" s="679" t="s">
        <v>7</v>
      </c>
    </row>
    <row r="168" spans="1:14">
      <c r="A168" s="685" t="s">
        <v>821</v>
      </c>
      <c r="B168" s="518"/>
      <c r="C168" s="1368"/>
      <c r="D168" s="1367"/>
      <c r="E168" s="1369"/>
      <c r="F168" s="518"/>
      <c r="G168" s="518">
        <v>2021</v>
      </c>
      <c r="H168" s="518" t="s">
        <v>560</v>
      </c>
      <c r="I168" s="518" t="s">
        <v>561</v>
      </c>
      <c r="J168" s="518">
        <v>2022</v>
      </c>
      <c r="K168" s="520">
        <v>2023</v>
      </c>
    </row>
    <row r="169" spans="1:14">
      <c r="A169" s="685" t="s">
        <v>822</v>
      </c>
      <c r="B169" s="518" t="s">
        <v>616</v>
      </c>
      <c r="C169" s="1452" t="s">
        <v>617</v>
      </c>
      <c r="D169" s="1451"/>
      <c r="E169" s="1453"/>
      <c r="F169" s="518"/>
      <c r="G169" s="518" t="s">
        <v>909</v>
      </c>
      <c r="H169" s="518" t="s">
        <v>559</v>
      </c>
      <c r="I169" s="518" t="s">
        <v>562</v>
      </c>
      <c r="J169" s="518" t="s">
        <v>909</v>
      </c>
      <c r="K169" s="520" t="s">
        <v>909</v>
      </c>
    </row>
    <row r="170" spans="1:14">
      <c r="A170" s="685" t="s">
        <v>4</v>
      </c>
      <c r="B170" s="518"/>
      <c r="C170" s="1368"/>
      <c r="D170" s="1367"/>
      <c r="E170" s="1369"/>
      <c r="F170" s="518"/>
      <c r="G170" s="518" t="s">
        <v>559</v>
      </c>
      <c r="H170" s="518">
        <v>2022</v>
      </c>
      <c r="I170" s="518">
        <v>2022</v>
      </c>
      <c r="J170" s="518" t="s">
        <v>910</v>
      </c>
      <c r="K170" s="520" t="s">
        <v>564</v>
      </c>
    </row>
    <row r="171" spans="1:14" ht="13.5" thickBot="1">
      <c r="A171" s="686"/>
      <c r="B171" s="526"/>
      <c r="C171" s="1508"/>
      <c r="D171" s="1455"/>
      <c r="E171" s="1509"/>
      <c r="F171" s="526"/>
      <c r="G171" s="526"/>
      <c r="H171" s="526"/>
      <c r="I171" s="526"/>
      <c r="J171" s="526"/>
      <c r="K171" s="528"/>
    </row>
    <row r="172" spans="1:14" s="888" customFormat="1" ht="30" customHeight="1">
      <c r="A172" s="884"/>
      <c r="B172" s="885"/>
      <c r="C172" s="1510" t="s">
        <v>1600</v>
      </c>
      <c r="D172" s="1511"/>
      <c r="E172" s="1512"/>
      <c r="F172" s="885" t="s">
        <v>1496</v>
      </c>
      <c r="G172" s="886">
        <f>48972</f>
        <v>48972</v>
      </c>
      <c r="H172" s="887">
        <v>0</v>
      </c>
      <c r="I172" s="887">
        <f>0-H172</f>
        <v>0</v>
      </c>
      <c r="J172" s="887">
        <f>I172+H172</f>
        <v>0</v>
      </c>
      <c r="K172" s="887">
        <v>0</v>
      </c>
    </row>
    <row r="173" spans="1:14" s="888" customFormat="1" ht="21.75" customHeight="1">
      <c r="A173" s="884"/>
      <c r="B173" s="885"/>
      <c r="C173" s="982" t="s">
        <v>1601</v>
      </c>
      <c r="D173" s="982"/>
      <c r="E173" s="982"/>
      <c r="F173" s="885" t="s">
        <v>1482</v>
      </c>
      <c r="G173" s="886">
        <f>99500</f>
        <v>99500</v>
      </c>
      <c r="H173" s="887">
        <v>0</v>
      </c>
      <c r="I173" s="887">
        <f>0-H173</f>
        <v>0</v>
      </c>
      <c r="J173" s="887">
        <f>I173+H173</f>
        <v>0</v>
      </c>
      <c r="K173" s="887">
        <v>0</v>
      </c>
    </row>
    <row r="174" spans="1:14" s="888" customFormat="1" ht="28.5" customHeight="1">
      <c r="A174" s="884"/>
      <c r="B174" s="885"/>
      <c r="C174" s="1510" t="s">
        <v>1602</v>
      </c>
      <c r="D174" s="1511"/>
      <c r="E174" s="1512"/>
      <c r="F174" s="885" t="s">
        <v>1497</v>
      </c>
      <c r="G174" s="886">
        <f>599714.61</f>
        <v>599714.61</v>
      </c>
      <c r="H174" s="887">
        <v>0</v>
      </c>
      <c r="I174" s="887">
        <f>0-H174</f>
        <v>0</v>
      </c>
      <c r="J174" s="887">
        <f>I174+H174</f>
        <v>0</v>
      </c>
      <c r="K174" s="887">
        <v>0</v>
      </c>
    </row>
    <row r="175" spans="1:14" s="888" customFormat="1" ht="26.25" customHeight="1">
      <c r="A175" s="884"/>
      <c r="B175" s="885"/>
      <c r="C175" s="1510" t="s">
        <v>1692</v>
      </c>
      <c r="D175" s="1511"/>
      <c r="E175" s="1512"/>
      <c r="F175" s="885" t="s">
        <v>220</v>
      </c>
      <c r="G175" s="886">
        <v>0</v>
      </c>
      <c r="H175" s="887">
        <v>0</v>
      </c>
      <c r="I175" s="887">
        <f>600000-H175</f>
        <v>600000</v>
      </c>
      <c r="J175" s="887">
        <f>I175+H175</f>
        <v>600000</v>
      </c>
      <c r="K175" s="887">
        <v>0</v>
      </c>
    </row>
    <row r="176" spans="1:14" s="888" customFormat="1" ht="30" customHeight="1">
      <c r="A176" s="884"/>
      <c r="B176" s="885"/>
      <c r="C176" s="1510" t="s">
        <v>1693</v>
      </c>
      <c r="D176" s="1511"/>
      <c r="E176" s="1512"/>
      <c r="F176" s="885" t="s">
        <v>256</v>
      </c>
      <c r="G176" s="886">
        <v>0</v>
      </c>
      <c r="H176" s="887">
        <v>0</v>
      </c>
      <c r="I176" s="887">
        <f>600000-H176</f>
        <v>600000</v>
      </c>
      <c r="J176" s="887">
        <f t="shared" si="2"/>
        <v>600000</v>
      </c>
      <c r="K176" s="887">
        <v>0</v>
      </c>
    </row>
    <row r="177" spans="1:11" s="888" customFormat="1" ht="30" customHeight="1">
      <c r="A177" s="973"/>
      <c r="B177" s="974"/>
      <c r="C177" s="1510" t="s">
        <v>1694</v>
      </c>
      <c r="D177" s="1511"/>
      <c r="E177" s="1512"/>
      <c r="F177" s="885" t="s">
        <v>257</v>
      </c>
      <c r="G177" s="975">
        <v>0</v>
      </c>
      <c r="H177" s="976">
        <v>0</v>
      </c>
      <c r="I177" s="887">
        <f>1000000-H177</f>
        <v>1000000</v>
      </c>
      <c r="J177" s="887">
        <f t="shared" si="2"/>
        <v>1000000</v>
      </c>
      <c r="K177" s="976">
        <v>0</v>
      </c>
    </row>
    <row r="178" spans="1:11" s="888" customFormat="1" ht="30" customHeight="1">
      <c r="A178" s="973"/>
      <c r="B178" s="974"/>
      <c r="C178" s="1510" t="s">
        <v>1695</v>
      </c>
      <c r="D178" s="1511"/>
      <c r="E178" s="1512"/>
      <c r="F178" s="885" t="s">
        <v>261</v>
      </c>
      <c r="G178" s="975">
        <v>0</v>
      </c>
      <c r="H178" s="976">
        <v>0</v>
      </c>
      <c r="I178" s="887">
        <f>200000-H178</f>
        <v>200000</v>
      </c>
      <c r="J178" s="887">
        <f t="shared" si="2"/>
        <v>200000</v>
      </c>
      <c r="K178" s="976">
        <v>0</v>
      </c>
    </row>
    <row r="179" spans="1:11" s="888" customFormat="1" ht="30" customHeight="1">
      <c r="A179" s="973"/>
      <c r="B179" s="974"/>
      <c r="C179" s="1510" t="s">
        <v>1696</v>
      </c>
      <c r="D179" s="1511"/>
      <c r="E179" s="1512"/>
      <c r="F179" s="885" t="s">
        <v>935</v>
      </c>
      <c r="G179" s="975">
        <v>0</v>
      </c>
      <c r="H179" s="976">
        <v>0</v>
      </c>
      <c r="I179" s="887">
        <f>200000-H179</f>
        <v>200000</v>
      </c>
      <c r="J179" s="887">
        <f t="shared" si="2"/>
        <v>200000</v>
      </c>
      <c r="K179" s="976">
        <v>0</v>
      </c>
    </row>
    <row r="180" spans="1:11" s="888" customFormat="1" ht="30" customHeight="1">
      <c r="A180" s="973"/>
      <c r="B180" s="974"/>
      <c r="C180" s="1510" t="s">
        <v>1697</v>
      </c>
      <c r="D180" s="1511"/>
      <c r="E180" s="1512"/>
      <c r="F180" s="885" t="s">
        <v>653</v>
      </c>
      <c r="G180" s="975">
        <v>0</v>
      </c>
      <c r="H180" s="976">
        <v>0</v>
      </c>
      <c r="I180" s="887">
        <f>400000-H180</f>
        <v>400000</v>
      </c>
      <c r="J180" s="887">
        <f t="shared" si="2"/>
        <v>400000</v>
      </c>
      <c r="K180" s="976">
        <v>0</v>
      </c>
    </row>
    <row r="181" spans="1:11" s="888" customFormat="1" ht="30" customHeight="1">
      <c r="A181" s="973"/>
      <c r="B181" s="974"/>
      <c r="C181" s="1510" t="s">
        <v>1698</v>
      </c>
      <c r="D181" s="1511"/>
      <c r="E181" s="1512"/>
      <c r="F181" s="885" t="s">
        <v>654</v>
      </c>
      <c r="G181" s="975">
        <v>0</v>
      </c>
      <c r="H181" s="976">
        <v>0</v>
      </c>
      <c r="I181" s="887">
        <f>600000-H181</f>
        <v>600000</v>
      </c>
      <c r="J181" s="887">
        <f t="shared" si="2"/>
        <v>600000</v>
      </c>
      <c r="K181" s="976">
        <v>0</v>
      </c>
    </row>
    <row r="182" spans="1:11" s="888" customFormat="1" ht="30" customHeight="1">
      <c r="A182" s="973"/>
      <c r="B182" s="974"/>
      <c r="C182" s="1510" t="s">
        <v>1699</v>
      </c>
      <c r="D182" s="1511"/>
      <c r="E182" s="1512"/>
      <c r="F182" s="885" t="s">
        <v>655</v>
      </c>
      <c r="G182" s="975">
        <v>0</v>
      </c>
      <c r="H182" s="976">
        <v>0</v>
      </c>
      <c r="I182" s="887">
        <f>200000-H182</f>
        <v>200000</v>
      </c>
      <c r="J182" s="887">
        <f t="shared" si="2"/>
        <v>200000</v>
      </c>
      <c r="K182" s="976">
        <v>0</v>
      </c>
    </row>
    <row r="183" spans="1:11" s="888" customFormat="1" ht="30" customHeight="1">
      <c r="A183" s="973"/>
      <c r="B183" s="974"/>
      <c r="C183" s="1510" t="s">
        <v>1700</v>
      </c>
      <c r="D183" s="1511"/>
      <c r="E183" s="1512"/>
      <c r="F183" s="885" t="s">
        <v>936</v>
      </c>
      <c r="G183" s="975">
        <v>0</v>
      </c>
      <c r="H183" s="976">
        <v>0</v>
      </c>
      <c r="I183" s="887">
        <f t="shared" ref="I183:I186" si="7">200000-H183</f>
        <v>200000</v>
      </c>
      <c r="J183" s="887">
        <f t="shared" si="2"/>
        <v>200000</v>
      </c>
      <c r="K183" s="976">
        <v>0</v>
      </c>
    </row>
    <row r="184" spans="1:11" s="888" customFormat="1" ht="30" customHeight="1">
      <c r="A184" s="973"/>
      <c r="B184" s="974"/>
      <c r="C184" s="1510" t="s">
        <v>1701</v>
      </c>
      <c r="D184" s="1511"/>
      <c r="E184" s="1512"/>
      <c r="F184" s="885" t="s">
        <v>1477</v>
      </c>
      <c r="G184" s="975">
        <v>0</v>
      </c>
      <c r="H184" s="976">
        <v>0</v>
      </c>
      <c r="I184" s="887">
        <f t="shared" si="7"/>
        <v>200000</v>
      </c>
      <c r="J184" s="887">
        <f t="shared" si="2"/>
        <v>200000</v>
      </c>
      <c r="K184" s="976">
        <v>0</v>
      </c>
    </row>
    <row r="185" spans="1:11" s="888" customFormat="1" ht="30" customHeight="1">
      <c r="A185" s="973"/>
      <c r="B185" s="974"/>
      <c r="C185" s="1510" t="s">
        <v>1702</v>
      </c>
      <c r="D185" s="1511"/>
      <c r="E185" s="1512"/>
      <c r="F185" s="885" t="s">
        <v>1478</v>
      </c>
      <c r="G185" s="975">
        <v>0</v>
      </c>
      <c r="H185" s="976">
        <v>0</v>
      </c>
      <c r="I185" s="887">
        <f>55000-H185</f>
        <v>55000</v>
      </c>
      <c r="J185" s="887">
        <f t="shared" si="2"/>
        <v>55000</v>
      </c>
      <c r="K185" s="976">
        <v>0</v>
      </c>
    </row>
    <row r="186" spans="1:11" s="888" customFormat="1" ht="30" customHeight="1">
      <c r="A186" s="973"/>
      <c r="B186" s="974"/>
      <c r="C186" s="1510" t="s">
        <v>1703</v>
      </c>
      <c r="D186" s="1511"/>
      <c r="E186" s="1512"/>
      <c r="F186" s="885" t="s">
        <v>1479</v>
      </c>
      <c r="G186" s="975">
        <v>0</v>
      </c>
      <c r="H186" s="976">
        <v>0</v>
      </c>
      <c r="I186" s="887">
        <f t="shared" si="7"/>
        <v>200000</v>
      </c>
      <c r="J186" s="887">
        <f t="shared" si="2"/>
        <v>200000</v>
      </c>
      <c r="K186" s="976">
        <v>0</v>
      </c>
    </row>
    <row r="187" spans="1:11" s="888" customFormat="1" ht="30" customHeight="1">
      <c r="A187" s="973"/>
      <c r="B187" s="974"/>
      <c r="C187" s="1510" t="s">
        <v>1704</v>
      </c>
      <c r="D187" s="1511"/>
      <c r="E187" s="1512"/>
      <c r="F187" s="885" t="s">
        <v>1480</v>
      </c>
      <c r="G187" s="975">
        <v>0</v>
      </c>
      <c r="H187" s="976">
        <v>0</v>
      </c>
      <c r="I187" s="887">
        <f>450000-H187</f>
        <v>450000</v>
      </c>
      <c r="J187" s="887">
        <f t="shared" si="2"/>
        <v>450000</v>
      </c>
      <c r="K187" s="976">
        <v>0</v>
      </c>
    </row>
    <row r="188" spans="1:11" s="888" customFormat="1" ht="30" customHeight="1">
      <c r="A188" s="973"/>
      <c r="B188" s="974"/>
      <c r="C188" s="1510" t="s">
        <v>1705</v>
      </c>
      <c r="D188" s="1511"/>
      <c r="E188" s="1512"/>
      <c r="F188" s="885" t="s">
        <v>1481</v>
      </c>
      <c r="G188" s="975">
        <v>0</v>
      </c>
      <c r="H188" s="976">
        <v>0</v>
      </c>
      <c r="I188" s="887">
        <f>50000-H188</f>
        <v>50000</v>
      </c>
      <c r="J188" s="887">
        <f t="shared" si="2"/>
        <v>50000</v>
      </c>
      <c r="K188" s="976">
        <v>0</v>
      </c>
    </row>
    <row r="189" spans="1:11" s="888" customFormat="1" ht="30" customHeight="1">
      <c r="A189" s="973"/>
      <c r="B189" s="974"/>
      <c r="C189" s="1510" t="s">
        <v>1706</v>
      </c>
      <c r="D189" s="1511"/>
      <c r="E189" s="1512"/>
      <c r="F189" s="885" t="s">
        <v>1496</v>
      </c>
      <c r="G189" s="975">
        <v>0</v>
      </c>
      <c r="H189" s="976">
        <v>0</v>
      </c>
      <c r="I189" s="887">
        <f>50000-H189</f>
        <v>50000</v>
      </c>
      <c r="J189" s="887">
        <f t="shared" si="2"/>
        <v>50000</v>
      </c>
      <c r="K189" s="976">
        <v>0</v>
      </c>
    </row>
    <row r="190" spans="1:11" s="888" customFormat="1" ht="30" customHeight="1">
      <c r="A190" s="973"/>
      <c r="B190" s="974"/>
      <c r="C190" s="1510" t="s">
        <v>1707</v>
      </c>
      <c r="D190" s="1511"/>
      <c r="E190" s="1512"/>
      <c r="F190" s="885" t="s">
        <v>1482</v>
      </c>
      <c r="G190" s="975">
        <v>0</v>
      </c>
      <c r="H190" s="976">
        <v>0</v>
      </c>
      <c r="I190" s="887">
        <f>100000-H190</f>
        <v>100000</v>
      </c>
      <c r="J190" s="887">
        <f t="shared" si="2"/>
        <v>100000</v>
      </c>
      <c r="K190" s="976">
        <v>0</v>
      </c>
    </row>
    <row r="191" spans="1:11" s="888" customFormat="1" ht="30" customHeight="1">
      <c r="A191" s="973"/>
      <c r="B191" s="974"/>
      <c r="C191" s="1510" t="s">
        <v>1708</v>
      </c>
      <c r="D191" s="1511"/>
      <c r="E191" s="1512"/>
      <c r="F191" s="885" t="s">
        <v>1497</v>
      </c>
      <c r="G191" s="975">
        <v>0</v>
      </c>
      <c r="H191" s="976">
        <v>0</v>
      </c>
      <c r="I191" s="887">
        <f>50000-H191</f>
        <v>50000</v>
      </c>
      <c r="J191" s="887">
        <f t="shared" si="2"/>
        <v>50000</v>
      </c>
      <c r="K191" s="976">
        <v>0</v>
      </c>
    </row>
    <row r="192" spans="1:11" s="888" customFormat="1" ht="30" customHeight="1">
      <c r="A192" s="973"/>
      <c r="B192" s="974"/>
      <c r="C192" s="1510" t="s">
        <v>1709</v>
      </c>
      <c r="D192" s="1511"/>
      <c r="E192" s="1512"/>
      <c r="F192" s="885" t="s">
        <v>1688</v>
      </c>
      <c r="G192" s="975">
        <v>0</v>
      </c>
      <c r="H192" s="976">
        <v>0</v>
      </c>
      <c r="I192" s="887">
        <f t="shared" ref="I192:I193" si="8">100000-H192</f>
        <v>100000</v>
      </c>
      <c r="J192" s="887">
        <f t="shared" ref="J192:J195" si="9">I192+H192</f>
        <v>100000</v>
      </c>
      <c r="K192" s="976">
        <v>0</v>
      </c>
    </row>
    <row r="193" spans="1:11" s="888" customFormat="1" ht="30" customHeight="1">
      <c r="A193" s="973"/>
      <c r="B193" s="974"/>
      <c r="C193" s="1510" t="s">
        <v>1710</v>
      </c>
      <c r="D193" s="1511"/>
      <c r="E193" s="1512"/>
      <c r="F193" s="885" t="s">
        <v>1689</v>
      </c>
      <c r="G193" s="975">
        <v>0</v>
      </c>
      <c r="H193" s="976">
        <v>0</v>
      </c>
      <c r="I193" s="887">
        <f t="shared" si="8"/>
        <v>100000</v>
      </c>
      <c r="J193" s="887">
        <f t="shared" si="9"/>
        <v>100000</v>
      </c>
      <c r="K193" s="976">
        <v>0</v>
      </c>
    </row>
    <row r="194" spans="1:11" s="888" customFormat="1" ht="30" customHeight="1">
      <c r="A194" s="973"/>
      <c r="B194" s="974"/>
      <c r="C194" s="1510" t="s">
        <v>1711</v>
      </c>
      <c r="D194" s="1511"/>
      <c r="E194" s="1512"/>
      <c r="F194" s="885" t="s">
        <v>1690</v>
      </c>
      <c r="G194" s="975">
        <v>0</v>
      </c>
      <c r="H194" s="976">
        <v>0</v>
      </c>
      <c r="I194" s="887">
        <f t="shared" ref="I194:I195" si="10">200000-H194</f>
        <v>200000</v>
      </c>
      <c r="J194" s="887">
        <f t="shared" si="9"/>
        <v>200000</v>
      </c>
      <c r="K194" s="976">
        <v>0</v>
      </c>
    </row>
    <row r="195" spans="1:11" s="888" customFormat="1" ht="30" customHeight="1">
      <c r="A195" s="973"/>
      <c r="B195" s="974"/>
      <c r="C195" s="1510" t="s">
        <v>1712</v>
      </c>
      <c r="D195" s="1511"/>
      <c r="E195" s="1512"/>
      <c r="F195" s="885" t="s">
        <v>1691</v>
      </c>
      <c r="G195" s="975">
        <v>0</v>
      </c>
      <c r="H195" s="976">
        <v>0</v>
      </c>
      <c r="I195" s="887">
        <f t="shared" si="10"/>
        <v>200000</v>
      </c>
      <c r="J195" s="887">
        <f t="shared" si="9"/>
        <v>200000</v>
      </c>
      <c r="K195" s="976">
        <v>0</v>
      </c>
    </row>
    <row r="196" spans="1:11" s="888" customFormat="1" ht="32.25" customHeight="1">
      <c r="A196" s="973"/>
      <c r="B196" s="974"/>
      <c r="C196" s="977"/>
      <c r="D196" s="978"/>
      <c r="E196" s="979"/>
      <c r="F196" s="974"/>
      <c r="G196" s="975"/>
      <c r="H196" s="976"/>
      <c r="I196" s="976"/>
      <c r="J196" s="976"/>
      <c r="K196" s="976"/>
    </row>
    <row r="197" spans="1:11" ht="18" customHeight="1" thickBot="1">
      <c r="A197" s="698"/>
      <c r="B197" s="547"/>
      <c r="C197" s="699"/>
      <c r="D197" s="700"/>
      <c r="E197" s="701"/>
      <c r="F197" s="547"/>
      <c r="G197" s="702"/>
      <c r="H197" s="703"/>
      <c r="I197" s="703"/>
      <c r="J197" s="703"/>
      <c r="K197" s="703"/>
    </row>
    <row r="198" spans="1:11" s="714" customFormat="1" ht="18" customHeight="1" thickBot="1">
      <c r="A198" s="709" t="s">
        <v>613</v>
      </c>
      <c r="B198" s="612"/>
      <c r="C198" s="710"/>
      <c r="D198" s="711"/>
      <c r="E198" s="712"/>
      <c r="F198" s="612"/>
      <c r="G198" s="713">
        <f>SUM(G102:G146)+(G172+G173+G174+G175+G176+G177+G178+G179+G180+G181+G182+G183+G184+G185+G186+G187+G188+G189+G190+G191+G192+G193+G194+G195)</f>
        <v>77668964.849999994</v>
      </c>
      <c r="H198" s="713">
        <f>SUM(H101:H197)</f>
        <v>38192934.069999993</v>
      </c>
      <c r="I198" s="713">
        <f>SUM(I101:I197)</f>
        <v>69005789.530000016</v>
      </c>
      <c r="J198" s="713">
        <f>SUM(J102:J146)+(J172+J173+J174+J175+J176+J177+J178+J179+J180+J181+J182+J183+J184+J185+J186+J187+J188+J189+J190+J191+J192+J193+J194+J195)</f>
        <v>107194679.60000001</v>
      </c>
      <c r="K198" s="713">
        <f>SUM(K102:K146)+(K172+K173+K174+K175+K176+K177+K178+K179+K180+K181+K182+K183+K184+K185+K186+K187+K188+K189+K190+K191+K192+K193+K194+K195)</f>
        <v>84062151.769999996</v>
      </c>
    </row>
    <row r="199" spans="1:11" ht="18" customHeight="1" thickBot="1">
      <c r="A199" s="715"/>
      <c r="B199" s="716"/>
      <c r="C199" s="717"/>
      <c r="D199" s="718"/>
      <c r="E199" s="719"/>
      <c r="F199" s="716"/>
      <c r="G199" s="890"/>
      <c r="H199" s="891"/>
      <c r="I199" s="891"/>
      <c r="J199" s="891"/>
      <c r="K199" s="891"/>
    </row>
    <row r="200" spans="1:11" s="714" customFormat="1" ht="18" customHeight="1" thickBot="1">
      <c r="A200" s="720"/>
      <c r="B200" s="612"/>
      <c r="C200" s="721" t="s">
        <v>41</v>
      </c>
      <c r="D200" s="722"/>
      <c r="E200" s="723"/>
      <c r="F200" s="556"/>
      <c r="G200" s="724">
        <f>SUM(G198+G53+'LBP NO. 2'!I952+'LBP NO. 2'!I890+'LBP NO. 2'!I828+'LBP NO. 2'!I759+'LBP NO. 2'!I691+'LBP NO. 2'!I618+'LBP NO. 2'!I553+'LBP NO. 2'!I489+'LBP NO. 2'!I419+'LBP NO. 2'!I349+'LBP NO. 2'!I281+'LBP NO. 2'!I210+'LBP NO. 2'!I144+'LBP NO. 2'!I71)</f>
        <v>172385776.63999999</v>
      </c>
      <c r="H200" s="724">
        <f>SUM(H198+H53+'LBP NO. 2'!J952+'LBP NO. 2'!J890+'LBP NO. 2'!J828+'LBP NO. 2'!J759+'LBP NO. 2'!J691+'LBP NO. 2'!J618+'LBP NO. 2'!J553+'LBP NO. 2'!J489+'LBP NO. 2'!J419+'LBP NO. 2'!J349+'LBP NO. 2'!J281+'LBP NO. 2'!J210+'LBP NO. 2'!J144+'LBP NO. 2'!J71)</f>
        <v>83137076.419999987</v>
      </c>
      <c r="I200" s="724">
        <f>SUM(I198+I53+'LBP NO. 2'!K952+'LBP NO. 2'!K890+'LBP NO. 2'!K828+'LBP NO. 2'!K759+'LBP NO. 2'!K691+'LBP NO. 2'!K618+'LBP NO. 2'!K553+'LBP NO. 2'!K489+'LBP NO. 2'!K419+'LBP NO. 2'!K349+'LBP NO. 2'!K281+'LBP NO. 2'!K210+'LBP NO. 2'!K144+'LBP NO. 2'!K71)</f>
        <v>166461653.18000004</v>
      </c>
      <c r="J200" s="724">
        <f>SUM(J198+J53+'LBP NO. 2'!L952+'LBP NO. 2'!L890+'LBP NO. 2'!L828+'LBP NO. 2'!L759+'LBP NO. 2'!L691+'LBP NO. 2'!L618+'LBP NO. 2'!L553+'LBP NO. 2'!L489+'LBP NO. 2'!L419+'LBP NO. 2'!L349+'LBP NO. 2'!L281+'LBP NO. 2'!L210+'LBP NO. 2'!L144+'LBP NO. 2'!L71)</f>
        <v>249594685.60000002</v>
      </c>
      <c r="K200" s="724">
        <f>SUM(K198+K53+'LBP NO. 2'!M952+'LBP NO. 2'!M890+'LBP NO. 2'!M828+'LBP NO. 2'!M759+'LBP NO. 2'!M691+'LBP NO. 2'!M618+'LBP NO. 2'!M553+'LBP NO. 2'!M489+'LBP NO. 2'!M419+'LBP NO. 2'!M349+'LBP NO. 2'!M281+'LBP NO. 2'!M210+'LBP NO. 2'!M144+'LBP NO. 2'!M71)</f>
        <v>203126352.77000001</v>
      </c>
    </row>
    <row r="201" spans="1:11" ht="18" customHeight="1">
      <c r="A201" s="509"/>
      <c r="B201" s="618"/>
      <c r="C201" s="618"/>
      <c r="D201" s="618"/>
      <c r="E201" s="618"/>
      <c r="F201" s="618"/>
      <c r="G201" s="618"/>
      <c r="H201" s="706"/>
      <c r="I201" s="706"/>
      <c r="J201" s="706"/>
      <c r="K201" s="706"/>
    </row>
    <row r="202" spans="1:11" ht="15.75">
      <c r="A202" s="1484" t="s">
        <v>1796</v>
      </c>
      <c r="B202" s="1484"/>
      <c r="C202" s="1484"/>
      <c r="D202" s="1484"/>
      <c r="E202" s="1484"/>
      <c r="F202" s="1484"/>
      <c r="G202" s="1484"/>
      <c r="H202" s="1484"/>
      <c r="I202" s="1484"/>
      <c r="J202" s="1484"/>
      <c r="K202" s="1484"/>
    </row>
    <row r="203" spans="1:11" ht="15.75">
      <c r="A203" s="1330"/>
      <c r="B203" s="1330"/>
      <c r="C203" s="1330"/>
      <c r="D203" s="1330"/>
      <c r="E203" s="1330"/>
      <c r="F203" s="1330"/>
      <c r="G203" s="1330"/>
      <c r="H203" s="1330"/>
      <c r="I203" s="1330"/>
      <c r="J203" s="1330"/>
      <c r="K203" s="1330"/>
    </row>
    <row r="204" spans="1:11" ht="15.75">
      <c r="A204" s="1330"/>
      <c r="B204" s="1330"/>
      <c r="C204" s="1330"/>
      <c r="D204" s="1330"/>
      <c r="E204" s="1330"/>
      <c r="F204" s="1330"/>
      <c r="G204" s="1411">
        <f>172385776.64-G200</f>
        <v>0</v>
      </c>
      <c r="H204" s="1330"/>
      <c r="I204" s="1330"/>
      <c r="J204" s="1411">
        <f>249594685.6-J200</f>
        <v>0</v>
      </c>
      <c r="K204" s="1411">
        <f>203126352.77-K200</f>
        <v>0</v>
      </c>
    </row>
    <row r="205" spans="1:11" ht="15.75">
      <c r="A205" s="1330"/>
      <c r="B205" s="1330"/>
      <c r="C205" s="1330"/>
      <c r="D205" s="1330"/>
      <c r="E205" s="1330"/>
      <c r="F205" s="1330"/>
      <c r="G205" s="1330"/>
      <c r="H205" s="1330"/>
      <c r="I205" s="1330"/>
      <c r="J205" s="1330"/>
      <c r="K205" s="1330"/>
    </row>
    <row r="207" spans="1:11" ht="18" customHeight="1">
      <c r="A207" s="1456" t="s">
        <v>951</v>
      </c>
      <c r="B207" s="1456"/>
      <c r="C207" s="1456"/>
      <c r="D207" s="1456"/>
      <c r="E207" s="1456"/>
      <c r="F207" s="1456"/>
      <c r="G207" s="1456"/>
      <c r="H207" s="1456"/>
      <c r="I207" s="1456"/>
      <c r="J207" s="1456"/>
      <c r="K207" s="1456"/>
    </row>
    <row r="208" spans="1:11" ht="18" customHeight="1">
      <c r="A208" s="968"/>
      <c r="B208" s="968"/>
      <c r="C208" s="968"/>
      <c r="D208" s="682"/>
      <c r="E208" s="971"/>
      <c r="F208" s="971"/>
      <c r="G208" s="730"/>
      <c r="H208" s="730"/>
      <c r="I208" s="730"/>
      <c r="J208" s="730"/>
      <c r="K208" s="730"/>
    </row>
    <row r="209" spans="1:13" ht="18" customHeight="1">
      <c r="A209" s="968"/>
      <c r="B209" s="968"/>
      <c r="C209" s="968"/>
      <c r="D209" s="682"/>
      <c r="E209" s="971"/>
      <c r="F209" s="971"/>
      <c r="G209" s="988"/>
      <c r="H209" s="988"/>
      <c r="I209" s="988"/>
      <c r="J209" s="988"/>
      <c r="K209" s="988"/>
    </row>
    <row r="210" spans="1:13" ht="18" customHeight="1">
      <c r="A210" s="968"/>
      <c r="B210" s="968"/>
      <c r="C210" s="968"/>
      <c r="D210" s="682"/>
      <c r="E210" s="971"/>
      <c r="F210" s="971"/>
      <c r="G210" s="971"/>
      <c r="H210" s="725"/>
      <c r="I210" s="968"/>
      <c r="J210" s="968"/>
      <c r="K210" s="968"/>
    </row>
    <row r="211" spans="1:13" ht="20.100000000000001" customHeight="1">
      <c r="A211" s="1456"/>
      <c r="B211" s="1456"/>
      <c r="C211" s="1456"/>
      <c r="D211" s="1456"/>
      <c r="E211" s="1456"/>
      <c r="F211" s="1456"/>
      <c r="G211" s="1456"/>
      <c r="H211" s="1456"/>
      <c r="I211" s="1456"/>
      <c r="J211" s="1456"/>
      <c r="K211" s="1456"/>
    </row>
    <row r="212" spans="1:13" ht="18" customHeight="1">
      <c r="A212" s="968"/>
      <c r="B212" s="968"/>
      <c r="C212" s="968"/>
      <c r="D212" s="682"/>
      <c r="E212" s="971"/>
      <c r="F212" s="971"/>
      <c r="G212" s="971"/>
      <c r="H212" s="725"/>
      <c r="I212" s="968"/>
      <c r="J212" s="968"/>
      <c r="K212" s="968"/>
    </row>
    <row r="213" spans="1:13" ht="18" customHeight="1">
      <c r="A213" s="968"/>
      <c r="B213" s="968"/>
      <c r="C213" s="968"/>
      <c r="D213" s="682"/>
      <c r="E213" s="971"/>
      <c r="F213" s="971"/>
      <c r="G213" s="681"/>
      <c r="H213" s="681"/>
      <c r="I213" s="681"/>
      <c r="J213" s="681"/>
      <c r="K213" s="681"/>
    </row>
    <row r="214" spans="1:13" ht="18" customHeight="1">
      <c r="A214" s="968"/>
      <c r="B214" s="968"/>
      <c r="C214" s="968"/>
      <c r="D214" s="682"/>
      <c r="E214" s="971"/>
      <c r="F214" s="971"/>
      <c r="G214" s="971"/>
      <c r="H214" s="725"/>
      <c r="I214" s="968"/>
      <c r="J214" s="968"/>
      <c r="K214" s="968"/>
    </row>
    <row r="215" spans="1:13" ht="18" customHeight="1">
      <c r="A215" s="968"/>
      <c r="B215" s="968"/>
      <c r="C215" s="968"/>
      <c r="D215" s="682"/>
      <c r="E215" s="971"/>
      <c r="F215" s="971"/>
      <c r="G215" s="971"/>
      <c r="H215" s="725"/>
      <c r="I215" s="968"/>
      <c r="J215" s="968"/>
      <c r="K215" s="968"/>
    </row>
    <row r="216" spans="1:13" ht="18" customHeight="1">
      <c r="A216" s="968"/>
      <c r="B216" s="968"/>
      <c r="C216" s="968"/>
      <c r="D216" s="682"/>
      <c r="E216" s="971"/>
      <c r="F216" s="971"/>
      <c r="G216" s="971"/>
      <c r="H216" s="725"/>
      <c r="I216" s="968"/>
      <c r="J216" s="968"/>
      <c r="K216" s="968"/>
    </row>
    <row r="217" spans="1:13" ht="18" customHeight="1">
      <c r="A217" s="968"/>
      <c r="B217" s="968"/>
      <c r="C217" s="968"/>
      <c r="D217" s="682"/>
      <c r="E217" s="971"/>
      <c r="F217" s="971"/>
      <c r="G217" s="971"/>
      <c r="H217" s="725"/>
      <c r="I217" s="968"/>
      <c r="J217" s="968"/>
      <c r="K217" s="968"/>
    </row>
    <row r="218" spans="1:13" ht="18" customHeight="1">
      <c r="A218" s="968"/>
      <c r="B218" s="968"/>
      <c r="C218" s="968"/>
      <c r="D218" s="682"/>
      <c r="E218" s="971"/>
      <c r="F218" s="971"/>
      <c r="G218" s="971"/>
      <c r="H218" s="725"/>
      <c r="I218" s="968"/>
      <c r="J218" s="968"/>
      <c r="K218" s="968"/>
    </row>
    <row r="219" spans="1:13" ht="18" customHeight="1">
      <c r="A219" s="968"/>
      <c r="B219" s="968"/>
      <c r="C219" s="968"/>
      <c r="D219" s="682"/>
      <c r="E219" s="971"/>
      <c r="F219" s="971"/>
      <c r="G219" s="971"/>
      <c r="H219" s="725"/>
      <c r="I219" s="968"/>
      <c r="J219" s="968"/>
      <c r="K219" s="968"/>
    </row>
    <row r="220" spans="1:13" ht="18" customHeight="1">
      <c r="A220" s="968"/>
      <c r="B220" s="968"/>
      <c r="C220" s="968"/>
      <c r="D220" s="682"/>
      <c r="E220" s="971"/>
      <c r="F220" s="971"/>
      <c r="G220" s="971"/>
      <c r="H220" s="725"/>
      <c r="I220" s="968"/>
      <c r="J220" s="968"/>
      <c r="K220" s="968"/>
    </row>
    <row r="221" spans="1:13" ht="20.100000000000001" customHeight="1">
      <c r="L221" s="707"/>
      <c r="M221" s="707"/>
    </row>
    <row r="232" spans="3:12">
      <c r="G232" s="983"/>
      <c r="H232" s="983"/>
      <c r="I232" s="983"/>
      <c r="J232" s="983"/>
      <c r="K232" s="983"/>
    </row>
    <row r="233" spans="3:12">
      <c r="G233" s="730"/>
      <c r="H233" s="730"/>
      <c r="I233" s="730"/>
      <c r="J233" s="730"/>
      <c r="K233" s="730"/>
    </row>
    <row r="235" spans="3:12" ht="15" customHeight="1">
      <c r="C235" s="1" t="s">
        <v>917</v>
      </c>
      <c r="G235" s="726">
        <f>G198+G53</f>
        <v>83236605.61999999</v>
      </c>
      <c r="H235" s="726">
        <f>H198+H53</f>
        <v>41438954.029999994</v>
      </c>
      <c r="I235" s="726">
        <f>I198+I53</f>
        <v>75810420.570000023</v>
      </c>
      <c r="J235" s="726">
        <f>J198+J53</f>
        <v>117245330.60000001</v>
      </c>
      <c r="K235" s="726">
        <f>K198+K53</f>
        <v>93360201.769999996</v>
      </c>
    </row>
    <row r="237" spans="3:12" ht="15" customHeight="1">
      <c r="C237" s="727" t="s">
        <v>250</v>
      </c>
      <c r="D237" s="727"/>
      <c r="E237" s="727"/>
      <c r="F237" s="727"/>
      <c r="G237" s="728">
        <f>SUM(G198+G53+'LBP NO. 2'!I1029+'LBP NO. 2'!I952+'LBP NO. 2'!I890+'LBP NO. 2'!I828+'LBP NO. 2'!I759+'LBP NO. 2'!I691+'LBP NO. 2'!I618+'LBP NO. 2'!I553+'LBP NO. 2'!I489+'LBP NO. 2'!I419+'LBP NO. 2'!I349+'LBP NO. 2'!I281+'LBP NO. 2'!I210+'LBP NO. 2'!I144+'LBP NO. 2'!I71)</f>
        <v>184472074.96999997</v>
      </c>
      <c r="H237" s="728">
        <f>SUM(H198+H53+'LBP NO. 2'!J1029+'LBP NO. 2'!J952+'LBP NO. 2'!J890+'LBP NO. 2'!J828+'LBP NO. 2'!J759+'LBP NO. 2'!J691+'LBP NO. 2'!J618+'LBP NO. 2'!J553+'LBP NO. 2'!J489+'LBP NO. 2'!J419+'LBP NO. 2'!J349+'LBP NO. 2'!J281+'LBP NO. 2'!J210+'LBP NO. 2'!J144+'LBP NO. 2'!J71)</f>
        <v>86648243.209999993</v>
      </c>
      <c r="I237" s="728">
        <f>SUM(I198+I53+'LBP NO. 2'!K1029+'LBP NO. 2'!K952+'LBP NO. 2'!K890+'LBP NO. 2'!K828+'LBP NO. 2'!K759+'LBP NO. 2'!K691+'LBP NO. 2'!K618+'LBP NO. 2'!K553+'LBP NO. 2'!K489+'LBP NO. 2'!K419+'LBP NO. 2'!K349+'LBP NO. 2'!K281+'LBP NO. 2'!K210+'LBP NO. 2'!K144+'LBP NO. 2'!K71)</f>
        <v>171575486.39000002</v>
      </c>
      <c r="J237" s="728">
        <f>SUM(J198+J53+'LBP NO. 2'!L1029+'LBP NO. 2'!L952+'LBP NO. 2'!L890+'LBP NO. 2'!L828+'LBP NO. 2'!L759+'LBP NO. 2'!L691+'LBP NO. 2'!L618+'LBP NO. 2'!L553+'LBP NO. 2'!L489+'LBP NO. 2'!L419+'LBP NO. 2'!L349+'LBP NO. 2'!L281+'LBP NO. 2'!L210+'LBP NO. 2'!L144+'LBP NO. 2'!L71)</f>
        <v>258219685.60000002</v>
      </c>
      <c r="K237" s="728">
        <f>SUM(K198+K53+'LBP NO. 2'!M1029+'LBP NO. 2'!M952+'LBP NO. 2'!M890+'LBP NO. 2'!M828+'LBP NO. 2'!M759+'LBP NO. 2'!M691+'LBP NO. 2'!M618+'LBP NO. 2'!M553+'LBP NO. 2'!M489+'LBP NO. 2'!M419+'LBP NO. 2'!M349+'LBP NO. 2'!M281+'LBP NO. 2'!M210+'LBP NO. 2'!M144+'LBP NO. 2'!M71)</f>
        <v>211971819.77000001</v>
      </c>
      <c r="L237" s="708"/>
    </row>
    <row r="238" spans="3:12" ht="15" customHeight="1">
      <c r="G238" s="708">
        <f>G237-G200</f>
        <v>12086298.329999983</v>
      </c>
      <c r="H238" s="708">
        <f>H237-H200</f>
        <v>3511166.7900000066</v>
      </c>
      <c r="I238" s="708">
        <f>I237-I200</f>
        <v>5113833.2099999785</v>
      </c>
      <c r="J238" s="708">
        <f>J237-J200</f>
        <v>8625000</v>
      </c>
      <c r="K238" s="708">
        <f>K237-K200</f>
        <v>8845467</v>
      </c>
      <c r="L238" s="983"/>
    </row>
    <row r="239" spans="3:12">
      <c r="G239" s="1" t="s">
        <v>891</v>
      </c>
      <c r="H239" s="1" t="s">
        <v>891</v>
      </c>
      <c r="J239" s="1" t="s">
        <v>891</v>
      </c>
      <c r="K239" s="1" t="s">
        <v>891</v>
      </c>
    </row>
    <row r="240" spans="3:12">
      <c r="C240" s="987" t="s">
        <v>267</v>
      </c>
      <c r="D240" s="987"/>
      <c r="E240" s="987"/>
      <c r="F240" s="987"/>
      <c r="G240" s="729">
        <f>'LBP NO. 2'!I1029</f>
        <v>12086298.330000002</v>
      </c>
      <c r="H240" s="729">
        <f>'LBP NO. 2'!J1029</f>
        <v>3511166.79</v>
      </c>
      <c r="I240" s="729">
        <f>'LBP NO. 2'!K1029</f>
        <v>5113833.21</v>
      </c>
      <c r="J240" s="729">
        <f>'LBP NO. 2'!L1029</f>
        <v>8625000</v>
      </c>
      <c r="K240" s="729">
        <f>'LBP NO. 2'!M1029</f>
        <v>8845467</v>
      </c>
    </row>
    <row r="241" spans="7:11" ht="15" customHeight="1">
      <c r="G241" s="708"/>
    </row>
    <row r="242" spans="7:11" ht="15" customHeight="1">
      <c r="G242" s="708">
        <f>G240+G237</f>
        <v>196558373.29999998</v>
      </c>
      <c r="I242" s="708"/>
      <c r="K242" s="708">
        <f>K237+11136316</f>
        <v>223108135.77000001</v>
      </c>
    </row>
    <row r="243" spans="7:11" ht="15" customHeight="1"/>
    <row r="244" spans="7:11" ht="15" customHeight="1">
      <c r="G244" s="730"/>
    </row>
    <row r="245" spans="7:11" s="730" customFormat="1" ht="15" customHeight="1">
      <c r="G245" s="730">
        <f>123395619.78+10210922.66</f>
        <v>133606542.44</v>
      </c>
      <c r="H245" s="730">
        <f>51581180.59+4965293.34</f>
        <v>56546473.930000007</v>
      </c>
      <c r="J245" s="730">
        <f>146336929.48+11484951</f>
        <v>157821880.47999999</v>
      </c>
      <c r="K245" s="730">
        <f>164303975.25+12544271</f>
        <v>176848246.25</v>
      </c>
    </row>
    <row r="246" spans="7:11" ht="15" customHeight="1">
      <c r="G246" s="708">
        <f>G237-G245</f>
        <v>50865532.529999971</v>
      </c>
      <c r="H246" s="708">
        <f t="shared" ref="H246:J246" si="11">H237-H245</f>
        <v>30101769.279999986</v>
      </c>
      <c r="I246" s="708">
        <f t="shared" si="11"/>
        <v>171575486.39000002</v>
      </c>
      <c r="J246" s="708">
        <f t="shared" si="11"/>
        <v>100397805.12000003</v>
      </c>
      <c r="K246" s="708">
        <f>K237-K245</f>
        <v>35123573.520000011</v>
      </c>
    </row>
    <row r="247" spans="7:11" ht="15" customHeight="1">
      <c r="K247" s="708"/>
    </row>
    <row r="248" spans="7:11" ht="15" customHeight="1">
      <c r="H248" s="1" t="s">
        <v>891</v>
      </c>
    </row>
    <row r="249" spans="7:11" ht="15" customHeight="1">
      <c r="G249" s="730">
        <v>145366136.61000001</v>
      </c>
      <c r="H249" s="730">
        <v>67622960.769999996</v>
      </c>
      <c r="I249" s="730">
        <f>191561271.2-H249</f>
        <v>123938310.42999999</v>
      </c>
      <c r="J249" s="730">
        <v>191561271.19999999</v>
      </c>
      <c r="K249" s="730">
        <v>185905498</v>
      </c>
    </row>
    <row r="250" spans="7:11" ht="15" customHeight="1">
      <c r="G250" s="708">
        <f>G237-G249</f>
        <v>39105938.359999955</v>
      </c>
      <c r="H250" s="708">
        <f t="shared" ref="H250:J250" si="12">H237-H249</f>
        <v>19025282.439999998</v>
      </c>
      <c r="I250" s="708">
        <f t="shared" si="12"/>
        <v>47637175.960000023</v>
      </c>
      <c r="J250" s="708">
        <f t="shared" si="12"/>
        <v>66658414.400000036</v>
      </c>
      <c r="K250" s="708">
        <f>K237-K249</f>
        <v>26066321.770000011</v>
      </c>
    </row>
    <row r="251" spans="7:11" ht="15" customHeight="1"/>
    <row r="252" spans="7:11" ht="15" customHeight="1">
      <c r="I252" s="708"/>
    </row>
    <row r="253" spans="7:11" ht="15" customHeight="1">
      <c r="K253" s="1">
        <f>14488237</f>
        <v>14488237</v>
      </c>
    </row>
    <row r="254" spans="7:11" ht="15" customHeight="1">
      <c r="K254" s="1">
        <v>26423145</v>
      </c>
    </row>
    <row r="255" spans="7:11" ht="15" customHeight="1">
      <c r="K255" s="1">
        <v>2638860</v>
      </c>
    </row>
    <row r="256" spans="7:11" ht="15" customHeight="1">
      <c r="K256" s="1">
        <v>2782511</v>
      </c>
    </row>
    <row r="257" spans="11:11" ht="15" customHeight="1">
      <c r="K257" s="1">
        <v>2610789</v>
      </c>
    </row>
    <row r="258" spans="11:11" ht="15" customHeight="1">
      <c r="K258" s="1">
        <v>4001076</v>
      </c>
    </row>
    <row r="259" spans="11:11" ht="15" customHeight="1">
      <c r="K259" s="1">
        <v>6378373</v>
      </c>
    </row>
    <row r="260" spans="11:11" ht="15" customHeight="1">
      <c r="K260" s="1">
        <v>3411361</v>
      </c>
    </row>
    <row r="261" spans="11:11" ht="15" customHeight="1">
      <c r="K261" s="1">
        <v>2521932</v>
      </c>
    </row>
    <row r="262" spans="11:11" ht="15" customHeight="1">
      <c r="K262" s="1">
        <v>10780864.800000001</v>
      </c>
    </row>
    <row r="263" spans="11:11" ht="15" customHeight="1">
      <c r="K263" s="1">
        <v>7727375.2000000002</v>
      </c>
    </row>
    <row r="264" spans="11:11" ht="15" customHeight="1">
      <c r="K264" s="1">
        <v>16779041</v>
      </c>
    </row>
    <row r="265" spans="11:11" ht="15" customHeight="1">
      <c r="K265" s="1">
        <v>5769456</v>
      </c>
    </row>
    <row r="266" spans="11:11" ht="15" customHeight="1">
      <c r="K266" s="1">
        <v>1429842</v>
      </c>
    </row>
    <row r="267" spans="11:11" ht="15" customHeight="1">
      <c r="K267" s="1">
        <v>9360050</v>
      </c>
    </row>
    <row r="268" spans="11:11" ht="15" customHeight="1">
      <c r="K268" s="1">
        <v>84062151.769999996</v>
      </c>
    </row>
    <row r="269" spans="11:11">
      <c r="K269" s="730">
        <f>SUM(K253:K268)</f>
        <v>201165064.76999998</v>
      </c>
    </row>
    <row r="271" spans="11:11">
      <c r="K271" s="708">
        <f>K269-K237</f>
        <v>-10806755.00000003</v>
      </c>
    </row>
  </sheetData>
  <sheetProtection algorithmName="SHA-512" hashValue="LP0yhUt+JXn2ul5kiX77nrkXaWWPobU7wS7rk3orRo1U6zVkMnD3//G0n4d1HdyiUT86u8moiTzx9mVNwB5UTA==" saltValue="wAuOFaH5+NaerYYxQOT3Mg==" spinCount="100000" sheet="1" objects="1" scenarios="1"/>
  <mergeCells count="66">
    <mergeCell ref="A211:K211"/>
    <mergeCell ref="A15:K15"/>
    <mergeCell ref="H16:J16"/>
    <mergeCell ref="H96:J96"/>
    <mergeCell ref="A95:K95"/>
    <mergeCell ref="C18:E18"/>
    <mergeCell ref="C20:E20"/>
    <mergeCell ref="C179:E179"/>
    <mergeCell ref="C180:E180"/>
    <mergeCell ref="C181:E181"/>
    <mergeCell ref="A202:K202"/>
    <mergeCell ref="C175:E175"/>
    <mergeCell ref="C189:E189"/>
    <mergeCell ref="C190:E190"/>
    <mergeCell ref="C191:E191"/>
    <mergeCell ref="C192:E192"/>
    <mergeCell ref="C176:E176"/>
    <mergeCell ref="C182:E182"/>
    <mergeCell ref="C194:E194"/>
    <mergeCell ref="C195:E195"/>
    <mergeCell ref="C177:E177"/>
    <mergeCell ref="C178:E178"/>
    <mergeCell ref="C183:E183"/>
    <mergeCell ref="C193:E193"/>
    <mergeCell ref="C186:E186"/>
    <mergeCell ref="C187:E187"/>
    <mergeCell ref="C188:E188"/>
    <mergeCell ref="C184:E184"/>
    <mergeCell ref="C185:E185"/>
    <mergeCell ref="C138:E138"/>
    <mergeCell ref="C142:E142"/>
    <mergeCell ref="C143:E143"/>
    <mergeCell ref="C144:E144"/>
    <mergeCell ref="C172:E172"/>
    <mergeCell ref="C171:E171"/>
    <mergeCell ref="A162:K162"/>
    <mergeCell ref="A149:K149"/>
    <mergeCell ref="A151:K151"/>
    <mergeCell ref="H167:J167"/>
    <mergeCell ref="C169:E169"/>
    <mergeCell ref="A155:K155"/>
    <mergeCell ref="A156:K156"/>
    <mergeCell ref="A157:K157"/>
    <mergeCell ref="A158:K158"/>
    <mergeCell ref="A161:K161"/>
    <mergeCell ref="A2:K2"/>
    <mergeCell ref="A3:K3"/>
    <mergeCell ref="A4:K4"/>
    <mergeCell ref="A5:K5"/>
    <mergeCell ref="A8:K8"/>
    <mergeCell ref="A207:K207"/>
    <mergeCell ref="A9:K9"/>
    <mergeCell ref="A55:K55"/>
    <mergeCell ref="A69:K69"/>
    <mergeCell ref="A83:K83"/>
    <mergeCell ref="A84:K84"/>
    <mergeCell ref="C100:E100"/>
    <mergeCell ref="C98:E98"/>
    <mergeCell ref="A85:K85"/>
    <mergeCell ref="A86:K86"/>
    <mergeCell ref="A90:K90"/>
    <mergeCell ref="A91:K91"/>
    <mergeCell ref="C140:E140"/>
    <mergeCell ref="C174:E174"/>
    <mergeCell ref="C135:E135"/>
    <mergeCell ref="C137:E137"/>
  </mergeCells>
  <printOptions horizontalCentered="1"/>
  <pageMargins left="0" right="0" top="0.5" bottom="0.25" header="0.5" footer="0"/>
  <pageSetup paperSize="14" scale="72" orientation="portrait" r:id="rId1"/>
  <headerFooter alignWithMargins="0">
    <oddFooter xml:space="preserve">&amp;C&amp;"Times New Roman,Bold"&amp;14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52" workbookViewId="0">
      <selection activeCell="A70" sqref="A70"/>
    </sheetView>
  </sheetViews>
  <sheetFormatPr defaultRowHeight="15.75"/>
  <cols>
    <col min="1" max="1" width="2.28515625" style="1125" customWidth="1"/>
    <col min="2" max="2" width="1.140625" style="1125" customWidth="1"/>
    <col min="3" max="3" width="15.85546875" style="1125" customWidth="1"/>
    <col min="4" max="4" width="12.85546875" style="1125" customWidth="1"/>
    <col min="5" max="5" width="17.28515625" style="1125" customWidth="1"/>
    <col min="6" max="6" width="15.28515625" style="1125" customWidth="1"/>
    <col min="7" max="7" width="15.7109375" style="1125" customWidth="1"/>
    <col min="8" max="8" width="10.140625" style="1125" customWidth="1"/>
    <col min="9" max="9" width="13.7109375" style="1125" customWidth="1"/>
    <col min="10" max="10" width="14.7109375" style="1125" customWidth="1"/>
    <col min="11" max="16384" width="9.140625" style="1125"/>
  </cols>
  <sheetData>
    <row r="1" spans="1:16" s="174" customFormat="1">
      <c r="A1" s="1520" t="s">
        <v>861</v>
      </c>
      <c r="B1" s="1520"/>
      <c r="C1" s="1520"/>
      <c r="D1" s="1520"/>
      <c r="E1" s="1520"/>
      <c r="F1" s="1520"/>
      <c r="G1" s="1520"/>
      <c r="H1" s="1520"/>
      <c r="I1" s="1520"/>
      <c r="J1" s="1520"/>
      <c r="K1" s="1340"/>
      <c r="L1" s="1340"/>
      <c r="M1" s="1340"/>
      <c r="N1" s="1340"/>
      <c r="O1" s="1340"/>
      <c r="P1" s="1340"/>
    </row>
    <row r="2" spans="1:16" s="174" customFormat="1">
      <c r="A2" s="1520" t="s">
        <v>174</v>
      </c>
      <c r="B2" s="1520"/>
      <c r="C2" s="1520"/>
      <c r="D2" s="1520"/>
      <c r="E2" s="1520"/>
      <c r="F2" s="1520"/>
      <c r="G2" s="1520"/>
      <c r="H2" s="1520"/>
      <c r="I2" s="1520"/>
      <c r="J2" s="1520"/>
      <c r="K2" s="1340"/>
      <c r="L2" s="1340"/>
      <c r="M2" s="1340"/>
      <c r="N2" s="1340"/>
      <c r="O2" s="1340"/>
      <c r="P2" s="1340"/>
    </row>
    <row r="3" spans="1:16" s="174" customFormat="1">
      <c r="A3" s="1520" t="s">
        <v>1780</v>
      </c>
      <c r="B3" s="1520"/>
      <c r="C3" s="1520"/>
      <c r="D3" s="1520"/>
      <c r="E3" s="1520"/>
      <c r="F3" s="1520"/>
      <c r="G3" s="1520"/>
      <c r="H3" s="1520"/>
      <c r="I3" s="1520"/>
      <c r="J3" s="1520"/>
      <c r="K3" s="1340"/>
      <c r="L3" s="1340"/>
      <c r="M3" s="1340"/>
      <c r="N3" s="1340"/>
      <c r="O3" s="1340"/>
      <c r="P3" s="1340"/>
    </row>
    <row r="4" spans="1:16" s="174" customFormat="1">
      <c r="A4" s="1520"/>
      <c r="B4" s="1520"/>
      <c r="C4" s="1520"/>
      <c r="D4" s="1520"/>
      <c r="E4" s="1520"/>
      <c r="F4" s="1520"/>
      <c r="G4" s="1520"/>
      <c r="H4" s="1520"/>
      <c r="I4" s="1520"/>
      <c r="J4" s="1520"/>
      <c r="K4" s="1340"/>
      <c r="L4" s="1340"/>
      <c r="M4" s="1340"/>
      <c r="N4" s="1340"/>
      <c r="O4" s="1340"/>
      <c r="P4" s="1340"/>
    </row>
    <row r="5" spans="1:16" s="174" customFormat="1">
      <c r="A5" s="1219"/>
      <c r="B5" s="1219"/>
      <c r="C5" s="1219"/>
      <c r="D5" s="1219"/>
      <c r="E5" s="1219"/>
      <c r="F5" s="1219"/>
      <c r="G5" s="1219"/>
      <c r="H5" s="1219"/>
      <c r="I5" s="1219"/>
      <c r="J5" s="1219"/>
      <c r="K5" s="1219"/>
      <c r="L5" s="1219"/>
      <c r="M5" s="1219"/>
      <c r="N5" s="1219"/>
      <c r="O5" s="1219"/>
      <c r="P5" s="1340"/>
    </row>
    <row r="6" spans="1:16" s="174" customFormat="1">
      <c r="A6" s="1219"/>
      <c r="B6" s="1219"/>
      <c r="C6" s="1219"/>
      <c r="D6" s="1219"/>
      <c r="E6" s="1219"/>
      <c r="F6" s="1219"/>
      <c r="G6" s="1219"/>
      <c r="H6" s="1219"/>
      <c r="I6" s="1219"/>
      <c r="J6" s="1219"/>
      <c r="K6" s="1219"/>
      <c r="L6" s="1219"/>
      <c r="M6" s="1219"/>
      <c r="N6" s="1219"/>
      <c r="O6" s="1219"/>
      <c r="P6" s="1340"/>
    </row>
    <row r="7" spans="1:16" s="174" customFormat="1">
      <c r="A7" s="1219"/>
      <c r="B7" s="1219"/>
      <c r="C7" s="1219"/>
      <c r="D7" s="1219"/>
      <c r="E7" s="1219"/>
      <c r="F7" s="1219"/>
      <c r="G7" s="1219"/>
      <c r="H7" s="1219"/>
      <c r="I7" s="1219"/>
      <c r="J7" s="1219"/>
      <c r="K7" s="1219"/>
      <c r="L7" s="1219"/>
      <c r="M7" s="1219"/>
      <c r="N7" s="1219"/>
      <c r="O7" s="1219"/>
      <c r="P7" s="1340"/>
    </row>
    <row r="8" spans="1:16" s="174" customFormat="1" ht="18">
      <c r="A8" s="1437" t="s">
        <v>1781</v>
      </c>
      <c r="B8" s="1437"/>
      <c r="C8" s="1437"/>
      <c r="D8" s="1437"/>
      <c r="E8" s="1437"/>
      <c r="F8" s="1437"/>
      <c r="G8" s="1437"/>
      <c r="H8" s="1437"/>
      <c r="I8" s="1437"/>
      <c r="J8" s="1437"/>
      <c r="K8" s="177"/>
      <c r="L8" s="177"/>
      <c r="M8" s="177"/>
      <c r="N8" s="177"/>
      <c r="O8" s="177"/>
      <c r="P8" s="177"/>
    </row>
    <row r="9" spans="1:16" s="174" customFormat="1">
      <c r="A9" s="1341" t="s">
        <v>1867</v>
      </c>
      <c r="B9" s="1341"/>
      <c r="C9" s="1341"/>
      <c r="D9" s="1341"/>
      <c r="E9" s="1341"/>
      <c r="F9" s="1341"/>
      <c r="G9" s="1341"/>
      <c r="H9" s="1341"/>
      <c r="I9" s="1341"/>
      <c r="J9" s="1341"/>
      <c r="K9" s="1341"/>
      <c r="L9" s="1341"/>
      <c r="M9" s="1341"/>
      <c r="N9" s="1341"/>
      <c r="O9" s="1341"/>
      <c r="P9" s="1341"/>
    </row>
    <row r="10" spans="1:16" s="174" customFormat="1">
      <c r="A10" s="174" t="s">
        <v>1868</v>
      </c>
      <c r="I10" s="1219"/>
      <c r="N10" s="1342"/>
      <c r="O10" s="1342"/>
    </row>
    <row r="11" spans="1:16" s="174" customFormat="1">
      <c r="A11" s="174" t="s">
        <v>1811</v>
      </c>
      <c r="I11" s="1219"/>
      <c r="N11" s="1342"/>
      <c r="O11" s="1342"/>
    </row>
    <row r="12" spans="1:16" s="174" customFormat="1" ht="9.9499999999999993" customHeight="1">
      <c r="A12" s="1343" t="s">
        <v>1869</v>
      </c>
      <c r="I12" s="1219"/>
      <c r="N12" s="1342"/>
      <c r="O12" s="1342"/>
    </row>
    <row r="14" spans="1:16" s="1399" customFormat="1" ht="15.75" customHeight="1">
      <c r="A14" s="1398" t="s">
        <v>1902</v>
      </c>
      <c r="H14" s="1400"/>
      <c r="I14" s="1400"/>
      <c r="J14" s="1400"/>
      <c r="K14" s="1400"/>
      <c r="L14" s="1400"/>
      <c r="M14" s="1400"/>
      <c r="N14" s="1400"/>
      <c r="O14" s="1400"/>
      <c r="P14" s="1400"/>
    </row>
    <row r="16" spans="1:16">
      <c r="A16" s="1514" t="s">
        <v>1870</v>
      </c>
      <c r="B16" s="1515"/>
      <c r="C16" s="1515"/>
      <c r="D16" s="1344"/>
      <c r="E16" s="1344"/>
      <c r="F16" s="1345" t="s">
        <v>1871</v>
      </c>
      <c r="G16" s="1518" t="s">
        <v>271</v>
      </c>
      <c r="H16" s="1346" t="s">
        <v>1872</v>
      </c>
      <c r="I16" s="1515" t="s">
        <v>272</v>
      </c>
      <c r="J16" s="1518" t="s">
        <v>15</v>
      </c>
    </row>
    <row r="17" spans="1:10">
      <c r="A17" s="1516"/>
      <c r="B17" s="1517"/>
      <c r="C17" s="1517"/>
      <c r="D17" s="1347"/>
      <c r="E17" s="1347"/>
      <c r="F17" s="1348" t="s">
        <v>1873</v>
      </c>
      <c r="G17" s="1519"/>
      <c r="H17" s="1349" t="s">
        <v>1874</v>
      </c>
      <c r="I17" s="1517"/>
      <c r="J17" s="1519"/>
    </row>
    <row r="18" spans="1:10">
      <c r="A18" s="1350" t="s">
        <v>1875</v>
      </c>
      <c r="B18" s="1179" t="s">
        <v>1876</v>
      </c>
      <c r="C18" s="1179" t="s">
        <v>286</v>
      </c>
      <c r="D18" s="1179"/>
      <c r="E18" s="1179"/>
      <c r="F18" s="1351">
        <f>'LBP NO. 2'!$M$46</f>
        <v>11326482</v>
      </c>
      <c r="G18" s="1352">
        <f>'LBP NO. 2'!$M$59</f>
        <v>3200601</v>
      </c>
      <c r="H18" s="1351">
        <v>0</v>
      </c>
      <c r="I18" s="1352">
        <f>'LBP NO. 2'!$M$69</f>
        <v>1900000</v>
      </c>
      <c r="J18" s="1351">
        <f>SUM(F18:I18)</f>
        <v>16427083</v>
      </c>
    </row>
    <row r="19" spans="1:10">
      <c r="A19" s="1350" t="s">
        <v>1877</v>
      </c>
      <c r="B19" s="1179" t="s">
        <v>1876</v>
      </c>
      <c r="C19" s="1179" t="s">
        <v>292</v>
      </c>
      <c r="D19" s="1179"/>
      <c r="E19" s="1179"/>
      <c r="F19" s="1351">
        <f>'LBP NO. 2'!$M$118</f>
        <v>19701187</v>
      </c>
      <c r="G19" s="1352">
        <f>'LBP NO. 2'!$M$134</f>
        <v>6806400</v>
      </c>
      <c r="H19" s="1351">
        <v>0</v>
      </c>
      <c r="I19" s="1352">
        <v>0</v>
      </c>
      <c r="J19" s="1351">
        <f t="shared" ref="J19:J34" si="0">SUM(F19:I19)</f>
        <v>26507587</v>
      </c>
    </row>
    <row r="20" spans="1:10">
      <c r="A20" s="1350" t="s">
        <v>1878</v>
      </c>
      <c r="B20" s="1179" t="s">
        <v>1876</v>
      </c>
      <c r="C20" s="1179" t="s">
        <v>293</v>
      </c>
      <c r="D20" s="1179"/>
      <c r="E20" s="1179"/>
      <c r="F20" s="1351">
        <f>'LBP NO. 2'!$M$194</f>
        <v>2112273</v>
      </c>
      <c r="G20" s="1352">
        <f>'LBP NO. 2'!$M$203</f>
        <v>526587</v>
      </c>
      <c r="H20" s="1351">
        <v>0</v>
      </c>
      <c r="I20" s="1352">
        <v>0</v>
      </c>
      <c r="J20" s="1351">
        <f t="shared" si="0"/>
        <v>2638860</v>
      </c>
    </row>
    <row r="21" spans="1:10">
      <c r="A21" s="1350" t="s">
        <v>1879</v>
      </c>
      <c r="B21" s="1179" t="s">
        <v>1876</v>
      </c>
      <c r="C21" s="1179" t="s">
        <v>305</v>
      </c>
      <c r="D21" s="1179"/>
      <c r="E21" s="1179"/>
      <c r="F21" s="1351">
        <f>'LBP NO. 2'!$M$264</f>
        <v>2563261</v>
      </c>
      <c r="G21" s="1352">
        <f>'LBP NO. 2'!$M$274</f>
        <v>219250</v>
      </c>
      <c r="H21" s="1351">
        <v>0</v>
      </c>
      <c r="I21" s="1352">
        <v>0</v>
      </c>
      <c r="J21" s="1351">
        <f t="shared" si="0"/>
        <v>2782511</v>
      </c>
    </row>
    <row r="22" spans="1:10">
      <c r="A22" s="1350" t="s">
        <v>1880</v>
      </c>
      <c r="B22" s="1179" t="s">
        <v>1876</v>
      </c>
      <c r="C22" s="1179" t="s">
        <v>306</v>
      </c>
      <c r="D22" s="1179"/>
      <c r="E22" s="1179"/>
      <c r="F22" s="1351">
        <f>'LBP NO. 2'!$M$333</f>
        <v>2282789</v>
      </c>
      <c r="G22" s="1352">
        <f>'LBP NO. 2'!$M$342</f>
        <v>328000</v>
      </c>
      <c r="H22" s="1351">
        <v>0</v>
      </c>
      <c r="I22" s="1352">
        <v>0</v>
      </c>
      <c r="J22" s="1351">
        <f t="shared" si="0"/>
        <v>2610789</v>
      </c>
    </row>
    <row r="23" spans="1:10">
      <c r="A23" s="1350" t="s">
        <v>1881</v>
      </c>
      <c r="B23" s="1179" t="s">
        <v>1876</v>
      </c>
      <c r="C23" s="1179" t="s">
        <v>307</v>
      </c>
      <c r="D23" s="1179"/>
      <c r="E23" s="1179"/>
      <c r="F23" s="1351">
        <f>'LBP NO. 2'!$M$402</f>
        <v>3427261</v>
      </c>
      <c r="G23" s="1352">
        <f>'LBP NO. 2'!$M$411</f>
        <v>573815</v>
      </c>
      <c r="H23" s="1351">
        <v>0</v>
      </c>
      <c r="I23" s="1352">
        <v>0</v>
      </c>
      <c r="J23" s="1351">
        <f t="shared" si="0"/>
        <v>4001076</v>
      </c>
    </row>
    <row r="24" spans="1:10">
      <c r="A24" s="1350" t="s">
        <v>1882</v>
      </c>
      <c r="B24" s="1179" t="s">
        <v>1876</v>
      </c>
      <c r="C24" s="1179" t="s">
        <v>308</v>
      </c>
      <c r="D24" s="1179"/>
      <c r="E24" s="1179"/>
      <c r="F24" s="1351">
        <f>'LBP NO. 2'!$M$469</f>
        <v>5302373</v>
      </c>
      <c r="G24" s="1352">
        <f>'LBP NO. 2'!$M$481</f>
        <v>1076000</v>
      </c>
      <c r="H24" s="1351">
        <v>0</v>
      </c>
      <c r="I24" s="1352">
        <v>0</v>
      </c>
      <c r="J24" s="1351">
        <f t="shared" si="0"/>
        <v>6378373</v>
      </c>
    </row>
    <row r="25" spans="1:10">
      <c r="A25" s="1350" t="s">
        <v>1883</v>
      </c>
      <c r="B25" s="1179" t="s">
        <v>1876</v>
      </c>
      <c r="C25" s="1179" t="s">
        <v>309</v>
      </c>
      <c r="D25" s="1179"/>
      <c r="E25" s="1179"/>
      <c r="F25" s="1351">
        <f>'LBP NO. 2'!$M$535</f>
        <v>2967861</v>
      </c>
      <c r="G25" s="1352">
        <f>'LBP NO. 2'!$M$545</f>
        <v>443500</v>
      </c>
      <c r="H25" s="1351">
        <v>0</v>
      </c>
      <c r="I25" s="1352">
        <v>0</v>
      </c>
      <c r="J25" s="1351">
        <f t="shared" si="0"/>
        <v>3411361</v>
      </c>
    </row>
    <row r="26" spans="1:10">
      <c r="A26" s="1350" t="s">
        <v>1884</v>
      </c>
      <c r="B26" s="1179" t="s">
        <v>1876</v>
      </c>
      <c r="C26" s="1179" t="s">
        <v>310</v>
      </c>
      <c r="D26" s="1179"/>
      <c r="E26" s="1179"/>
      <c r="F26" s="1351">
        <f>'LBP NO. 2'!$M$600</f>
        <v>2287932</v>
      </c>
      <c r="G26" s="1352">
        <f>'LBP NO. 2'!$M$610</f>
        <v>234000</v>
      </c>
      <c r="H26" s="1351">
        <v>0</v>
      </c>
      <c r="I26" s="1352">
        <v>0</v>
      </c>
      <c r="J26" s="1351">
        <f t="shared" si="0"/>
        <v>2521932</v>
      </c>
    </row>
    <row r="27" spans="1:10">
      <c r="A27" s="1350" t="s">
        <v>1885</v>
      </c>
      <c r="B27" s="1179" t="s">
        <v>1876</v>
      </c>
      <c r="C27" s="1179" t="s">
        <v>311</v>
      </c>
      <c r="D27" s="1179"/>
      <c r="E27" s="1179"/>
      <c r="F27" s="1351">
        <f>'LBP NO. 2'!$M$671</f>
        <v>4777824.8</v>
      </c>
      <c r="G27" s="1352">
        <f>'LBP NO. 2'!$M$683</f>
        <v>6003040</v>
      </c>
      <c r="H27" s="1351">
        <v>0</v>
      </c>
      <c r="I27" s="1352">
        <v>0</v>
      </c>
      <c r="J27" s="1351">
        <f t="shared" si="0"/>
        <v>10780864.800000001</v>
      </c>
    </row>
    <row r="28" spans="1:10">
      <c r="A28" s="1350" t="s">
        <v>1886</v>
      </c>
      <c r="B28" s="1179" t="s">
        <v>1876</v>
      </c>
      <c r="C28" s="1179" t="s">
        <v>312</v>
      </c>
      <c r="D28" s="1179"/>
      <c r="E28" s="1179"/>
      <c r="F28" s="1351">
        <f>'LBP NO. 2'!$M$739</f>
        <v>4450443</v>
      </c>
      <c r="G28" s="1352">
        <f>'LBP NO. 2'!$M$751</f>
        <v>3276932.2</v>
      </c>
      <c r="H28" s="1351">
        <v>0</v>
      </c>
      <c r="I28" s="1352">
        <v>0</v>
      </c>
      <c r="J28" s="1351">
        <f t="shared" si="0"/>
        <v>7727375.2000000002</v>
      </c>
    </row>
    <row r="29" spans="1:10">
      <c r="A29" s="1350" t="s">
        <v>1887</v>
      </c>
      <c r="B29" s="1179" t="s">
        <v>1876</v>
      </c>
      <c r="C29" s="1179" t="s">
        <v>313</v>
      </c>
      <c r="D29" s="1179"/>
      <c r="E29" s="1179"/>
      <c r="F29" s="1351">
        <f>'LBP NO. 2'!$M$809</f>
        <v>10597484</v>
      </c>
      <c r="G29" s="1352">
        <f>'LBP NO. 2'!$M$821</f>
        <v>6181557</v>
      </c>
      <c r="H29" s="1351">
        <v>0</v>
      </c>
      <c r="I29" s="1352">
        <v>0</v>
      </c>
      <c r="J29" s="1351">
        <f t="shared" si="0"/>
        <v>16779041</v>
      </c>
    </row>
    <row r="30" spans="1:10">
      <c r="A30" s="1350" t="s">
        <v>1888</v>
      </c>
      <c r="B30" s="1179" t="s">
        <v>1876</v>
      </c>
      <c r="C30" s="1179" t="s">
        <v>314</v>
      </c>
      <c r="D30" s="1179"/>
      <c r="E30" s="1179"/>
      <c r="F30" s="1351">
        <f>'LBP NO. 2'!$M$874</f>
        <v>4021567</v>
      </c>
      <c r="G30" s="1352">
        <f>'LBP NO. 2'!$M$883</f>
        <v>1747889</v>
      </c>
      <c r="H30" s="1351">
        <v>0</v>
      </c>
      <c r="I30" s="1352">
        <v>0</v>
      </c>
      <c r="J30" s="1351">
        <f t="shared" si="0"/>
        <v>5769456</v>
      </c>
    </row>
    <row r="31" spans="1:10">
      <c r="A31" s="1350" t="s">
        <v>1889</v>
      </c>
      <c r="B31" s="1179" t="s">
        <v>1876</v>
      </c>
      <c r="C31" s="1179" t="s">
        <v>316</v>
      </c>
      <c r="D31" s="1179"/>
      <c r="E31" s="1179"/>
      <c r="F31" s="1351">
        <f>'LBP NO. 2'!$M$936</f>
        <v>1090842</v>
      </c>
      <c r="G31" s="1352">
        <f>'LBP NO. 2'!$M$945</f>
        <v>339000</v>
      </c>
      <c r="H31" s="1351">
        <v>0</v>
      </c>
      <c r="I31" s="1352">
        <v>0</v>
      </c>
      <c r="J31" s="1351">
        <f t="shared" si="0"/>
        <v>1429842</v>
      </c>
    </row>
    <row r="32" spans="1:10">
      <c r="A32" s="1350" t="s">
        <v>1890</v>
      </c>
      <c r="B32" s="1179" t="s">
        <v>1876</v>
      </c>
      <c r="C32" s="1179" t="s">
        <v>1891</v>
      </c>
      <c r="D32" s="1179"/>
      <c r="E32" s="1179"/>
      <c r="F32" s="1351">
        <v>0</v>
      </c>
      <c r="G32" s="1351">
        <f>'LBP NO. 2a'!K53+'LBP NO. 2a'!K198-G34</f>
        <v>83203729.219999999</v>
      </c>
      <c r="H32" s="1351">
        <v>0</v>
      </c>
      <c r="I32" s="1352">
        <v>0</v>
      </c>
      <c r="J32" s="1351">
        <f>SUM(G32:I32)</f>
        <v>83203729.219999999</v>
      </c>
    </row>
    <row r="33" spans="1:10">
      <c r="A33" s="1350" t="s">
        <v>1892</v>
      </c>
      <c r="B33" s="1179" t="s">
        <v>1876</v>
      </c>
      <c r="C33" s="1179" t="s">
        <v>1893</v>
      </c>
      <c r="D33" s="1179"/>
      <c r="E33" s="1179"/>
      <c r="F33" s="1351">
        <f>'LBP NO. 2'!$M$1006</f>
        <v>7607467</v>
      </c>
      <c r="G33" s="1352">
        <f>'LBP NO. 2'!$M$1019</f>
        <v>1138000</v>
      </c>
      <c r="H33" s="1351">
        <v>0</v>
      </c>
      <c r="I33" s="1352">
        <f>'LBP NO. 2'!$M$1026</f>
        <v>100000</v>
      </c>
      <c r="J33" s="1351">
        <f t="shared" si="0"/>
        <v>8845467</v>
      </c>
    </row>
    <row r="34" spans="1:10">
      <c r="A34" s="1350" t="s">
        <v>1894</v>
      </c>
      <c r="B34" s="1179" t="s">
        <v>1876</v>
      </c>
      <c r="C34" s="1179" t="s">
        <v>1895</v>
      </c>
      <c r="D34" s="1179"/>
      <c r="E34" s="1179"/>
      <c r="F34" s="1351">
        <v>0</v>
      </c>
      <c r="G34" s="1353">
        <f>'LBP NO. 2a'!K103</f>
        <v>10156472.550000001</v>
      </c>
      <c r="H34" s="1351">
        <v>0</v>
      </c>
      <c r="I34" s="1352">
        <v>0</v>
      </c>
      <c r="J34" s="1351">
        <f t="shared" si="0"/>
        <v>10156472.550000001</v>
      </c>
    </row>
    <row r="35" spans="1:10">
      <c r="A35" s="1350"/>
      <c r="B35" s="1179"/>
      <c r="C35" s="1179"/>
      <c r="D35" s="1179"/>
      <c r="E35" s="1179"/>
      <c r="F35" s="1351"/>
      <c r="G35" s="1352"/>
      <c r="H35" s="1351"/>
      <c r="I35" s="1352"/>
      <c r="J35" s="1351"/>
    </row>
    <row r="36" spans="1:10" s="1135" customFormat="1">
      <c r="A36" s="1354" t="s">
        <v>373</v>
      </c>
      <c r="B36" s="1355"/>
      <c r="C36" s="1356"/>
      <c r="D36" s="1354"/>
      <c r="E36" s="1356"/>
      <c r="F36" s="1357">
        <f>SUM(F18:F35)</f>
        <v>84517046.799999997</v>
      </c>
      <c r="G36" s="1357">
        <f>SUM(G18:G35)</f>
        <v>125454772.97</v>
      </c>
      <c r="H36" s="1357">
        <f>SUM(H18:H35)</f>
        <v>0</v>
      </c>
      <c r="I36" s="1357">
        <f>SUM(I18:I35)</f>
        <v>2000000</v>
      </c>
      <c r="J36" s="1357">
        <f>SUM(J18:J35)</f>
        <v>211971819.77000001</v>
      </c>
    </row>
    <row r="37" spans="1:10">
      <c r="F37" s="1190"/>
      <c r="G37" s="1190"/>
      <c r="H37" s="1190"/>
      <c r="I37" s="1190"/>
      <c r="J37" s="1190"/>
    </row>
    <row r="38" spans="1:10" ht="15.75" customHeight="1">
      <c r="A38" s="1523" t="s">
        <v>1896</v>
      </c>
      <c r="B38" s="1523"/>
      <c r="C38" s="1523"/>
      <c r="D38" s="1523"/>
      <c r="E38" s="1523"/>
      <c r="F38" s="1523"/>
      <c r="G38" s="1523"/>
      <c r="H38" s="1523"/>
      <c r="I38" s="1523"/>
      <c r="J38" s="1523"/>
    </row>
    <row r="39" spans="1:10">
      <c r="A39" s="1523"/>
      <c r="B39" s="1523"/>
      <c r="C39" s="1523"/>
      <c r="D39" s="1523"/>
      <c r="E39" s="1523"/>
      <c r="F39" s="1523"/>
      <c r="G39" s="1523"/>
      <c r="H39" s="1523"/>
      <c r="I39" s="1523"/>
      <c r="J39" s="1523"/>
    </row>
    <row r="40" spans="1:10">
      <c r="A40" s="1523"/>
      <c r="B40" s="1523"/>
      <c r="C40" s="1523"/>
      <c r="D40" s="1523"/>
      <c r="E40" s="1523"/>
      <c r="F40" s="1523"/>
      <c r="G40" s="1523"/>
      <c r="H40" s="1523"/>
      <c r="I40" s="1523"/>
      <c r="J40" s="1523"/>
    </row>
    <row r="41" spans="1:10">
      <c r="A41" s="1523"/>
      <c r="B41" s="1523"/>
      <c r="C41" s="1523"/>
      <c r="D41" s="1523"/>
      <c r="E41" s="1523"/>
      <c r="F41" s="1523"/>
      <c r="G41" s="1523"/>
      <c r="H41" s="1523"/>
      <c r="I41" s="1523"/>
      <c r="J41" s="1523"/>
    </row>
    <row r="42" spans="1:10">
      <c r="A42" s="1358"/>
      <c r="B42" s="1358"/>
      <c r="C42" s="1358"/>
      <c r="D42" s="1358"/>
      <c r="E42" s="1358"/>
      <c r="F42" s="1358"/>
      <c r="G42" s="1358"/>
      <c r="H42" s="1358"/>
      <c r="I42" s="1358"/>
      <c r="J42" s="1358"/>
    </row>
    <row r="43" spans="1:10" ht="15.75" customHeight="1">
      <c r="A43" s="1523" t="s">
        <v>1897</v>
      </c>
      <c r="B43" s="1523"/>
      <c r="C43" s="1523"/>
      <c r="D43" s="1523"/>
      <c r="E43" s="1523"/>
      <c r="F43" s="1523"/>
      <c r="G43" s="1523"/>
      <c r="H43" s="1523"/>
      <c r="I43" s="1523"/>
      <c r="J43" s="1523"/>
    </row>
    <row r="44" spans="1:10">
      <c r="A44" s="1523"/>
      <c r="B44" s="1523"/>
      <c r="C44" s="1523"/>
      <c r="D44" s="1523"/>
      <c r="E44" s="1523"/>
      <c r="F44" s="1523"/>
      <c r="G44" s="1523"/>
      <c r="H44" s="1523"/>
      <c r="I44" s="1523"/>
      <c r="J44" s="1523"/>
    </row>
    <row r="45" spans="1:10">
      <c r="A45" s="1523"/>
      <c r="B45" s="1523"/>
      <c r="C45" s="1523"/>
      <c r="D45" s="1523"/>
      <c r="E45" s="1523"/>
      <c r="F45" s="1523"/>
      <c r="G45" s="1523"/>
      <c r="H45" s="1523"/>
      <c r="I45" s="1523"/>
      <c r="J45" s="1523"/>
    </row>
    <row r="46" spans="1:10">
      <c r="A46" s="1359"/>
      <c r="B46" s="1359"/>
      <c r="C46" s="1359"/>
      <c r="D46" s="1359"/>
      <c r="E46" s="1359"/>
      <c r="F46" s="1359"/>
      <c r="G46" s="1359"/>
      <c r="H46" s="1359"/>
      <c r="I46" s="1359"/>
      <c r="J46" s="1359"/>
    </row>
    <row r="47" spans="1:10">
      <c r="A47" s="1523" t="s">
        <v>1898</v>
      </c>
      <c r="B47" s="1523"/>
      <c r="C47" s="1523"/>
      <c r="D47" s="1523"/>
      <c r="E47" s="1523"/>
      <c r="F47" s="1523"/>
      <c r="G47" s="1523"/>
      <c r="H47" s="1523"/>
      <c r="I47" s="1523"/>
      <c r="J47" s="1523"/>
    </row>
    <row r="48" spans="1:10">
      <c r="A48" s="1523"/>
      <c r="B48" s="1523"/>
      <c r="C48" s="1523"/>
      <c r="D48" s="1523"/>
      <c r="E48" s="1523"/>
      <c r="F48" s="1523"/>
      <c r="G48" s="1523"/>
      <c r="H48" s="1523"/>
      <c r="I48" s="1523"/>
      <c r="J48" s="1523"/>
    </row>
    <row r="49" spans="1:10">
      <c r="A49" s="1359"/>
      <c r="B49" s="1359"/>
      <c r="C49" s="1359"/>
      <c r="D49" s="1359"/>
      <c r="E49" s="1359"/>
      <c r="F49" s="1359"/>
      <c r="G49" s="1359"/>
      <c r="H49" s="1359"/>
      <c r="I49" s="1359"/>
      <c r="J49" s="1359"/>
    </row>
    <row r="50" spans="1:10">
      <c r="A50" s="1523" t="s">
        <v>1899</v>
      </c>
      <c r="B50" s="1523"/>
      <c r="C50" s="1523"/>
      <c r="D50" s="1523"/>
      <c r="E50" s="1523"/>
      <c r="F50" s="1523"/>
      <c r="G50" s="1523"/>
      <c r="H50" s="1523"/>
      <c r="I50" s="1523"/>
      <c r="J50" s="1523"/>
    </row>
    <row r="51" spans="1:10">
      <c r="A51" s="1523"/>
      <c r="B51" s="1523"/>
      <c r="C51" s="1523"/>
      <c r="D51" s="1523"/>
      <c r="E51" s="1523"/>
      <c r="F51" s="1523"/>
      <c r="G51" s="1523"/>
      <c r="H51" s="1523"/>
      <c r="I51" s="1523"/>
      <c r="J51" s="1523"/>
    </row>
    <row r="52" spans="1:10">
      <c r="A52" s="1359"/>
      <c r="B52" s="1359"/>
      <c r="C52" s="1359"/>
      <c r="D52" s="1359"/>
      <c r="E52" s="1359"/>
      <c r="F52" s="1359"/>
      <c r="G52" s="1359"/>
      <c r="H52" s="1359"/>
      <c r="I52" s="1359"/>
      <c r="J52" s="1359"/>
    </row>
    <row r="53" spans="1:10" ht="15" customHeight="1">
      <c r="A53" s="1523" t="s">
        <v>1900</v>
      </c>
      <c r="B53" s="1523"/>
      <c r="C53" s="1523"/>
      <c r="D53" s="1523"/>
      <c r="E53" s="1523"/>
      <c r="F53" s="1523"/>
      <c r="G53" s="1523"/>
      <c r="H53" s="1523"/>
      <c r="I53" s="1523"/>
      <c r="J53" s="1523"/>
    </row>
    <row r="54" spans="1:10">
      <c r="A54" s="1523"/>
      <c r="B54" s="1523"/>
      <c r="C54" s="1523"/>
      <c r="D54" s="1523"/>
      <c r="E54" s="1523"/>
      <c r="F54" s="1523"/>
      <c r="G54" s="1523"/>
      <c r="H54" s="1523"/>
      <c r="I54" s="1523"/>
      <c r="J54" s="1523"/>
    </row>
    <row r="55" spans="1:10">
      <c r="A55" s="1523"/>
      <c r="B55" s="1523"/>
      <c r="C55" s="1523"/>
      <c r="D55" s="1523"/>
      <c r="E55" s="1523"/>
      <c r="F55" s="1523"/>
      <c r="G55" s="1523"/>
      <c r="H55" s="1523"/>
      <c r="I55" s="1523"/>
      <c r="J55" s="1523"/>
    </row>
    <row r="56" spans="1:10">
      <c r="A56" s="1358"/>
      <c r="B56" s="1358"/>
      <c r="C56" s="1358"/>
      <c r="D56" s="1358"/>
      <c r="E56" s="1358"/>
      <c r="F56" s="1358"/>
      <c r="G56" s="1358"/>
      <c r="H56" s="1358"/>
      <c r="I56" s="1358"/>
      <c r="J56" s="1358"/>
    </row>
    <row r="57" spans="1:10">
      <c r="A57" s="1523" t="s">
        <v>1901</v>
      </c>
      <c r="B57" s="1523"/>
      <c r="C57" s="1523"/>
      <c r="D57" s="1523"/>
      <c r="E57" s="1523"/>
      <c r="F57" s="1523"/>
      <c r="G57" s="1523"/>
      <c r="H57" s="1523"/>
      <c r="I57" s="1523"/>
      <c r="J57" s="1523"/>
    </row>
    <row r="58" spans="1:10">
      <c r="A58" s="1523"/>
      <c r="B58" s="1523"/>
      <c r="C58" s="1523"/>
      <c r="D58" s="1523"/>
      <c r="E58" s="1523"/>
      <c r="F58" s="1523"/>
      <c r="G58" s="1523"/>
      <c r="H58" s="1523"/>
      <c r="I58" s="1523"/>
      <c r="J58" s="1523"/>
    </row>
    <row r="59" spans="1:10">
      <c r="A59" s="1359"/>
      <c r="B59" s="1359"/>
      <c r="C59" s="1359"/>
      <c r="D59" s="1359"/>
      <c r="E59" s="1359"/>
      <c r="F59" s="1359"/>
      <c r="G59" s="1359"/>
      <c r="H59" s="1359"/>
      <c r="I59" s="1359"/>
      <c r="J59" s="1359"/>
    </row>
    <row r="60" spans="1:10" ht="16.5" customHeight="1">
      <c r="A60" s="1521" t="s">
        <v>1796</v>
      </c>
      <c r="B60" s="1521"/>
      <c r="C60" s="1521"/>
      <c r="D60" s="1521"/>
      <c r="E60" s="1521"/>
      <c r="F60" s="1521"/>
      <c r="G60" s="1521"/>
      <c r="H60" s="1521"/>
      <c r="I60" s="1521"/>
      <c r="J60" s="1521"/>
    </row>
    <row r="61" spans="1:10">
      <c r="A61" s="1360"/>
      <c r="B61" s="1360"/>
      <c r="C61" s="1360"/>
      <c r="D61" s="1360"/>
      <c r="E61" s="1360"/>
      <c r="F61" s="1360"/>
      <c r="G61" s="1360"/>
      <c r="H61" s="1360"/>
      <c r="I61" s="1360"/>
      <c r="J61" s="1360"/>
    </row>
    <row r="62" spans="1:10">
      <c r="A62" s="1360"/>
      <c r="B62" s="1360"/>
      <c r="C62" s="1360"/>
      <c r="D62" s="1360"/>
      <c r="E62" s="1360"/>
      <c r="F62" s="1360"/>
      <c r="G62" s="1360"/>
      <c r="H62" s="1360"/>
      <c r="I62" s="1360"/>
      <c r="J62" s="1360"/>
    </row>
    <row r="63" spans="1:10">
      <c r="A63" s="1360"/>
      <c r="B63" s="1360"/>
      <c r="C63" s="1360"/>
      <c r="D63" s="1360"/>
      <c r="E63" s="1360"/>
      <c r="F63" s="1374"/>
      <c r="G63" s="1360"/>
      <c r="H63" s="1360"/>
      <c r="I63" s="1360"/>
      <c r="J63" s="1360"/>
    </row>
    <row r="64" spans="1:10">
      <c r="A64" s="1360"/>
      <c r="B64" s="1360"/>
      <c r="C64" s="1360"/>
      <c r="D64" s="1360"/>
      <c r="E64" s="1360"/>
      <c r="F64" s="1374"/>
      <c r="G64" s="1360"/>
      <c r="H64" s="1360"/>
      <c r="I64" s="1360"/>
      <c r="J64" s="1360"/>
    </row>
    <row r="65" spans="1:10">
      <c r="A65" s="1360"/>
      <c r="B65" s="1360"/>
      <c r="C65" s="1360"/>
      <c r="D65" s="1360"/>
      <c r="E65" s="1360"/>
      <c r="F65" s="1374"/>
      <c r="G65" s="1360"/>
      <c r="H65" s="1360"/>
      <c r="I65" s="1360"/>
      <c r="J65" s="1360"/>
    </row>
    <row r="66" spans="1:10">
      <c r="A66" s="1360"/>
      <c r="B66" s="1360"/>
      <c r="C66" s="1360"/>
      <c r="D66" s="1360"/>
      <c r="E66" s="1360"/>
      <c r="F66" s="1360"/>
      <c r="G66" s="1360"/>
      <c r="H66" s="1360"/>
      <c r="I66" s="1360"/>
      <c r="J66" s="1360"/>
    </row>
    <row r="67" spans="1:10">
      <c r="A67" s="1361"/>
      <c r="B67" s="1361"/>
      <c r="C67" s="1361"/>
      <c r="D67" s="1361"/>
      <c r="E67" s="1361"/>
      <c r="F67" s="1361"/>
      <c r="G67" s="1361"/>
      <c r="H67" s="1361"/>
      <c r="I67" s="1361"/>
      <c r="J67" s="1361"/>
    </row>
    <row r="68" spans="1:10">
      <c r="A68" s="1361"/>
      <c r="B68" s="1361"/>
      <c r="C68" s="1361"/>
      <c r="D68" s="1361"/>
      <c r="E68" s="1361"/>
      <c r="F68" s="1361"/>
      <c r="G68" s="1361"/>
      <c r="H68" s="1361"/>
      <c r="I68" s="1361"/>
      <c r="J68" s="1361"/>
    </row>
    <row r="69" spans="1:10" ht="23.25">
      <c r="A69" s="1522" t="s">
        <v>953</v>
      </c>
      <c r="B69" s="1522"/>
      <c r="C69" s="1522"/>
      <c r="D69" s="1522"/>
      <c r="E69" s="1522"/>
      <c r="F69" s="1522"/>
      <c r="G69" s="1522"/>
      <c r="H69" s="1522"/>
      <c r="I69" s="1522"/>
      <c r="J69" s="1522"/>
    </row>
    <row r="70" spans="1:10">
      <c r="A70" s="1361"/>
      <c r="B70" s="1361"/>
      <c r="C70" s="1361"/>
      <c r="D70" s="1361"/>
      <c r="E70" s="1361"/>
      <c r="F70" s="1361"/>
      <c r="G70" s="1361"/>
      <c r="H70" s="1361"/>
      <c r="I70" s="1361"/>
      <c r="J70" s="1361"/>
    </row>
    <row r="71" spans="1:10">
      <c r="A71" s="1361"/>
      <c r="B71" s="1361"/>
      <c r="C71" s="1361"/>
      <c r="D71" s="1361"/>
      <c r="E71" s="1361"/>
      <c r="F71" s="1361"/>
      <c r="G71" s="1361"/>
      <c r="H71" s="1361"/>
      <c r="I71" s="1361"/>
      <c r="J71" s="1361"/>
    </row>
    <row r="72" spans="1:10">
      <c r="A72" s="1361"/>
      <c r="B72" s="1361"/>
      <c r="C72" s="1361"/>
      <c r="D72" s="1361"/>
      <c r="E72" s="1361"/>
      <c r="F72" s="1361"/>
      <c r="G72" s="1361"/>
      <c r="H72" s="1361"/>
      <c r="I72" s="1361"/>
      <c r="J72" s="1361"/>
    </row>
  </sheetData>
  <mergeCells count="17">
    <mergeCell ref="A60:J60"/>
    <mergeCell ref="A69:J69"/>
    <mergeCell ref="A38:J41"/>
    <mergeCell ref="A43:J45"/>
    <mergeCell ref="A47:J48"/>
    <mergeCell ref="A50:J51"/>
    <mergeCell ref="A53:J55"/>
    <mergeCell ref="A57:J58"/>
    <mergeCell ref="A16:C17"/>
    <mergeCell ref="G16:G17"/>
    <mergeCell ref="I16:I17"/>
    <mergeCell ref="J16:J17"/>
    <mergeCell ref="A1:J1"/>
    <mergeCell ref="A2:J2"/>
    <mergeCell ref="A3:J3"/>
    <mergeCell ref="A4:J4"/>
    <mergeCell ref="A8:J8"/>
  </mergeCells>
  <printOptions horizontalCentered="1"/>
  <pageMargins left="0" right="0" top="0.75" bottom="0" header="0.3" footer="0.3"/>
  <pageSetup paperSize="14"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opLeftCell="A52" workbookViewId="0">
      <selection activeCell="A68" sqref="A68:K68"/>
    </sheetView>
  </sheetViews>
  <sheetFormatPr defaultRowHeight="15.75"/>
  <cols>
    <col min="1" max="1" width="2.28515625" style="1125" customWidth="1"/>
    <col min="2" max="2" width="1.140625" style="1125" customWidth="1"/>
    <col min="3" max="3" width="15.85546875" style="1125" customWidth="1"/>
    <col min="4" max="4" width="12.85546875" style="1125" customWidth="1"/>
    <col min="5" max="5" width="13.5703125" style="1125" customWidth="1"/>
    <col min="6" max="6" width="17.5703125" style="1125" customWidth="1"/>
    <col min="7" max="7" width="5.28515625" style="1125" customWidth="1"/>
    <col min="8" max="8" width="7.7109375" style="1125" customWidth="1"/>
    <col min="9" max="9" width="15.140625" style="1125" customWidth="1"/>
    <col min="10" max="10" width="11.140625" style="1125" customWidth="1"/>
    <col min="11" max="11" width="21.28515625" style="1125" customWidth="1"/>
    <col min="12" max="12" width="19.5703125" style="1125" customWidth="1"/>
    <col min="13" max="16384" width="9.140625" style="1125"/>
  </cols>
  <sheetData>
    <row r="1" spans="1:18" s="1376" customFormat="1" ht="15">
      <c r="A1" s="1525" t="s">
        <v>861</v>
      </c>
      <c r="B1" s="1525"/>
      <c r="C1" s="1525"/>
      <c r="D1" s="1525"/>
      <c r="E1" s="1525"/>
      <c r="F1" s="1525"/>
      <c r="G1" s="1525"/>
      <c r="H1" s="1525"/>
      <c r="I1" s="1525"/>
      <c r="J1" s="1525"/>
      <c r="K1" s="1525"/>
      <c r="L1" s="1375"/>
      <c r="M1" s="1375"/>
      <c r="N1" s="1375"/>
      <c r="O1" s="1375"/>
      <c r="P1" s="1375"/>
      <c r="Q1" s="1375"/>
      <c r="R1" s="1375"/>
    </row>
    <row r="2" spans="1:18" s="1376" customFormat="1" ht="15">
      <c r="A2" s="1525" t="s">
        <v>174</v>
      </c>
      <c r="B2" s="1525"/>
      <c r="C2" s="1525"/>
      <c r="D2" s="1525"/>
      <c r="E2" s="1525"/>
      <c r="F2" s="1525"/>
      <c r="G2" s="1525"/>
      <c r="H2" s="1525"/>
      <c r="I2" s="1525"/>
      <c r="J2" s="1525"/>
      <c r="K2" s="1525"/>
      <c r="L2" s="1375"/>
      <c r="M2" s="1375"/>
      <c r="N2" s="1375"/>
      <c r="O2" s="1375"/>
      <c r="P2" s="1375"/>
      <c r="Q2" s="1375"/>
      <c r="R2" s="1375"/>
    </row>
    <row r="3" spans="1:18" s="1376" customFormat="1" ht="15">
      <c r="A3" s="1525" t="s">
        <v>1780</v>
      </c>
      <c r="B3" s="1525"/>
      <c r="C3" s="1525"/>
      <c r="D3" s="1525"/>
      <c r="E3" s="1525"/>
      <c r="F3" s="1525"/>
      <c r="G3" s="1525"/>
      <c r="H3" s="1525"/>
      <c r="I3" s="1525"/>
      <c r="J3" s="1525"/>
      <c r="K3" s="1525"/>
      <c r="L3" s="1375"/>
      <c r="M3" s="1375"/>
      <c r="N3" s="1375"/>
      <c r="O3" s="1375"/>
      <c r="P3" s="1375"/>
      <c r="Q3" s="1375"/>
      <c r="R3" s="1375"/>
    </row>
    <row r="4" spans="1:18" s="1376" customFormat="1" ht="15">
      <c r="A4" s="1525"/>
      <c r="B4" s="1525"/>
      <c r="C4" s="1525"/>
      <c r="D4" s="1525"/>
      <c r="E4" s="1525"/>
      <c r="F4" s="1525"/>
      <c r="G4" s="1525"/>
      <c r="H4" s="1525"/>
      <c r="I4" s="1525"/>
      <c r="J4" s="1525"/>
      <c r="K4" s="1525"/>
      <c r="L4" s="1375"/>
      <c r="M4" s="1375"/>
      <c r="N4" s="1375"/>
      <c r="O4" s="1375"/>
      <c r="P4" s="1375"/>
      <c r="Q4" s="1375"/>
      <c r="R4" s="1375"/>
    </row>
    <row r="5" spans="1:18" s="1376" customFormat="1" ht="15">
      <c r="A5" s="1377"/>
      <c r="B5" s="1377"/>
      <c r="C5" s="1377"/>
      <c r="D5" s="1377"/>
      <c r="E5" s="1377"/>
      <c r="F5" s="1377"/>
      <c r="G5" s="1377"/>
      <c r="H5" s="1377"/>
      <c r="I5" s="1377"/>
      <c r="J5" s="1377"/>
      <c r="K5" s="1377"/>
      <c r="L5" s="1377"/>
      <c r="M5" s="1377"/>
      <c r="N5" s="1377"/>
      <c r="O5" s="1377"/>
      <c r="P5" s="1377"/>
      <c r="Q5" s="1377"/>
      <c r="R5" s="1375"/>
    </row>
    <row r="6" spans="1:18" s="1376" customFormat="1" ht="15">
      <c r="A6" s="1377"/>
      <c r="B6" s="1377"/>
      <c r="C6" s="1377"/>
      <c r="D6" s="1377"/>
      <c r="E6" s="1377"/>
      <c r="F6" s="1377"/>
      <c r="G6" s="1377"/>
      <c r="H6" s="1377"/>
      <c r="I6" s="1377"/>
      <c r="J6" s="1377"/>
      <c r="K6" s="1377"/>
      <c r="L6" s="1377"/>
      <c r="M6" s="1377"/>
      <c r="N6" s="1377"/>
      <c r="O6" s="1377"/>
      <c r="P6" s="1377"/>
      <c r="Q6" s="1377"/>
      <c r="R6" s="1375"/>
    </row>
    <row r="7" spans="1:18" s="1376" customFormat="1" ht="9.75" customHeight="1">
      <c r="A7" s="1377"/>
      <c r="B7" s="1377"/>
      <c r="C7" s="1377"/>
      <c r="D7" s="1377"/>
      <c r="E7" s="1377"/>
      <c r="F7" s="1377"/>
      <c r="G7" s="1377"/>
      <c r="H7" s="1377"/>
      <c r="I7" s="1377"/>
      <c r="J7" s="1377"/>
      <c r="K7" s="1377"/>
      <c r="L7" s="1377"/>
      <c r="M7" s="1377"/>
      <c r="N7" s="1377"/>
      <c r="O7" s="1377"/>
      <c r="P7" s="1377"/>
      <c r="Q7" s="1377"/>
      <c r="R7" s="1375"/>
    </row>
    <row r="8" spans="1:18" s="1376" customFormat="1" ht="18">
      <c r="A8" s="1526" t="s">
        <v>1781</v>
      </c>
      <c r="B8" s="1526"/>
      <c r="C8" s="1526"/>
      <c r="D8" s="1526"/>
      <c r="E8" s="1526"/>
      <c r="F8" s="1526"/>
      <c r="G8" s="1526"/>
      <c r="H8" s="1526"/>
      <c r="I8" s="1526"/>
      <c r="J8" s="1526"/>
      <c r="K8" s="1526"/>
      <c r="L8" s="1378"/>
      <c r="M8" s="1379"/>
      <c r="N8" s="1379"/>
      <c r="O8" s="1379"/>
      <c r="P8" s="1379"/>
      <c r="Q8" s="1379"/>
      <c r="R8" s="1379"/>
    </row>
    <row r="9" spans="1:18" s="1376" customFormat="1" ht="15">
      <c r="A9" s="1380" t="s">
        <v>1903</v>
      </c>
      <c r="B9" s="1380"/>
      <c r="C9" s="1380"/>
      <c r="D9" s="1380"/>
      <c r="E9" s="1380"/>
      <c r="F9" s="1380"/>
      <c r="G9" s="1380"/>
      <c r="H9" s="1380"/>
      <c r="I9" s="1380"/>
      <c r="J9" s="1380"/>
      <c r="K9" s="1380"/>
      <c r="L9" s="1380"/>
      <c r="M9" s="1380"/>
      <c r="N9" s="1380"/>
      <c r="O9" s="1380"/>
      <c r="P9" s="1380"/>
      <c r="Q9" s="1380"/>
      <c r="R9" s="1380"/>
    </row>
    <row r="10" spans="1:18" s="1376" customFormat="1" ht="18">
      <c r="A10" s="1381" t="s">
        <v>1904</v>
      </c>
      <c r="K10" s="1377"/>
      <c r="P10" s="1382"/>
      <c r="Q10" s="1382"/>
    </row>
    <row r="11" spans="1:18" s="1376" customFormat="1" ht="18">
      <c r="A11" s="1381" t="s">
        <v>1811</v>
      </c>
      <c r="K11" s="1377"/>
      <c r="P11" s="1382"/>
      <c r="Q11" s="1382"/>
    </row>
    <row r="12" spans="1:18" s="1376" customFormat="1" ht="9.9499999999999993" customHeight="1">
      <c r="A12" s="1383" t="s">
        <v>1869</v>
      </c>
      <c r="K12" s="1377"/>
      <c r="P12" s="1382"/>
      <c r="Q12" s="1382"/>
    </row>
    <row r="13" spans="1:18" s="1359" customFormat="1" ht="15"/>
    <row r="14" spans="1:18" s="1359" customFormat="1" ht="18" customHeight="1">
      <c r="A14" s="1524" t="s">
        <v>1905</v>
      </c>
      <c r="B14" s="1524"/>
      <c r="C14" s="1524"/>
      <c r="D14" s="1524"/>
      <c r="E14" s="1524"/>
      <c r="F14" s="1524"/>
      <c r="G14" s="1524"/>
      <c r="H14" s="1524"/>
      <c r="I14" s="1524"/>
      <c r="J14" s="1524"/>
      <c r="K14" s="1524"/>
      <c r="L14" s="1384"/>
    </row>
    <row r="15" spans="1:18" s="1359" customFormat="1" ht="18" customHeight="1">
      <c r="A15" s="1524"/>
      <c r="B15" s="1524"/>
      <c r="C15" s="1524"/>
      <c r="D15" s="1524"/>
      <c r="E15" s="1524"/>
      <c r="F15" s="1524"/>
      <c r="G15" s="1524"/>
      <c r="H15" s="1524"/>
      <c r="I15" s="1524"/>
      <c r="J15" s="1524"/>
      <c r="K15" s="1524"/>
      <c r="L15" s="1384"/>
    </row>
    <row r="16" spans="1:18" s="1359" customFormat="1" ht="15">
      <c r="A16" s="1380" t="s">
        <v>1916</v>
      </c>
    </row>
    <row r="17" spans="1:12" s="1359" customFormat="1" ht="3" customHeight="1"/>
    <row r="18" spans="1:12" s="1359" customFormat="1" ht="15" customHeight="1">
      <c r="A18" s="1524" t="s">
        <v>1920</v>
      </c>
      <c r="B18" s="1524"/>
      <c r="C18" s="1524"/>
      <c r="D18" s="1524"/>
      <c r="E18" s="1524"/>
      <c r="F18" s="1524"/>
      <c r="G18" s="1524"/>
      <c r="H18" s="1524"/>
      <c r="I18" s="1524"/>
      <c r="J18" s="1524"/>
      <c r="K18" s="1524"/>
      <c r="L18" s="1384"/>
    </row>
    <row r="19" spans="1:12" s="1359" customFormat="1" ht="15" customHeight="1">
      <c r="A19" s="1524"/>
      <c r="B19" s="1524"/>
      <c r="C19" s="1524"/>
      <c r="D19" s="1524"/>
      <c r="E19" s="1524"/>
      <c r="F19" s="1524"/>
      <c r="G19" s="1524"/>
      <c r="H19" s="1524"/>
      <c r="I19" s="1524"/>
      <c r="J19" s="1524"/>
      <c r="K19" s="1524"/>
      <c r="L19" s="1384"/>
    </row>
    <row r="20" spans="1:12" s="1359" customFormat="1" ht="15" customHeight="1">
      <c r="A20" s="1524"/>
      <c r="B20" s="1524"/>
      <c r="C20" s="1524"/>
      <c r="D20" s="1524"/>
      <c r="E20" s="1524"/>
      <c r="F20" s="1524"/>
      <c r="G20" s="1524"/>
      <c r="H20" s="1524"/>
      <c r="I20" s="1524"/>
      <c r="J20" s="1524"/>
      <c r="K20" s="1524"/>
      <c r="L20" s="1384"/>
    </row>
    <row r="21" spans="1:12" s="1359" customFormat="1" ht="15" customHeight="1">
      <c r="A21" s="1524"/>
      <c r="B21" s="1524"/>
      <c r="C21" s="1524"/>
      <c r="D21" s="1524"/>
      <c r="E21" s="1524"/>
      <c r="F21" s="1524"/>
      <c r="G21" s="1524"/>
      <c r="H21" s="1524"/>
      <c r="I21" s="1524"/>
      <c r="J21" s="1524"/>
      <c r="K21" s="1524"/>
      <c r="L21" s="1384"/>
    </row>
    <row r="22" spans="1:12" s="1359" customFormat="1" ht="15" customHeight="1">
      <c r="A22" s="1524"/>
      <c r="B22" s="1524"/>
      <c r="C22" s="1524"/>
      <c r="D22" s="1524"/>
      <c r="E22" s="1524"/>
      <c r="F22" s="1524"/>
      <c r="G22" s="1524"/>
      <c r="H22" s="1524"/>
      <c r="I22" s="1524"/>
      <c r="J22" s="1524"/>
      <c r="K22" s="1524"/>
      <c r="L22" s="1384"/>
    </row>
    <row r="23" spans="1:12" s="1359" customFormat="1" ht="15">
      <c r="A23" s="1524"/>
      <c r="B23" s="1524"/>
      <c r="C23" s="1524"/>
      <c r="D23" s="1524"/>
      <c r="E23" s="1524"/>
      <c r="F23" s="1524"/>
      <c r="G23" s="1524"/>
      <c r="H23" s="1524"/>
      <c r="I23" s="1524"/>
      <c r="J23" s="1524"/>
      <c r="K23" s="1524"/>
    </row>
    <row r="24" spans="1:12" s="1359" customFormat="1" ht="15"/>
    <row r="25" spans="1:12" s="1359" customFormat="1" ht="15"/>
    <row r="26" spans="1:12" s="1359" customFormat="1" ht="15"/>
    <row r="27" spans="1:12" s="1359" customFormat="1" ht="15"/>
    <row r="28" spans="1:12" s="1359" customFormat="1" ht="18">
      <c r="I28" s="1527" t="s">
        <v>75</v>
      </c>
      <c r="J28" s="1527"/>
      <c r="K28" s="1527"/>
      <c r="L28" s="1385"/>
    </row>
    <row r="29" spans="1:12" s="1359" customFormat="1" ht="18">
      <c r="I29" s="1528" t="s">
        <v>1911</v>
      </c>
      <c r="J29" s="1528"/>
      <c r="K29" s="1528"/>
      <c r="L29" s="1386"/>
    </row>
    <row r="30" spans="1:12" s="1359" customFormat="1" ht="15"/>
    <row r="31" spans="1:12" s="1359" customFormat="1" ht="18">
      <c r="A31" s="1387" t="s">
        <v>1906</v>
      </c>
    </row>
    <row r="32" spans="1:12" s="1359" customFormat="1" ht="18">
      <c r="A32" s="1387"/>
      <c r="B32" s="1387"/>
      <c r="C32" s="1387"/>
      <c r="D32" s="1387"/>
      <c r="E32" s="1387"/>
      <c r="F32" s="1387"/>
      <c r="G32" s="1387"/>
      <c r="H32" s="1387"/>
      <c r="I32" s="1387"/>
      <c r="J32" s="1387"/>
      <c r="K32" s="1387"/>
      <c r="L32" s="1387"/>
    </row>
    <row r="33" spans="1:12" s="1359" customFormat="1" ht="18">
      <c r="A33" s="1387"/>
      <c r="B33" s="1387"/>
      <c r="C33" s="1387"/>
      <c r="D33" s="1387"/>
      <c r="E33" s="1387"/>
      <c r="F33" s="1387"/>
      <c r="G33" s="1387"/>
      <c r="H33" s="1387"/>
      <c r="I33" s="1387"/>
      <c r="J33" s="1387"/>
      <c r="K33" s="1387"/>
      <c r="L33" s="1387"/>
    </row>
    <row r="34" spans="1:12" s="1359" customFormat="1" ht="18">
      <c r="A34" s="1387"/>
      <c r="B34" s="1387"/>
      <c r="C34" s="1527" t="s">
        <v>1907</v>
      </c>
      <c r="D34" s="1527"/>
      <c r="E34" s="1527"/>
      <c r="F34" s="1387"/>
      <c r="G34" s="1387"/>
      <c r="H34" s="1387"/>
      <c r="I34" s="1387"/>
      <c r="J34" s="1387"/>
      <c r="K34" s="1387"/>
      <c r="L34" s="1387"/>
    </row>
    <row r="35" spans="1:12" s="1359" customFormat="1" ht="18">
      <c r="A35" s="1385"/>
      <c r="B35" s="1385"/>
      <c r="C35" s="1528" t="s">
        <v>22</v>
      </c>
      <c r="D35" s="1528"/>
      <c r="E35" s="1528"/>
      <c r="F35" s="1385"/>
      <c r="G35" s="1385"/>
      <c r="H35" s="1385"/>
      <c r="I35" s="1385"/>
      <c r="J35" s="1387"/>
      <c r="K35" s="1387"/>
      <c r="L35" s="1387"/>
    </row>
    <row r="36" spans="1:12" s="1359" customFormat="1" ht="18">
      <c r="A36" s="1386"/>
      <c r="B36" s="1386"/>
      <c r="C36" s="1528" t="s">
        <v>1785</v>
      </c>
      <c r="D36" s="1528"/>
      <c r="E36" s="1528"/>
      <c r="F36" s="1386"/>
      <c r="G36" s="1386"/>
      <c r="H36" s="1386"/>
      <c r="I36" s="1386"/>
      <c r="J36" s="1387"/>
      <c r="K36" s="1387"/>
      <c r="L36" s="1387"/>
    </row>
    <row r="37" spans="1:12" s="1359" customFormat="1" ht="18">
      <c r="A37" s="1386"/>
      <c r="B37" s="1386"/>
      <c r="C37" s="1528"/>
      <c r="D37" s="1528"/>
      <c r="E37" s="1528"/>
      <c r="F37" s="1386"/>
      <c r="G37" s="1386"/>
      <c r="H37" s="1386"/>
      <c r="I37" s="1386"/>
      <c r="J37" s="1387"/>
      <c r="K37" s="1387"/>
      <c r="L37" s="1387"/>
    </row>
    <row r="38" spans="1:12" s="1359" customFormat="1" ht="18">
      <c r="A38" s="1387"/>
      <c r="B38" s="1387"/>
      <c r="C38" s="1387"/>
      <c r="D38" s="1387"/>
      <c r="E38" s="1387"/>
      <c r="F38" s="1387"/>
      <c r="G38" s="1387"/>
      <c r="H38" s="1387"/>
      <c r="I38" s="1387"/>
      <c r="J38" s="1387"/>
      <c r="K38" s="1387"/>
      <c r="L38" s="1387"/>
    </row>
    <row r="39" spans="1:12" s="1359" customFormat="1" ht="18">
      <c r="A39" s="1387"/>
      <c r="B39" s="1387"/>
      <c r="C39" s="1387"/>
      <c r="D39" s="1388" t="s">
        <v>240</v>
      </c>
      <c r="E39" s="1388"/>
      <c r="F39" s="1387"/>
      <c r="G39" s="1387"/>
      <c r="H39" s="1387"/>
      <c r="I39" s="1388" t="s">
        <v>429</v>
      </c>
      <c r="J39" s="1388"/>
      <c r="K39" s="1387"/>
      <c r="L39" s="1387"/>
    </row>
    <row r="40" spans="1:12" s="1359" customFormat="1" ht="18">
      <c r="A40" s="1387"/>
      <c r="B40" s="1387"/>
      <c r="C40" s="1387"/>
      <c r="D40" s="1359" t="s">
        <v>1797</v>
      </c>
      <c r="E40" s="1387"/>
      <c r="F40" s="1387"/>
      <c r="G40" s="1387"/>
      <c r="H40" s="1387"/>
      <c r="I40" s="1359" t="s">
        <v>1912</v>
      </c>
      <c r="J40" s="1387"/>
      <c r="K40" s="1387"/>
      <c r="L40" s="1387"/>
    </row>
    <row r="41" spans="1:12" s="1359" customFormat="1" ht="18">
      <c r="A41" s="1387"/>
      <c r="B41" s="1387"/>
      <c r="C41" s="1387"/>
      <c r="D41" s="1387"/>
      <c r="E41" s="1387"/>
      <c r="F41" s="1387"/>
      <c r="G41" s="1387"/>
      <c r="H41" s="1387"/>
      <c r="I41" s="1387"/>
      <c r="J41" s="1387"/>
      <c r="K41" s="1387"/>
      <c r="L41" s="1387"/>
    </row>
    <row r="42" spans="1:12" s="1359" customFormat="1" ht="18">
      <c r="A42" s="1387"/>
      <c r="B42" s="1387"/>
      <c r="C42" s="1387"/>
      <c r="D42" s="1387"/>
      <c r="E42" s="1387"/>
      <c r="F42" s="1387"/>
      <c r="G42" s="1387"/>
      <c r="H42" s="1387"/>
      <c r="I42" s="1387"/>
      <c r="J42" s="1387"/>
      <c r="K42" s="1387"/>
      <c r="L42" s="1387"/>
    </row>
    <row r="43" spans="1:12" s="1359" customFormat="1" ht="18">
      <c r="A43" s="1387"/>
      <c r="B43" s="1387"/>
      <c r="C43" s="1387"/>
      <c r="D43" s="1388" t="s">
        <v>1444</v>
      </c>
      <c r="E43" s="1388"/>
      <c r="F43" s="1387"/>
      <c r="G43" s="1387"/>
      <c r="H43" s="1387"/>
      <c r="I43" s="1388" t="s">
        <v>1433</v>
      </c>
      <c r="J43" s="1388"/>
      <c r="K43" s="1387"/>
      <c r="L43" s="1387"/>
    </row>
    <row r="44" spans="1:12" s="1359" customFormat="1" ht="18">
      <c r="A44" s="1387"/>
      <c r="B44" s="1387"/>
      <c r="C44" s="1387"/>
      <c r="D44" s="1359" t="s">
        <v>1797</v>
      </c>
      <c r="E44" s="1387"/>
      <c r="F44" s="1387"/>
      <c r="G44" s="1387"/>
      <c r="H44" s="1387"/>
      <c r="I44" s="1359" t="s">
        <v>1797</v>
      </c>
      <c r="K44" s="1387"/>
      <c r="L44" s="1387"/>
    </row>
    <row r="45" spans="1:12" s="1359" customFormat="1" ht="18">
      <c r="A45" s="1387"/>
      <c r="B45" s="1387"/>
      <c r="C45" s="1387"/>
      <c r="D45" s="1389"/>
      <c r="E45" s="1387"/>
      <c r="F45" s="1387"/>
      <c r="G45" s="1387"/>
      <c r="H45" s="1387"/>
      <c r="I45" s="1387"/>
      <c r="J45" s="1387"/>
      <c r="K45" s="1387"/>
      <c r="L45" s="1387"/>
    </row>
    <row r="46" spans="1:12" s="1359" customFormat="1" ht="18">
      <c r="A46" s="1387"/>
      <c r="B46" s="1387"/>
      <c r="C46" s="1387"/>
      <c r="D46" s="1389"/>
      <c r="E46" s="1387"/>
      <c r="F46" s="1387"/>
      <c r="G46" s="1387"/>
      <c r="H46" s="1387"/>
      <c r="I46" s="1387"/>
      <c r="J46" s="1387"/>
      <c r="K46" s="1387"/>
      <c r="L46" s="1387"/>
    </row>
    <row r="47" spans="1:12" s="1359" customFormat="1" ht="18">
      <c r="A47" s="1387"/>
      <c r="B47" s="1387"/>
      <c r="C47" s="1387"/>
      <c r="D47" s="1387"/>
      <c r="E47" s="1387"/>
      <c r="F47" s="1387"/>
      <c r="G47" s="1387"/>
      <c r="H47" s="1387"/>
      <c r="I47" s="1387"/>
      <c r="J47" s="1387"/>
      <c r="K47" s="1387"/>
      <c r="L47" s="1387"/>
    </row>
    <row r="48" spans="1:12" s="1359" customFormat="1" ht="18">
      <c r="A48" s="1387"/>
      <c r="B48" s="1387"/>
      <c r="C48" s="1387"/>
      <c r="D48" s="1388" t="s">
        <v>428</v>
      </c>
      <c r="E48" s="1388"/>
      <c r="F48" s="1387"/>
      <c r="G48" s="1387"/>
      <c r="H48" s="1387"/>
      <c r="I48" s="1388" t="s">
        <v>1908</v>
      </c>
      <c r="J48" s="1388"/>
      <c r="K48" s="1387"/>
      <c r="L48" s="1387"/>
    </row>
    <row r="49" spans="1:12" s="1359" customFormat="1" ht="18">
      <c r="A49" s="1387"/>
      <c r="B49" s="1387"/>
      <c r="C49" s="1387"/>
      <c r="D49" s="1359" t="s">
        <v>1797</v>
      </c>
      <c r="E49" s="1387"/>
      <c r="F49" s="1387"/>
      <c r="G49" s="1387"/>
      <c r="H49" s="1387"/>
      <c r="I49" s="1359" t="s">
        <v>1797</v>
      </c>
      <c r="K49" s="1387"/>
      <c r="L49" s="1387"/>
    </row>
    <row r="50" spans="1:12" s="1359" customFormat="1" ht="18">
      <c r="A50" s="1387"/>
      <c r="B50" s="1387"/>
      <c r="C50" s="1387"/>
      <c r="D50" s="1387"/>
      <c r="E50" s="1387"/>
      <c r="F50" s="1387"/>
      <c r="G50" s="1387"/>
      <c r="H50" s="1387"/>
      <c r="I50" s="1387"/>
      <c r="J50" s="1387"/>
      <c r="K50" s="1387"/>
      <c r="L50" s="1387"/>
    </row>
    <row r="51" spans="1:12" s="1359" customFormat="1" ht="18">
      <c r="A51" s="1387"/>
      <c r="B51" s="1387"/>
      <c r="C51" s="1387"/>
      <c r="D51" s="1387"/>
      <c r="E51" s="1387"/>
      <c r="F51" s="1387"/>
      <c r="G51" s="1387"/>
      <c r="H51" s="1387"/>
      <c r="I51" s="1387"/>
      <c r="J51" s="1387"/>
      <c r="K51" s="1387"/>
      <c r="L51" s="1387"/>
    </row>
    <row r="52" spans="1:12" s="1359" customFormat="1" ht="18">
      <c r="A52" s="1387"/>
      <c r="B52" s="1387"/>
      <c r="C52" s="1387"/>
      <c r="D52" s="1388" t="s">
        <v>1678</v>
      </c>
      <c r="E52" s="1388"/>
      <c r="F52" s="1387"/>
      <c r="G52" s="1387"/>
      <c r="H52" s="1387"/>
      <c r="I52" s="1388" t="s">
        <v>1679</v>
      </c>
      <c r="J52" s="1387"/>
      <c r="K52" s="1387"/>
      <c r="L52" s="1387"/>
    </row>
    <row r="53" spans="1:12" s="1359" customFormat="1" ht="18">
      <c r="A53" s="1387"/>
      <c r="B53" s="1387"/>
      <c r="C53" s="1387"/>
      <c r="D53" s="1359" t="s">
        <v>1797</v>
      </c>
      <c r="E53" s="1387"/>
      <c r="F53" s="1387"/>
      <c r="G53" s="1387"/>
      <c r="H53" s="1387"/>
      <c r="I53" s="1359" t="s">
        <v>1797</v>
      </c>
      <c r="J53" s="1387"/>
      <c r="K53" s="1387"/>
      <c r="L53" s="1387"/>
    </row>
    <row r="54" spans="1:12" s="1359" customFormat="1" ht="18">
      <c r="A54" s="1387"/>
      <c r="B54" s="1387"/>
      <c r="C54" s="1387"/>
      <c r="D54" s="1387"/>
      <c r="E54" s="1387"/>
      <c r="F54" s="1387"/>
      <c r="G54" s="1387"/>
      <c r="H54" s="1387"/>
      <c r="I54" s="1387"/>
      <c r="J54" s="1387"/>
      <c r="K54" s="1387"/>
      <c r="L54" s="1387"/>
    </row>
    <row r="55" spans="1:12" s="1359" customFormat="1" ht="18">
      <c r="A55" s="1387"/>
      <c r="B55" s="1387"/>
      <c r="C55" s="1387"/>
      <c r="D55" s="1387"/>
      <c r="E55" s="1387"/>
      <c r="F55" s="1387"/>
      <c r="G55" s="1387"/>
      <c r="H55" s="1387"/>
      <c r="I55" s="1387"/>
      <c r="J55" s="1387"/>
      <c r="K55" s="1387"/>
      <c r="L55" s="1387"/>
    </row>
    <row r="56" spans="1:12" s="1359" customFormat="1" ht="18">
      <c r="A56" s="1387"/>
      <c r="B56" s="1387"/>
      <c r="C56" s="1387"/>
      <c r="D56" s="1388" t="s">
        <v>968</v>
      </c>
      <c r="E56" s="1388"/>
      <c r="F56" s="1387"/>
      <c r="G56" s="1387"/>
      <c r="H56" s="1387"/>
      <c r="I56" s="1388" t="s">
        <v>937</v>
      </c>
      <c r="J56" s="1388"/>
      <c r="K56" s="1387"/>
      <c r="L56" s="1387"/>
    </row>
    <row r="57" spans="1:12" s="1359" customFormat="1" ht="18">
      <c r="A57" s="1387"/>
      <c r="B57" s="1387"/>
      <c r="C57" s="1387"/>
      <c r="D57" s="1359" t="s">
        <v>1798</v>
      </c>
      <c r="E57" s="1387"/>
      <c r="F57" s="1387"/>
      <c r="G57" s="1387"/>
      <c r="H57" s="1387"/>
      <c r="I57" s="1359" t="s">
        <v>1799</v>
      </c>
      <c r="K57" s="1387"/>
      <c r="L57" s="1387"/>
    </row>
    <row r="58" spans="1:12" s="1359" customFormat="1" ht="18">
      <c r="A58" s="1387"/>
      <c r="B58" s="1387"/>
      <c r="C58" s="1387"/>
      <c r="D58" s="1387"/>
      <c r="E58" s="1387"/>
      <c r="F58" s="1387"/>
      <c r="G58" s="1387"/>
      <c r="H58" s="1387"/>
      <c r="I58" s="1529"/>
      <c r="J58" s="1529"/>
      <c r="K58" s="1529"/>
      <c r="L58" s="1387"/>
    </row>
    <row r="59" spans="1:12" s="1359" customFormat="1" ht="18">
      <c r="A59" s="1387"/>
      <c r="B59" s="1387"/>
      <c r="C59" s="1387"/>
      <c r="D59" s="1387"/>
      <c r="E59" s="1387"/>
      <c r="F59" s="1387"/>
      <c r="G59" s="1387"/>
      <c r="H59" s="1387"/>
      <c r="I59" s="1387"/>
      <c r="J59" s="1387"/>
      <c r="K59" s="1387"/>
      <c r="L59" s="1387"/>
    </row>
    <row r="60" spans="1:12" s="1359" customFormat="1" ht="18">
      <c r="A60" s="1387"/>
      <c r="B60" s="1387"/>
      <c r="C60" s="1387"/>
      <c r="D60" s="1530" t="s">
        <v>1909</v>
      </c>
      <c r="E60" s="1530"/>
      <c r="F60" s="1530"/>
      <c r="G60" s="1412"/>
      <c r="H60" s="1387"/>
      <c r="I60" s="1387"/>
      <c r="J60" s="1387"/>
      <c r="K60" s="1387"/>
      <c r="L60" s="1387"/>
    </row>
    <row r="61" spans="1:12" s="1359" customFormat="1" ht="18">
      <c r="A61" s="1387"/>
      <c r="B61" s="1387"/>
      <c r="C61" s="1387"/>
      <c r="D61" s="1387"/>
      <c r="E61" s="1387"/>
      <c r="F61" s="1387"/>
      <c r="G61" s="1387"/>
      <c r="H61" s="1387"/>
      <c r="I61" s="1387"/>
      <c r="J61" s="1387"/>
      <c r="K61" s="1387"/>
      <c r="L61" s="1387"/>
    </row>
    <row r="62" spans="1:12" s="1359" customFormat="1" ht="18">
      <c r="A62" s="1387"/>
      <c r="B62" s="1387"/>
      <c r="C62" s="1387"/>
      <c r="D62" s="1387"/>
      <c r="E62" s="1387"/>
      <c r="F62" s="1387"/>
      <c r="G62" s="1387"/>
      <c r="H62" s="1387"/>
      <c r="I62" s="1387"/>
      <c r="J62" s="1387"/>
      <c r="K62" s="1387"/>
      <c r="L62" s="1387"/>
    </row>
    <row r="63" spans="1:12" s="1359" customFormat="1" ht="18">
      <c r="A63" s="1527" t="s">
        <v>1438</v>
      </c>
      <c r="B63" s="1527"/>
      <c r="C63" s="1527"/>
      <c r="D63" s="1527"/>
      <c r="E63" s="1527"/>
      <c r="F63" s="1527"/>
      <c r="G63" s="1527"/>
      <c r="H63" s="1527"/>
      <c r="I63" s="1527"/>
      <c r="J63" s="1527"/>
      <c r="K63" s="1527"/>
      <c r="L63" s="1387"/>
    </row>
    <row r="64" spans="1:12" s="1359" customFormat="1" ht="18">
      <c r="A64" s="1530" t="s">
        <v>14</v>
      </c>
      <c r="B64" s="1530"/>
      <c r="C64" s="1530"/>
      <c r="D64" s="1530"/>
      <c r="E64" s="1530"/>
      <c r="F64" s="1530"/>
      <c r="G64" s="1530"/>
      <c r="H64" s="1530"/>
      <c r="I64" s="1530"/>
      <c r="J64" s="1530"/>
      <c r="K64" s="1530"/>
      <c r="L64" s="1387"/>
    </row>
    <row r="65" spans="1:12" s="1359" customFormat="1" ht="18">
      <c r="A65" s="1412"/>
      <c r="B65" s="1412"/>
      <c r="C65" s="1412"/>
      <c r="D65" s="1412"/>
      <c r="E65" s="1412"/>
      <c r="F65" s="1412"/>
      <c r="G65" s="1412"/>
      <c r="H65" s="1412"/>
      <c r="I65" s="1412"/>
      <c r="J65" s="1412"/>
      <c r="K65" s="1412"/>
      <c r="L65" s="1387"/>
    </row>
    <row r="66" spans="1:12" s="1359" customFormat="1" ht="18">
      <c r="A66" s="1412"/>
      <c r="B66" s="1412"/>
      <c r="C66" s="1412"/>
      <c r="D66" s="1412"/>
      <c r="E66" s="1412"/>
      <c r="F66" s="1412"/>
      <c r="G66" s="1412"/>
      <c r="H66" s="1412"/>
      <c r="I66" s="1412"/>
      <c r="J66" s="1412"/>
      <c r="K66" s="1412"/>
      <c r="L66" s="1387"/>
    </row>
    <row r="68" spans="1:12" ht="23.25">
      <c r="A68" s="1522" t="s">
        <v>954</v>
      </c>
      <c r="B68" s="1522"/>
      <c r="C68" s="1522"/>
      <c r="D68" s="1522"/>
      <c r="E68" s="1522"/>
      <c r="F68" s="1522"/>
      <c r="G68" s="1522"/>
      <c r="H68" s="1522"/>
      <c r="I68" s="1522"/>
      <c r="J68" s="1522"/>
      <c r="K68" s="1522"/>
      <c r="L68" s="1390"/>
    </row>
  </sheetData>
  <mergeCells count="18">
    <mergeCell ref="A68:K68"/>
    <mergeCell ref="A18:K23"/>
    <mergeCell ref="I28:K28"/>
    <mergeCell ref="I29:K29"/>
    <mergeCell ref="C34:E34"/>
    <mergeCell ref="C35:E35"/>
    <mergeCell ref="C36:E36"/>
    <mergeCell ref="C37:E37"/>
    <mergeCell ref="I58:K58"/>
    <mergeCell ref="D60:F60"/>
    <mergeCell ref="A63:K63"/>
    <mergeCell ref="A64:K64"/>
    <mergeCell ref="A14:K15"/>
    <mergeCell ref="A1:K1"/>
    <mergeCell ref="A2:K2"/>
    <mergeCell ref="A3:K3"/>
    <mergeCell ref="A4:K4"/>
    <mergeCell ref="A8:K8"/>
  </mergeCells>
  <printOptions horizontalCentered="1"/>
  <pageMargins left="0.5" right="0.25" top="0.5" bottom="0" header="0.3" footer="0.3"/>
  <pageSetup paperSize="14" scale="7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04"/>
  <sheetViews>
    <sheetView topLeftCell="A64" zoomScaleNormal="100" workbookViewId="0">
      <selection activeCell="A2" sqref="A2:M69"/>
    </sheetView>
  </sheetViews>
  <sheetFormatPr defaultRowHeight="12.75"/>
  <cols>
    <col min="1" max="1" width="8.7109375" style="118" customWidth="1"/>
    <col min="2" max="2" width="4.140625" style="118" customWidth="1"/>
    <col min="3" max="3" width="1.28515625" style="209" customWidth="1"/>
    <col min="4" max="4" width="3.140625" style="209" customWidth="1"/>
    <col min="5" max="5" width="12.5703125" style="118" customWidth="1"/>
    <col min="6" max="6" width="5.85546875" style="118" customWidth="1"/>
    <col min="7" max="7" width="14.85546875" style="118" customWidth="1"/>
    <col min="8" max="8" width="31.85546875" style="118" customWidth="1"/>
    <col min="9" max="9" width="7.42578125" style="118" customWidth="1"/>
    <col min="10" max="10" width="13.5703125" style="118" customWidth="1"/>
    <col min="11" max="11" width="7.140625" style="136" customWidth="1"/>
    <col min="12" max="12" width="13.7109375" style="113" customWidth="1"/>
    <col min="13" max="14" width="14.140625" style="178" customWidth="1"/>
    <col min="15" max="15" width="14.42578125" style="115" customWidth="1"/>
    <col min="16" max="16" width="10.5703125" style="115" customWidth="1"/>
    <col min="17" max="17" width="13.28515625" style="116" customWidth="1"/>
    <col min="18" max="18" width="13.5703125" style="116" customWidth="1"/>
    <col min="19" max="19" width="13.5703125" style="117" customWidth="1"/>
    <col min="20" max="16384" width="9.140625" style="118"/>
  </cols>
  <sheetData>
    <row r="1" spans="1:19" ht="18" customHeight="1">
      <c r="A1" s="110"/>
      <c r="B1" s="110"/>
      <c r="C1" s="917"/>
      <c r="D1" s="917"/>
      <c r="E1" s="111"/>
      <c r="F1" s="111"/>
      <c r="G1" s="111"/>
      <c r="H1" s="111"/>
      <c r="I1" s="111"/>
      <c r="J1" s="111"/>
      <c r="K1" s="112"/>
      <c r="M1" s="114"/>
      <c r="N1" s="114"/>
    </row>
    <row r="2" spans="1:19" ht="18" customHeight="1">
      <c r="A2" s="1538" t="s">
        <v>1663</v>
      </c>
      <c r="B2" s="1538"/>
      <c r="C2" s="1538"/>
      <c r="D2" s="1538"/>
      <c r="E2" s="1538"/>
      <c r="F2" s="1538"/>
      <c r="G2" s="1538"/>
      <c r="H2" s="1538"/>
      <c r="I2" s="1538"/>
      <c r="J2" s="1538"/>
      <c r="K2" s="1538"/>
      <c r="L2" s="1538"/>
      <c r="M2" s="1538"/>
      <c r="N2" s="908"/>
    </row>
    <row r="3" spans="1:19" ht="18" customHeight="1">
      <c r="A3" s="1539" t="s">
        <v>351</v>
      </c>
      <c r="B3" s="1539"/>
      <c r="C3" s="1539"/>
      <c r="D3" s="1539"/>
      <c r="E3" s="1539"/>
      <c r="F3" s="1539"/>
      <c r="G3" s="1539"/>
      <c r="H3" s="1539"/>
      <c r="I3" s="1539"/>
      <c r="J3" s="1539"/>
      <c r="K3" s="1539"/>
      <c r="L3" s="1539"/>
      <c r="M3" s="1539"/>
      <c r="N3" s="909"/>
    </row>
    <row r="4" spans="1:19" ht="18" customHeight="1">
      <c r="A4" s="1540"/>
      <c r="B4" s="1540"/>
      <c r="C4" s="1540"/>
      <c r="D4" s="1540"/>
      <c r="E4" s="1540"/>
      <c r="F4" s="1540"/>
      <c r="G4" s="1540"/>
      <c r="H4" s="1540"/>
      <c r="I4" s="1540"/>
      <c r="J4" s="1540"/>
      <c r="K4" s="1540"/>
      <c r="L4" s="1540"/>
      <c r="M4" s="1540"/>
      <c r="N4" s="910"/>
    </row>
    <row r="5" spans="1:19" ht="18" customHeight="1">
      <c r="A5" s="910"/>
      <c r="B5" s="910"/>
      <c r="C5" s="910"/>
      <c r="D5" s="910"/>
      <c r="E5" s="910"/>
      <c r="F5" s="910"/>
      <c r="G5" s="910"/>
      <c r="H5" s="910"/>
      <c r="I5" s="910"/>
      <c r="J5" s="910"/>
      <c r="K5" s="910"/>
      <c r="L5" s="910"/>
      <c r="M5" s="910"/>
      <c r="N5" s="910"/>
    </row>
    <row r="6" spans="1:19" ht="18" customHeight="1">
      <c r="A6" s="111" t="s">
        <v>437</v>
      </c>
      <c r="B6" s="111"/>
      <c r="C6" s="910" t="s">
        <v>439</v>
      </c>
      <c r="D6" s="111" t="s">
        <v>286</v>
      </c>
      <c r="F6" s="111"/>
      <c r="G6" s="111"/>
      <c r="H6" s="111"/>
      <c r="I6" s="111"/>
      <c r="J6" s="112"/>
      <c r="K6" s="910"/>
      <c r="L6" s="910"/>
      <c r="M6" s="910"/>
      <c r="N6" s="910"/>
    </row>
    <row r="7" spans="1:19" ht="18" customHeight="1">
      <c r="A7" s="111" t="s">
        <v>436</v>
      </c>
      <c r="B7" s="111"/>
      <c r="C7" s="910" t="s">
        <v>439</v>
      </c>
      <c r="D7" s="111" t="s">
        <v>440</v>
      </c>
      <c r="F7" s="111"/>
      <c r="G7" s="111"/>
      <c r="H7" s="111"/>
      <c r="I7" s="111"/>
      <c r="J7" s="112"/>
      <c r="K7" s="910"/>
      <c r="L7" s="910"/>
      <c r="M7" s="910"/>
      <c r="N7" s="910"/>
    </row>
    <row r="8" spans="1:19" ht="18" customHeight="1" thickBot="1">
      <c r="A8" s="111" t="s">
        <v>438</v>
      </c>
      <c r="B8" s="111"/>
      <c r="C8" s="119" t="s">
        <v>439</v>
      </c>
      <c r="D8" s="111" t="s">
        <v>658</v>
      </c>
      <c r="F8" s="111"/>
      <c r="G8" s="111"/>
      <c r="H8" s="111"/>
      <c r="I8" s="111"/>
      <c r="J8" s="112"/>
      <c r="K8" s="112"/>
      <c r="M8" s="113"/>
      <c r="N8" s="113"/>
      <c r="Q8" s="120"/>
    </row>
    <row r="9" spans="1:19" ht="18" customHeight="1">
      <c r="A9" s="1532" t="s">
        <v>619</v>
      </c>
      <c r="B9" s="1533"/>
      <c r="C9" s="1533"/>
      <c r="D9" s="1533"/>
      <c r="E9" s="1534"/>
      <c r="F9" s="1533"/>
      <c r="G9" s="1535"/>
      <c r="H9" s="911"/>
      <c r="I9" s="1536" t="s">
        <v>623</v>
      </c>
      <c r="J9" s="1537"/>
      <c r="K9" s="1536" t="s">
        <v>623</v>
      </c>
      <c r="L9" s="1537"/>
      <c r="M9" s="122"/>
      <c r="N9" s="120"/>
    </row>
    <row r="10" spans="1:19" ht="18" customHeight="1">
      <c r="A10" s="123" t="s">
        <v>620</v>
      </c>
      <c r="B10" s="1544" t="s">
        <v>621</v>
      </c>
      <c r="C10" s="1545"/>
      <c r="D10" s="1546"/>
      <c r="E10" s="1547" t="s">
        <v>43</v>
      </c>
      <c r="F10" s="1548"/>
      <c r="G10" s="1549"/>
      <c r="H10" s="914" t="s">
        <v>44</v>
      </c>
      <c r="I10" s="1547" t="s">
        <v>1613</v>
      </c>
      <c r="J10" s="1549"/>
      <c r="K10" s="1548" t="s">
        <v>1660</v>
      </c>
      <c r="L10" s="1549"/>
      <c r="M10" s="124" t="s">
        <v>45</v>
      </c>
      <c r="N10" s="877"/>
    </row>
    <row r="11" spans="1:19" ht="18" customHeight="1">
      <c r="A11" s="125"/>
      <c r="B11" s="914"/>
      <c r="C11" s="915"/>
      <c r="D11" s="915"/>
      <c r="E11" s="914"/>
      <c r="F11" s="915"/>
      <c r="G11" s="916"/>
      <c r="H11" s="914" t="s">
        <v>46</v>
      </c>
      <c r="I11" s="1550"/>
      <c r="J11" s="1551"/>
      <c r="K11" s="1550"/>
      <c r="L11" s="1551"/>
      <c r="M11" s="124" t="s">
        <v>47</v>
      </c>
      <c r="N11" s="877"/>
    </row>
    <row r="12" spans="1:19" ht="18" customHeight="1">
      <c r="A12" s="125"/>
      <c r="B12" s="914"/>
      <c r="C12" s="915"/>
      <c r="D12" s="915"/>
      <c r="E12" s="914"/>
      <c r="F12" s="915"/>
      <c r="G12" s="126"/>
      <c r="H12" s="127"/>
      <c r="I12" s="128" t="s">
        <v>622</v>
      </c>
      <c r="J12" s="129" t="s">
        <v>48</v>
      </c>
      <c r="K12" s="128" t="s">
        <v>622</v>
      </c>
      <c r="L12" s="129" t="s">
        <v>48</v>
      </c>
      <c r="M12" s="124"/>
      <c r="N12" s="120"/>
    </row>
    <row r="13" spans="1:19" ht="18" customHeight="1" thickBot="1">
      <c r="A13" s="130"/>
      <c r="B13" s="1541"/>
      <c r="C13" s="1542"/>
      <c r="D13" s="1543"/>
      <c r="E13" s="1541"/>
      <c r="F13" s="1542"/>
      <c r="G13" s="1543"/>
      <c r="H13" s="131"/>
      <c r="I13" s="131"/>
      <c r="J13" s="131"/>
      <c r="K13" s="131"/>
      <c r="L13" s="131"/>
      <c r="M13" s="132"/>
      <c r="N13" s="883"/>
    </row>
    <row r="14" spans="1:19" ht="18" customHeight="1">
      <c r="A14" s="133"/>
      <c r="B14" s="133"/>
      <c r="C14" s="119"/>
      <c r="D14" s="119"/>
      <c r="E14" s="133"/>
      <c r="F14" s="119"/>
      <c r="G14" s="134"/>
      <c r="H14" s="135"/>
      <c r="I14" s="136"/>
      <c r="J14" s="137"/>
      <c r="L14" s="137"/>
      <c r="M14" s="138"/>
      <c r="N14" s="878"/>
    </row>
    <row r="15" spans="1:19" s="146" customFormat="1" ht="18" customHeight="1">
      <c r="A15" s="919">
        <v>1</v>
      </c>
      <c r="B15" s="919"/>
      <c r="C15" s="920"/>
      <c r="D15" s="920"/>
      <c r="E15" s="139" t="s">
        <v>1621</v>
      </c>
      <c r="F15" s="920"/>
      <c r="G15" s="140"/>
      <c r="H15" s="141" t="s">
        <v>1432</v>
      </c>
      <c r="I15" s="142" t="s">
        <v>1622</v>
      </c>
      <c r="J15" s="143">
        <v>1334124</v>
      </c>
      <c r="K15" s="142" t="s">
        <v>1622</v>
      </c>
      <c r="L15" s="143">
        <v>1359288</v>
      </c>
      <c r="M15" s="144">
        <f>L15-J15</f>
        <v>25164</v>
      </c>
      <c r="N15" s="879"/>
      <c r="O15" s="115">
        <f>M15+L15</f>
        <v>1384452</v>
      </c>
      <c r="P15" s="115"/>
      <c r="Q15" s="116"/>
      <c r="R15" s="116"/>
      <c r="S15" s="145"/>
    </row>
    <row r="16" spans="1:19" s="146" customFormat="1" ht="18" customHeight="1">
      <c r="A16" s="956"/>
      <c r="B16" s="956"/>
      <c r="C16" s="957"/>
      <c r="D16" s="957"/>
      <c r="E16" s="139"/>
      <c r="F16" s="957"/>
      <c r="G16" s="140"/>
      <c r="H16" s="141"/>
      <c r="I16" s="142"/>
      <c r="J16" s="143"/>
      <c r="K16" s="142"/>
      <c r="L16" s="143"/>
      <c r="M16" s="144"/>
      <c r="N16" s="879"/>
      <c r="O16" s="115"/>
      <c r="P16" s="115"/>
      <c r="Q16" s="116"/>
      <c r="R16" s="116"/>
      <c r="S16" s="145"/>
    </row>
    <row r="17" spans="1:19" s="146" customFormat="1" ht="18" customHeight="1">
      <c r="A17" s="919"/>
      <c r="B17" s="919"/>
      <c r="C17" s="920"/>
      <c r="D17" s="920"/>
      <c r="E17" s="139"/>
      <c r="F17" s="920"/>
      <c r="G17" s="140"/>
      <c r="H17" s="141"/>
      <c r="I17" s="142"/>
      <c r="J17" s="143"/>
      <c r="K17" s="142"/>
      <c r="L17" s="143"/>
      <c r="M17" s="143"/>
      <c r="N17" s="170"/>
      <c r="O17" s="115"/>
      <c r="P17" s="115"/>
      <c r="Q17" s="116"/>
      <c r="R17" s="116"/>
      <c r="S17" s="117"/>
    </row>
    <row r="18" spans="1:19" s="146" customFormat="1" ht="18" customHeight="1">
      <c r="A18" s="919"/>
      <c r="B18" s="919"/>
      <c r="C18" s="920"/>
      <c r="D18" s="920"/>
      <c r="E18" s="147" t="s">
        <v>50</v>
      </c>
      <c r="F18" s="920"/>
      <c r="G18" s="148"/>
      <c r="H18" s="141"/>
      <c r="I18" s="142"/>
      <c r="J18" s="143"/>
      <c r="K18" s="142"/>
      <c r="L18" s="143"/>
      <c r="M18" s="143"/>
      <c r="N18" s="170"/>
      <c r="O18" s="115"/>
      <c r="P18" s="115"/>
      <c r="Q18" s="116"/>
      <c r="R18" s="116"/>
      <c r="S18" s="117"/>
    </row>
    <row r="19" spans="1:19" s="146" customFormat="1" ht="18" customHeight="1">
      <c r="A19" s="919"/>
      <c r="B19" s="919"/>
      <c r="C19" s="920"/>
      <c r="D19" s="920"/>
      <c r="E19" s="139"/>
      <c r="F19" s="920"/>
      <c r="G19" s="140"/>
      <c r="H19" s="141"/>
      <c r="I19" s="142"/>
      <c r="J19" s="143"/>
      <c r="K19" s="142"/>
      <c r="L19" s="143"/>
      <c r="M19" s="144"/>
      <c r="N19" s="879"/>
      <c r="O19" s="115"/>
      <c r="P19" s="115"/>
      <c r="Q19" s="116"/>
      <c r="R19" s="116"/>
      <c r="S19" s="117"/>
    </row>
    <row r="20" spans="1:19" s="146" customFormat="1" ht="18" customHeight="1">
      <c r="A20" s="929">
        <v>2</v>
      </c>
      <c r="B20" s="1552"/>
      <c r="C20" s="1553"/>
      <c r="D20" s="1554"/>
      <c r="E20" s="139" t="s">
        <v>1653</v>
      </c>
      <c r="F20" s="930"/>
      <c r="G20" s="140"/>
      <c r="H20" s="141" t="s">
        <v>1665</v>
      </c>
      <c r="I20" s="142" t="s">
        <v>1641</v>
      </c>
      <c r="J20" s="143">
        <v>461076</v>
      </c>
      <c r="K20" s="142" t="s">
        <v>1641</v>
      </c>
      <c r="L20" s="143">
        <v>476592</v>
      </c>
      <c r="M20" s="144">
        <f>L20-J20</f>
        <v>15516</v>
      </c>
      <c r="N20" s="879"/>
      <c r="O20" s="115">
        <f>M20+L20</f>
        <v>492108</v>
      </c>
      <c r="P20" s="115"/>
      <c r="Q20" s="116"/>
      <c r="R20" s="116"/>
      <c r="S20" s="145"/>
    </row>
    <row r="21" spans="1:19" s="146" customFormat="1" ht="18" customHeight="1">
      <c r="A21" s="956"/>
      <c r="B21" s="956"/>
      <c r="C21" s="957"/>
      <c r="D21" s="957"/>
      <c r="E21" s="139"/>
      <c r="F21" s="957"/>
      <c r="G21" s="140"/>
      <c r="H21" s="141"/>
      <c r="I21" s="142"/>
      <c r="J21" s="143"/>
      <c r="K21" s="142"/>
      <c r="L21" s="143"/>
      <c r="M21" s="144"/>
      <c r="N21" s="879"/>
      <c r="O21" s="115"/>
      <c r="P21" s="115"/>
      <c r="Q21" s="116"/>
      <c r="R21" s="116"/>
      <c r="S21" s="145"/>
    </row>
    <row r="22" spans="1:19" s="146" customFormat="1" ht="18" customHeight="1">
      <c r="A22" s="956"/>
      <c r="B22" s="956"/>
      <c r="C22" s="957"/>
      <c r="D22" s="957"/>
      <c r="E22" s="139"/>
      <c r="F22" s="957"/>
      <c r="G22" s="140"/>
      <c r="H22" s="141"/>
      <c r="I22" s="142"/>
      <c r="J22" s="143"/>
      <c r="K22" s="142"/>
      <c r="L22" s="143"/>
      <c r="M22" s="144"/>
      <c r="N22" s="879"/>
      <c r="O22" s="115"/>
      <c r="P22" s="115"/>
      <c r="Q22" s="116"/>
      <c r="R22" s="116"/>
      <c r="S22" s="117"/>
    </row>
    <row r="23" spans="1:19" s="146" customFormat="1" ht="18" customHeight="1">
      <c r="A23" s="919">
        <v>3</v>
      </c>
      <c r="B23" s="919"/>
      <c r="C23" s="920"/>
      <c r="D23" s="920"/>
      <c r="E23" s="139" t="s">
        <v>423</v>
      </c>
      <c r="F23" s="920"/>
      <c r="G23" s="140"/>
      <c r="H23" s="141" t="s">
        <v>1925</v>
      </c>
      <c r="I23" s="142" t="s">
        <v>426</v>
      </c>
      <c r="J23" s="143">
        <v>361848</v>
      </c>
      <c r="K23" s="142" t="s">
        <v>52</v>
      </c>
      <c r="L23" s="143">
        <v>373512</v>
      </c>
      <c r="M23" s="144">
        <f>L23-J23</f>
        <v>11664</v>
      </c>
      <c r="N23" s="879"/>
      <c r="O23" s="115">
        <f>M23+L23</f>
        <v>385176</v>
      </c>
      <c r="P23" s="115"/>
      <c r="Q23" s="116"/>
      <c r="R23" s="116"/>
      <c r="S23" s="145"/>
    </row>
    <row r="24" spans="1:19" s="146" customFormat="1" ht="18" customHeight="1">
      <c r="A24" s="956"/>
      <c r="B24" s="956"/>
      <c r="C24" s="957"/>
      <c r="D24" s="957"/>
      <c r="E24" s="139"/>
      <c r="F24" s="957"/>
      <c r="G24" s="140"/>
      <c r="H24" s="141"/>
      <c r="I24" s="142"/>
      <c r="J24" s="143"/>
      <c r="K24" s="142"/>
      <c r="L24" s="143"/>
      <c r="M24" s="144"/>
      <c r="N24" s="879"/>
      <c r="O24" s="115"/>
      <c r="P24" s="115"/>
      <c r="Q24" s="116"/>
      <c r="R24" s="116"/>
      <c r="S24" s="145"/>
    </row>
    <row r="25" spans="1:19" s="146" customFormat="1" ht="18" customHeight="1">
      <c r="A25" s="956"/>
      <c r="B25" s="956"/>
      <c r="C25" s="957"/>
      <c r="D25" s="957"/>
      <c r="E25" s="139"/>
      <c r="F25" s="957"/>
      <c r="G25" s="140"/>
      <c r="H25" s="141"/>
      <c r="I25" s="142"/>
      <c r="J25" s="143"/>
      <c r="K25" s="142"/>
      <c r="L25" s="143"/>
      <c r="M25" s="144"/>
      <c r="N25" s="879"/>
      <c r="O25" s="115"/>
      <c r="P25" s="115"/>
      <c r="Q25" s="116"/>
      <c r="R25" s="116"/>
      <c r="S25" s="117"/>
    </row>
    <row r="26" spans="1:19" s="146" customFormat="1" ht="18" customHeight="1">
      <c r="A26" s="919">
        <v>4</v>
      </c>
      <c r="B26" s="919"/>
      <c r="C26" s="920"/>
      <c r="D26" s="920"/>
      <c r="E26" s="139" t="s">
        <v>53</v>
      </c>
      <c r="F26" s="920"/>
      <c r="G26" s="140"/>
      <c r="H26" s="141" t="s">
        <v>1447</v>
      </c>
      <c r="I26" s="142" t="s">
        <v>107</v>
      </c>
      <c r="J26" s="143">
        <v>154116</v>
      </c>
      <c r="K26" s="142" t="s">
        <v>107</v>
      </c>
      <c r="L26" s="143">
        <v>160200</v>
      </c>
      <c r="M26" s="144">
        <f>L26-J26</f>
        <v>6084</v>
      </c>
      <c r="N26" s="879"/>
      <c r="O26" s="115">
        <f>M26+L26</f>
        <v>166284</v>
      </c>
      <c r="P26" s="115"/>
      <c r="Q26" s="116"/>
      <c r="R26" s="116"/>
      <c r="S26" s="145"/>
    </row>
    <row r="27" spans="1:19" s="146" customFormat="1" ht="18" customHeight="1">
      <c r="A27" s="956"/>
      <c r="B27" s="956"/>
      <c r="C27" s="957"/>
      <c r="D27" s="957"/>
      <c r="E27" s="139"/>
      <c r="F27" s="957"/>
      <c r="G27" s="140"/>
      <c r="H27" s="141"/>
      <c r="I27" s="142"/>
      <c r="J27" s="143"/>
      <c r="K27" s="142"/>
      <c r="L27" s="143"/>
      <c r="M27" s="144"/>
      <c r="N27" s="879"/>
      <c r="O27" s="115"/>
      <c r="P27" s="115"/>
      <c r="Q27" s="116"/>
      <c r="R27" s="116"/>
      <c r="S27" s="145"/>
    </row>
    <row r="28" spans="1:19" s="146" customFormat="1" ht="18" customHeight="1">
      <c r="A28" s="956"/>
      <c r="B28" s="956"/>
      <c r="C28" s="957"/>
      <c r="D28" s="957"/>
      <c r="E28" s="139"/>
      <c r="F28" s="957"/>
      <c r="G28" s="140"/>
      <c r="H28" s="141"/>
      <c r="I28" s="142"/>
      <c r="J28" s="143"/>
      <c r="K28" s="142"/>
      <c r="L28" s="143"/>
      <c r="M28" s="144"/>
      <c r="N28" s="879"/>
      <c r="O28" s="115"/>
      <c r="P28" s="115"/>
      <c r="Q28" s="116"/>
      <c r="R28" s="116"/>
      <c r="S28" s="117"/>
    </row>
    <row r="29" spans="1:19" s="146" customFormat="1" ht="18" customHeight="1">
      <c r="A29" s="919"/>
      <c r="B29" s="919"/>
      <c r="C29" s="920"/>
      <c r="D29" s="920"/>
      <c r="E29" s="147" t="s">
        <v>56</v>
      </c>
      <c r="F29" s="920"/>
      <c r="G29" s="148"/>
      <c r="H29" s="141"/>
      <c r="I29" s="142"/>
      <c r="J29" s="143"/>
      <c r="K29" s="142"/>
      <c r="L29" s="143"/>
      <c r="M29" s="143"/>
      <c r="N29" s="170"/>
      <c r="O29" s="115"/>
      <c r="P29" s="115"/>
      <c r="Q29" s="116"/>
      <c r="R29" s="116"/>
      <c r="S29" s="117"/>
    </row>
    <row r="30" spans="1:19" s="146" customFormat="1" ht="18" customHeight="1">
      <c r="A30" s="919"/>
      <c r="B30" s="919"/>
      <c r="C30" s="920"/>
      <c r="D30" s="920"/>
      <c r="E30" s="139"/>
      <c r="F30" s="920"/>
      <c r="G30" s="140"/>
      <c r="H30" s="141"/>
      <c r="I30" s="142"/>
      <c r="J30" s="143"/>
      <c r="K30" s="142"/>
      <c r="L30" s="143"/>
      <c r="M30" s="144"/>
      <c r="N30" s="879"/>
      <c r="O30" s="115"/>
      <c r="P30" s="115"/>
      <c r="Q30" s="116"/>
      <c r="R30" s="116"/>
      <c r="S30" s="117"/>
    </row>
    <row r="31" spans="1:19" s="146" customFormat="1" ht="18" customHeight="1">
      <c r="A31" s="919">
        <v>5</v>
      </c>
      <c r="B31" s="919"/>
      <c r="C31" s="920"/>
      <c r="D31" s="920"/>
      <c r="E31" s="139" t="s">
        <v>53</v>
      </c>
      <c r="F31" s="920"/>
      <c r="G31" s="140"/>
      <c r="H31" s="141" t="s">
        <v>58</v>
      </c>
      <c r="I31" s="142" t="s">
        <v>239</v>
      </c>
      <c r="J31" s="143">
        <v>155280</v>
      </c>
      <c r="K31" s="142" t="s">
        <v>239</v>
      </c>
      <c r="L31" s="143">
        <v>161436</v>
      </c>
      <c r="M31" s="144">
        <f>L31-J31</f>
        <v>6156</v>
      </c>
      <c r="N31" s="879"/>
      <c r="O31" s="115">
        <f>L32+M31+M32</f>
        <v>170064</v>
      </c>
      <c r="P31" s="115"/>
      <c r="Q31" s="116"/>
      <c r="R31" s="116"/>
      <c r="S31" s="145"/>
    </row>
    <row r="32" spans="1:19" s="146" customFormat="1" ht="18" customHeight="1">
      <c r="A32" s="956"/>
      <c r="B32" s="956"/>
      <c r="C32" s="957"/>
      <c r="D32" s="957"/>
      <c r="E32" s="139"/>
      <c r="F32" s="957"/>
      <c r="G32" s="140"/>
      <c r="H32" s="141"/>
      <c r="I32" s="142"/>
      <c r="J32" s="143"/>
      <c r="K32" s="142" t="s">
        <v>1661</v>
      </c>
      <c r="L32" s="143">
        <v>162672</v>
      </c>
      <c r="M32" s="144">
        <v>1236</v>
      </c>
      <c r="N32" s="879">
        <f>L32-L31</f>
        <v>1236</v>
      </c>
      <c r="O32" s="115"/>
      <c r="P32" s="115"/>
      <c r="Q32" s="116"/>
      <c r="R32" s="116"/>
      <c r="S32" s="145"/>
    </row>
    <row r="33" spans="1:19" s="146" customFormat="1" ht="18" customHeight="1">
      <c r="A33" s="956"/>
      <c r="B33" s="956"/>
      <c r="C33" s="957"/>
      <c r="D33" s="957"/>
      <c r="E33" s="139"/>
      <c r="F33" s="957"/>
      <c r="G33" s="140"/>
      <c r="H33" s="141"/>
      <c r="I33" s="142"/>
      <c r="J33" s="143"/>
      <c r="K33" s="142"/>
      <c r="L33" s="149">
        <v>44947</v>
      </c>
      <c r="M33" s="144"/>
      <c r="N33" s="879"/>
      <c r="O33" s="115"/>
      <c r="P33" s="115"/>
      <c r="Q33" s="116"/>
      <c r="R33" s="116"/>
      <c r="S33" s="145"/>
    </row>
    <row r="34" spans="1:19" s="146" customFormat="1" ht="18" customHeight="1">
      <c r="A34" s="956"/>
      <c r="B34" s="956"/>
      <c r="C34" s="957"/>
      <c r="D34" s="957"/>
      <c r="E34" s="139"/>
      <c r="F34" s="957"/>
      <c r="G34" s="140"/>
      <c r="H34" s="141"/>
      <c r="I34" s="142"/>
      <c r="J34" s="143"/>
      <c r="K34" s="142"/>
      <c r="L34" s="149"/>
      <c r="M34" s="144"/>
      <c r="N34" s="879"/>
      <c r="O34" s="115"/>
      <c r="P34" s="115"/>
      <c r="Q34" s="116"/>
      <c r="R34" s="116"/>
      <c r="S34" s="145"/>
    </row>
    <row r="35" spans="1:19" s="146" customFormat="1" ht="18" customHeight="1">
      <c r="A35" s="919"/>
      <c r="B35" s="919"/>
      <c r="C35" s="920"/>
      <c r="D35" s="920"/>
      <c r="E35" s="139"/>
      <c r="F35" s="920"/>
      <c r="G35" s="140"/>
      <c r="H35" s="141"/>
      <c r="I35" s="142"/>
      <c r="J35" s="149"/>
      <c r="K35" s="142"/>
      <c r="L35" s="149"/>
      <c r="M35" s="144"/>
      <c r="N35" s="879"/>
      <c r="O35" s="115"/>
      <c r="P35" s="115"/>
      <c r="Q35" s="116"/>
      <c r="R35" s="116"/>
      <c r="S35" s="117"/>
    </row>
    <row r="36" spans="1:19" s="146" customFormat="1" ht="18" customHeight="1">
      <c r="A36" s="919">
        <v>6</v>
      </c>
      <c r="B36" s="919"/>
      <c r="C36" s="920"/>
      <c r="D36" s="920"/>
      <c r="E36" s="139" t="s">
        <v>57</v>
      </c>
      <c r="F36" s="920"/>
      <c r="G36" s="140"/>
      <c r="H36" s="141" t="s">
        <v>149</v>
      </c>
      <c r="I36" s="142" t="s">
        <v>246</v>
      </c>
      <c r="J36" s="143">
        <v>146304</v>
      </c>
      <c r="K36" s="142" t="s">
        <v>246</v>
      </c>
      <c r="L36" s="143">
        <v>152028</v>
      </c>
      <c r="M36" s="144">
        <f>L36-J36</f>
        <v>5724</v>
      </c>
      <c r="N36" s="879"/>
      <c r="O36" s="115">
        <f>L37+M36+M37</f>
        <v>160006</v>
      </c>
      <c r="P36" s="115"/>
      <c r="Q36" s="116"/>
      <c r="R36" s="116"/>
      <c r="S36" s="145"/>
    </row>
    <row r="37" spans="1:19" s="146" customFormat="1" ht="18" customHeight="1">
      <c r="A37" s="956"/>
      <c r="B37" s="956"/>
      <c r="C37" s="957"/>
      <c r="D37" s="957"/>
      <c r="E37" s="139"/>
      <c r="F37" s="957"/>
      <c r="G37" s="140"/>
      <c r="H37" s="141"/>
      <c r="I37" s="142"/>
      <c r="J37" s="143"/>
      <c r="K37" s="142" t="s">
        <v>1662</v>
      </c>
      <c r="L37" s="143">
        <v>153204</v>
      </c>
      <c r="M37" s="144">
        <v>1078</v>
      </c>
      <c r="N37" s="879">
        <f>(L37-L36)*11/12</f>
        <v>1078</v>
      </c>
      <c r="O37" s="115"/>
      <c r="P37" s="115"/>
      <c r="Q37" s="116"/>
      <c r="R37" s="116"/>
      <c r="S37" s="145"/>
    </row>
    <row r="38" spans="1:19" s="146" customFormat="1" ht="18" customHeight="1">
      <c r="A38" s="919"/>
      <c r="B38" s="919"/>
      <c r="C38" s="920"/>
      <c r="D38" s="920"/>
      <c r="E38" s="139"/>
      <c r="F38" s="920"/>
      <c r="G38" s="140"/>
      <c r="H38" s="141"/>
      <c r="I38" s="142"/>
      <c r="J38" s="149"/>
      <c r="K38" s="142"/>
      <c r="L38" s="149">
        <v>44974</v>
      </c>
      <c r="M38" s="144"/>
      <c r="N38" s="879"/>
      <c r="O38" s="115"/>
      <c r="P38" s="115"/>
      <c r="Q38" s="116"/>
      <c r="R38" s="116"/>
      <c r="S38" s="117"/>
    </row>
    <row r="39" spans="1:19" s="146" customFormat="1" ht="18" customHeight="1">
      <c r="A39" s="956"/>
      <c r="B39" s="956"/>
      <c r="C39" s="957"/>
      <c r="D39" s="957"/>
      <c r="E39" s="139"/>
      <c r="F39" s="957"/>
      <c r="G39" s="140"/>
      <c r="H39" s="141"/>
      <c r="I39" s="142"/>
      <c r="J39" s="149"/>
      <c r="K39" s="142"/>
      <c r="L39" s="149"/>
      <c r="M39" s="144"/>
      <c r="N39" s="879"/>
      <c r="O39" s="115"/>
      <c r="P39" s="115"/>
      <c r="Q39" s="116"/>
      <c r="R39" s="116"/>
      <c r="S39" s="117"/>
    </row>
    <row r="40" spans="1:19" s="146" customFormat="1" ht="18" customHeight="1">
      <c r="A40" s="919"/>
      <c r="B40" s="919"/>
      <c r="C40" s="920"/>
      <c r="D40" s="920"/>
      <c r="E40" s="139"/>
      <c r="F40" s="920"/>
      <c r="G40" s="140"/>
      <c r="H40" s="141"/>
      <c r="I40" s="142"/>
      <c r="J40" s="143"/>
      <c r="K40" s="142"/>
      <c r="L40" s="143"/>
      <c r="M40" s="144"/>
      <c r="N40" s="879"/>
      <c r="O40" s="115"/>
      <c r="P40" s="115"/>
      <c r="Q40" s="116"/>
      <c r="R40" s="116"/>
      <c r="S40" s="117"/>
    </row>
    <row r="41" spans="1:19" s="146" customFormat="1" ht="18" customHeight="1">
      <c r="A41" s="919">
        <v>7</v>
      </c>
      <c r="B41" s="919"/>
      <c r="C41" s="920"/>
      <c r="D41" s="920"/>
      <c r="E41" s="139" t="s">
        <v>944</v>
      </c>
      <c r="F41" s="920"/>
      <c r="G41" s="140"/>
      <c r="H41" s="141" t="s">
        <v>901</v>
      </c>
      <c r="I41" s="142" t="s">
        <v>1664</v>
      </c>
      <c r="J41" s="143">
        <v>193776</v>
      </c>
      <c r="K41" s="142" t="s">
        <v>160</v>
      </c>
      <c r="L41" s="143">
        <v>201384</v>
      </c>
      <c r="M41" s="144">
        <f>L41-J41</f>
        <v>7608</v>
      </c>
      <c r="N41" s="879"/>
      <c r="O41" s="115">
        <f>M41+L41</f>
        <v>208992</v>
      </c>
      <c r="P41" s="115"/>
      <c r="Q41" s="116"/>
      <c r="R41" s="116"/>
      <c r="S41" s="145"/>
    </row>
    <row r="42" spans="1:19" s="146" customFormat="1" ht="18" customHeight="1">
      <c r="A42" s="956"/>
      <c r="B42" s="956"/>
      <c r="C42" s="957"/>
      <c r="D42" s="957"/>
      <c r="E42" s="139"/>
      <c r="F42" s="957"/>
      <c r="G42" s="140"/>
      <c r="H42" s="141"/>
      <c r="I42" s="142"/>
      <c r="J42" s="143"/>
      <c r="K42" s="142"/>
      <c r="L42" s="143"/>
      <c r="M42" s="144"/>
      <c r="N42" s="879"/>
      <c r="O42" s="115"/>
      <c r="P42" s="115"/>
      <c r="Q42" s="116"/>
      <c r="R42" s="116"/>
      <c r="S42" s="145"/>
    </row>
    <row r="43" spans="1:19" s="146" customFormat="1" ht="18" customHeight="1">
      <c r="A43" s="919"/>
      <c r="B43" s="919"/>
      <c r="C43" s="920"/>
      <c r="D43" s="920"/>
      <c r="E43" s="139"/>
      <c r="F43" s="920"/>
      <c r="G43" s="140"/>
      <c r="H43" s="141"/>
      <c r="I43" s="142"/>
      <c r="J43" s="149"/>
      <c r="K43" s="142"/>
      <c r="L43" s="149"/>
      <c r="M43" s="144"/>
      <c r="N43" s="879"/>
      <c r="O43" s="115"/>
      <c r="P43" s="115"/>
      <c r="Q43" s="116"/>
      <c r="R43" s="116"/>
      <c r="S43" s="117"/>
    </row>
    <row r="44" spans="1:19" s="146" customFormat="1" ht="18" customHeight="1">
      <c r="A44" s="919">
        <v>8</v>
      </c>
      <c r="B44" s="919"/>
      <c r="C44" s="920"/>
      <c r="D44" s="920"/>
      <c r="E44" s="139" t="s">
        <v>53</v>
      </c>
      <c r="F44" s="920"/>
      <c r="G44" s="140"/>
      <c r="H44" s="141" t="s">
        <v>1445</v>
      </c>
      <c r="I44" s="142" t="s">
        <v>107</v>
      </c>
      <c r="J44" s="143">
        <v>154116</v>
      </c>
      <c r="K44" s="142" t="s">
        <v>107</v>
      </c>
      <c r="L44" s="143">
        <v>160200</v>
      </c>
      <c r="M44" s="144">
        <f>L44-J44</f>
        <v>6084</v>
      </c>
      <c r="N44" s="879"/>
      <c r="O44" s="115">
        <f>M44+L44</f>
        <v>166284</v>
      </c>
      <c r="P44" s="115"/>
      <c r="Q44" s="116"/>
      <c r="R44" s="116"/>
      <c r="S44" s="145"/>
    </row>
    <row r="45" spans="1:19" s="146" customFormat="1" ht="18" customHeight="1">
      <c r="A45" s="956"/>
      <c r="B45" s="956"/>
      <c r="C45" s="957"/>
      <c r="D45" s="957"/>
      <c r="E45" s="139"/>
      <c r="F45" s="957"/>
      <c r="G45" s="140"/>
      <c r="H45" s="141"/>
      <c r="I45" s="142"/>
      <c r="J45" s="143"/>
      <c r="K45" s="142"/>
      <c r="L45" s="143"/>
      <c r="M45" s="144"/>
      <c r="N45" s="879"/>
      <c r="O45" s="115"/>
      <c r="P45" s="115"/>
      <c r="Q45" s="116"/>
      <c r="R45" s="116"/>
      <c r="S45" s="145"/>
    </row>
    <row r="46" spans="1:19" s="146" customFormat="1" ht="18" customHeight="1">
      <c r="A46" s="919"/>
      <c r="B46" s="919"/>
      <c r="C46" s="920"/>
      <c r="D46" s="920"/>
      <c r="E46" s="139"/>
      <c r="F46" s="920"/>
      <c r="G46" s="140"/>
      <c r="H46" s="141"/>
      <c r="I46" s="142"/>
      <c r="J46" s="143"/>
      <c r="K46" s="142"/>
      <c r="L46" s="149"/>
      <c r="M46" s="144"/>
      <c r="N46" s="879"/>
      <c r="O46" s="115"/>
      <c r="P46" s="115"/>
      <c r="Q46" s="116"/>
      <c r="R46" s="116"/>
      <c r="S46" s="145"/>
    </row>
    <row r="47" spans="1:19" s="146" customFormat="1" ht="18" customHeight="1">
      <c r="A47" s="919">
        <v>9</v>
      </c>
      <c r="B47" s="919"/>
      <c r="C47" s="920"/>
      <c r="D47" s="920"/>
      <c r="E47" s="139" t="s">
        <v>57</v>
      </c>
      <c r="F47" s="920"/>
      <c r="G47" s="140"/>
      <c r="H47" s="150" t="s">
        <v>1623</v>
      </c>
      <c r="I47" s="142" t="s">
        <v>241</v>
      </c>
      <c r="J47" s="143">
        <v>144072</v>
      </c>
      <c r="K47" s="142" t="s">
        <v>241</v>
      </c>
      <c r="L47" s="143">
        <v>149712</v>
      </c>
      <c r="M47" s="144">
        <f>L47-J47</f>
        <v>5640</v>
      </c>
      <c r="N47" s="879"/>
      <c r="O47" s="115">
        <f>M47+L47</f>
        <v>155352</v>
      </c>
      <c r="P47" s="115"/>
      <c r="Q47" s="116"/>
      <c r="R47" s="116"/>
      <c r="S47" s="145"/>
    </row>
    <row r="48" spans="1:19" s="146" customFormat="1" ht="18" customHeight="1">
      <c r="A48" s="956"/>
      <c r="B48" s="956"/>
      <c r="C48" s="957"/>
      <c r="D48" s="957"/>
      <c r="E48" s="139"/>
      <c r="F48" s="957"/>
      <c r="G48" s="140"/>
      <c r="H48" s="150"/>
      <c r="I48" s="142"/>
      <c r="J48" s="143"/>
      <c r="K48" s="142"/>
      <c r="L48" s="143"/>
      <c r="M48" s="144"/>
      <c r="N48" s="879"/>
      <c r="O48" s="115"/>
      <c r="P48" s="115"/>
      <c r="Q48" s="116"/>
      <c r="R48" s="116"/>
      <c r="S48" s="145"/>
    </row>
    <row r="49" spans="1:19" s="146" customFormat="1" ht="18" customHeight="1">
      <c r="A49" s="919"/>
      <c r="B49" s="919"/>
      <c r="C49" s="920"/>
      <c r="D49" s="920"/>
      <c r="E49" s="139"/>
      <c r="F49" s="920"/>
      <c r="G49" s="140"/>
      <c r="H49" s="141"/>
      <c r="I49" s="142"/>
      <c r="J49" s="149"/>
      <c r="K49" s="142"/>
      <c r="L49" s="149"/>
      <c r="M49" s="144"/>
      <c r="N49" s="879"/>
      <c r="O49" s="115"/>
      <c r="P49" s="115"/>
      <c r="Q49" s="116"/>
      <c r="R49" s="116"/>
      <c r="S49" s="117"/>
    </row>
    <row r="50" spans="1:19" s="146" customFormat="1" ht="18" customHeight="1">
      <c r="A50" s="929">
        <v>10</v>
      </c>
      <c r="B50" s="1552"/>
      <c r="C50" s="1553"/>
      <c r="D50" s="1554"/>
      <c r="E50" s="139" t="s">
        <v>1651</v>
      </c>
      <c r="F50" s="930"/>
      <c r="G50" s="140"/>
      <c r="H50" s="141" t="s">
        <v>59</v>
      </c>
      <c r="I50" s="142" t="s">
        <v>1641</v>
      </c>
      <c r="J50" s="143">
        <v>461076</v>
      </c>
      <c r="K50" s="142" t="s">
        <v>1641</v>
      </c>
      <c r="L50" s="143">
        <v>476592</v>
      </c>
      <c r="M50" s="144">
        <f>L50-J50</f>
        <v>15516</v>
      </c>
      <c r="N50" s="879"/>
      <c r="O50" s="115">
        <f>M50+L50</f>
        <v>492108</v>
      </c>
      <c r="P50" s="115"/>
      <c r="Q50" s="116"/>
      <c r="R50" s="116"/>
      <c r="S50" s="145"/>
    </row>
    <row r="51" spans="1:19" s="146" customFormat="1" ht="18" customHeight="1">
      <c r="A51" s="929"/>
      <c r="B51" s="929"/>
      <c r="C51" s="930"/>
      <c r="D51" s="930"/>
      <c r="E51" s="139" t="s">
        <v>1652</v>
      </c>
      <c r="F51" s="930"/>
      <c r="G51" s="140"/>
      <c r="H51" s="141"/>
      <c r="I51" s="152"/>
      <c r="J51" s="143"/>
      <c r="K51" s="152"/>
      <c r="L51" s="143"/>
      <c r="M51" s="144"/>
      <c r="N51" s="879"/>
      <c r="O51" s="115"/>
      <c r="P51" s="115"/>
      <c r="Q51" s="116"/>
      <c r="R51" s="116"/>
      <c r="S51" s="145"/>
    </row>
    <row r="52" spans="1:19" s="146" customFormat="1" ht="18" customHeight="1">
      <c r="A52" s="956"/>
      <c r="B52" s="956"/>
      <c r="C52" s="957"/>
      <c r="D52" s="957"/>
      <c r="E52" s="139"/>
      <c r="F52" s="957"/>
      <c r="G52" s="140"/>
      <c r="H52" s="141"/>
      <c r="I52" s="152"/>
      <c r="J52" s="143"/>
      <c r="K52" s="152"/>
      <c r="L52" s="143"/>
      <c r="M52" s="144"/>
      <c r="N52" s="879"/>
      <c r="O52" s="115"/>
      <c r="P52" s="115"/>
      <c r="Q52" s="116"/>
      <c r="R52" s="116"/>
      <c r="S52" s="145"/>
    </row>
    <row r="53" spans="1:19" s="146" customFormat="1" ht="18" customHeight="1">
      <c r="A53" s="956"/>
      <c r="B53" s="956"/>
      <c r="C53" s="957"/>
      <c r="D53" s="957"/>
      <c r="E53" s="139"/>
      <c r="F53" s="957"/>
      <c r="G53" s="140"/>
      <c r="H53" s="141"/>
      <c r="I53" s="152"/>
      <c r="J53" s="149"/>
      <c r="K53" s="152"/>
      <c r="L53" s="149"/>
      <c r="M53" s="144"/>
      <c r="N53" s="879"/>
      <c r="O53" s="115"/>
      <c r="P53" s="115"/>
      <c r="Q53" s="116"/>
      <c r="R53" s="116"/>
      <c r="S53" s="117"/>
    </row>
    <row r="54" spans="1:19" s="146" customFormat="1" ht="18" customHeight="1">
      <c r="A54" s="919">
        <v>11</v>
      </c>
      <c r="B54" s="919"/>
      <c r="C54" s="920"/>
      <c r="D54" s="920"/>
      <c r="E54" s="139" t="s">
        <v>900</v>
      </c>
      <c r="F54" s="920"/>
      <c r="G54" s="140"/>
      <c r="H54" s="141" t="s">
        <v>102</v>
      </c>
      <c r="I54" s="152" t="s">
        <v>130</v>
      </c>
      <c r="J54" s="143">
        <v>262380</v>
      </c>
      <c r="K54" s="152" t="s">
        <v>384</v>
      </c>
      <c r="L54" s="143">
        <v>275400</v>
      </c>
      <c r="M54" s="144">
        <f>L54-J54</f>
        <v>13020</v>
      </c>
      <c r="N54" s="879"/>
      <c r="O54" s="115">
        <f>M54+L54</f>
        <v>288420</v>
      </c>
      <c r="P54" s="115"/>
      <c r="Q54" s="116"/>
      <c r="R54" s="116"/>
      <c r="S54" s="145"/>
    </row>
    <row r="55" spans="1:19" s="146" customFormat="1" ht="18" customHeight="1">
      <c r="A55" s="956"/>
      <c r="B55" s="956"/>
      <c r="C55" s="957"/>
      <c r="D55" s="957"/>
      <c r="E55" s="139"/>
      <c r="F55" s="957"/>
      <c r="G55" s="140"/>
      <c r="H55" s="141"/>
      <c r="I55" s="152"/>
      <c r="J55" s="143"/>
      <c r="K55" s="152"/>
      <c r="L55" s="143"/>
      <c r="M55" s="144"/>
      <c r="N55" s="879"/>
      <c r="O55" s="115"/>
      <c r="P55" s="115"/>
      <c r="Q55" s="116"/>
      <c r="R55" s="116"/>
      <c r="S55" s="145"/>
    </row>
    <row r="56" spans="1:19" s="146" customFormat="1" ht="18" customHeight="1">
      <c r="A56" s="956"/>
      <c r="B56" s="956"/>
      <c r="C56" s="957"/>
      <c r="D56" s="957"/>
      <c r="E56" s="139"/>
      <c r="F56" s="957"/>
      <c r="G56" s="140"/>
      <c r="H56" s="141"/>
      <c r="I56" s="152"/>
      <c r="J56" s="143"/>
      <c r="K56" s="152"/>
      <c r="L56" s="143"/>
      <c r="M56" s="144"/>
      <c r="N56" s="879"/>
      <c r="O56" s="115"/>
      <c r="P56" s="115"/>
      <c r="Q56" s="116"/>
      <c r="R56" s="116"/>
      <c r="S56" s="145"/>
    </row>
    <row r="57" spans="1:19" s="146" customFormat="1" ht="18" customHeight="1">
      <c r="A57" s="929">
        <v>12</v>
      </c>
      <c r="B57" s="1552"/>
      <c r="C57" s="1553"/>
      <c r="D57" s="1554"/>
      <c r="E57" s="139" t="s">
        <v>1658</v>
      </c>
      <c r="F57" s="930"/>
      <c r="G57" s="140"/>
      <c r="H57" s="141" t="s">
        <v>435</v>
      </c>
      <c r="I57" s="142" t="s">
        <v>241</v>
      </c>
      <c r="J57" s="143">
        <f>144072</f>
        <v>144072</v>
      </c>
      <c r="K57" s="142" t="s">
        <v>241</v>
      </c>
      <c r="L57" s="143">
        <v>149712</v>
      </c>
      <c r="M57" s="144">
        <f>L57-J57</f>
        <v>5640</v>
      </c>
      <c r="N57" s="879"/>
      <c r="O57" s="115">
        <f>M57+L57</f>
        <v>155352</v>
      </c>
      <c r="P57" s="115"/>
      <c r="Q57" s="116"/>
      <c r="R57" s="116"/>
      <c r="S57" s="145"/>
    </row>
    <row r="58" spans="1:19" s="146" customFormat="1" ht="18" customHeight="1">
      <c r="A58" s="956"/>
      <c r="B58" s="956"/>
      <c r="C58" s="957"/>
      <c r="D58" s="957"/>
      <c r="E58" s="139"/>
      <c r="F58" s="957"/>
      <c r="G58" s="140"/>
      <c r="H58" s="141"/>
      <c r="I58" s="152"/>
      <c r="J58" s="143"/>
      <c r="K58" s="152"/>
      <c r="L58" s="143"/>
      <c r="M58" s="144"/>
      <c r="N58" s="879"/>
      <c r="O58" s="115"/>
      <c r="P58" s="115"/>
      <c r="Q58" s="116"/>
      <c r="R58" s="116"/>
      <c r="S58" s="145"/>
    </row>
    <row r="59" spans="1:19" s="146" customFormat="1" ht="18" customHeight="1">
      <c r="A59" s="956"/>
      <c r="B59" s="956"/>
      <c r="C59" s="957"/>
      <c r="D59" s="957"/>
      <c r="E59" s="139"/>
      <c r="F59" s="957"/>
      <c r="G59" s="140"/>
      <c r="H59" s="141"/>
      <c r="I59" s="152"/>
      <c r="J59" s="143"/>
      <c r="K59" s="152"/>
      <c r="L59" s="143"/>
      <c r="M59" s="144"/>
      <c r="N59" s="879"/>
      <c r="O59" s="115"/>
      <c r="P59" s="115"/>
      <c r="Q59" s="116"/>
      <c r="R59" s="116"/>
      <c r="S59" s="145"/>
    </row>
    <row r="60" spans="1:19" s="146" customFormat="1" ht="18" customHeight="1">
      <c r="A60" s="929">
        <v>13</v>
      </c>
      <c r="B60" s="1552"/>
      <c r="C60" s="1553"/>
      <c r="D60" s="1554"/>
      <c r="E60" s="139" t="s">
        <v>57</v>
      </c>
      <c r="F60" s="930"/>
      <c r="G60" s="140"/>
      <c r="H60" s="234" t="s">
        <v>1676</v>
      </c>
      <c r="I60" s="142" t="s">
        <v>241</v>
      </c>
      <c r="J60" s="143">
        <f>144072</f>
        <v>144072</v>
      </c>
      <c r="K60" s="142" t="s">
        <v>241</v>
      </c>
      <c r="L60" s="143">
        <v>149712</v>
      </c>
      <c r="M60" s="144">
        <f>L60-J60</f>
        <v>5640</v>
      </c>
      <c r="N60" s="879"/>
      <c r="O60" s="115">
        <f>M60+L60</f>
        <v>155352</v>
      </c>
      <c r="P60" s="115"/>
      <c r="Q60" s="116"/>
      <c r="R60" s="116"/>
      <c r="S60" s="145"/>
    </row>
    <row r="61" spans="1:19" s="146" customFormat="1" ht="18" customHeight="1">
      <c r="A61" s="956"/>
      <c r="B61" s="956"/>
      <c r="C61" s="957"/>
      <c r="D61" s="957"/>
      <c r="E61" s="139"/>
      <c r="F61" s="957"/>
      <c r="G61" s="140"/>
      <c r="H61" s="234"/>
      <c r="I61" s="152"/>
      <c r="J61" s="143"/>
      <c r="K61" s="152"/>
      <c r="L61" s="143"/>
      <c r="M61" s="144"/>
      <c r="N61" s="879"/>
      <c r="O61" s="115"/>
      <c r="P61" s="115"/>
      <c r="Q61" s="116"/>
      <c r="R61" s="116"/>
      <c r="S61" s="145"/>
    </row>
    <row r="62" spans="1:19" s="146" customFormat="1" ht="18" customHeight="1">
      <c r="A62" s="929"/>
      <c r="B62" s="929"/>
      <c r="C62" s="930"/>
      <c r="D62" s="930"/>
      <c r="E62" s="139"/>
      <c r="F62" s="930"/>
      <c r="G62" s="140"/>
      <c r="H62" s="234"/>
      <c r="I62" s="152"/>
      <c r="J62" s="143"/>
      <c r="K62" s="152"/>
      <c r="L62" s="143"/>
      <c r="M62" s="144"/>
      <c r="N62" s="879"/>
      <c r="O62" s="115"/>
      <c r="P62" s="115"/>
      <c r="Q62" s="116"/>
      <c r="R62" s="116"/>
      <c r="S62" s="145"/>
    </row>
    <row r="63" spans="1:19" s="146" customFormat="1" ht="18" customHeight="1">
      <c r="A63" s="929">
        <v>14</v>
      </c>
      <c r="B63" s="1552"/>
      <c r="C63" s="1553"/>
      <c r="D63" s="1554"/>
      <c r="E63" s="139" t="s">
        <v>57</v>
      </c>
      <c r="F63" s="930"/>
      <c r="G63" s="140"/>
      <c r="H63" s="234" t="s">
        <v>1677</v>
      </c>
      <c r="I63" s="142" t="s">
        <v>241</v>
      </c>
      <c r="J63" s="143">
        <f>144072</f>
        <v>144072</v>
      </c>
      <c r="K63" s="142" t="s">
        <v>241</v>
      </c>
      <c r="L63" s="143">
        <v>149712</v>
      </c>
      <c r="M63" s="144">
        <f>L63-J63</f>
        <v>5640</v>
      </c>
      <c r="N63" s="879"/>
      <c r="O63" s="115">
        <f>M63+L63</f>
        <v>155352</v>
      </c>
      <c r="P63" s="115"/>
      <c r="Q63" s="116"/>
      <c r="R63" s="116"/>
      <c r="S63" s="145"/>
    </row>
    <row r="64" spans="1:19" s="146" customFormat="1" ht="18" customHeight="1">
      <c r="A64" s="956"/>
      <c r="B64" s="956"/>
      <c r="C64" s="957"/>
      <c r="D64" s="957"/>
      <c r="E64" s="139"/>
      <c r="F64" s="957"/>
      <c r="G64" s="140"/>
      <c r="H64" s="234"/>
      <c r="I64" s="152"/>
      <c r="J64" s="143"/>
      <c r="K64" s="152"/>
      <c r="L64" s="143"/>
      <c r="M64" s="144"/>
      <c r="N64" s="879"/>
      <c r="O64" s="115"/>
      <c r="P64" s="115"/>
      <c r="Q64" s="116"/>
      <c r="R64" s="116"/>
      <c r="S64" s="145"/>
    </row>
    <row r="65" spans="1:19" s="146" customFormat="1" ht="18" customHeight="1">
      <c r="A65" s="929"/>
      <c r="B65" s="929"/>
      <c r="C65" s="930"/>
      <c r="D65" s="930"/>
      <c r="E65" s="139"/>
      <c r="F65" s="930"/>
      <c r="G65" s="140"/>
      <c r="H65" s="234"/>
      <c r="I65" s="152"/>
      <c r="J65" s="143"/>
      <c r="K65" s="152"/>
      <c r="L65" s="143"/>
      <c r="M65" s="144"/>
      <c r="N65" s="879"/>
      <c r="O65" s="115"/>
      <c r="P65" s="115"/>
      <c r="Q65" s="116"/>
      <c r="R65" s="116"/>
      <c r="S65" s="145"/>
    </row>
    <row r="66" spans="1:19" s="146" customFormat="1" ht="18" customHeight="1">
      <c r="A66" s="929">
        <v>15</v>
      </c>
      <c r="B66" s="1552"/>
      <c r="C66" s="1553"/>
      <c r="D66" s="1554"/>
      <c r="E66" s="139" t="s">
        <v>1659</v>
      </c>
      <c r="F66" s="930"/>
      <c r="G66" s="140"/>
      <c r="H66" s="234" t="s">
        <v>1926</v>
      </c>
      <c r="I66" s="142" t="s">
        <v>241</v>
      </c>
      <c r="J66" s="143">
        <f>144072</f>
        <v>144072</v>
      </c>
      <c r="K66" s="142" t="s">
        <v>241</v>
      </c>
      <c r="L66" s="143">
        <v>149712</v>
      </c>
      <c r="M66" s="144">
        <f>L66-J66</f>
        <v>5640</v>
      </c>
      <c r="N66" s="879"/>
      <c r="O66" s="115">
        <f>M66+L66</f>
        <v>155352</v>
      </c>
      <c r="P66" s="115"/>
      <c r="Q66" s="116"/>
      <c r="R66" s="116"/>
      <c r="S66" s="145"/>
    </row>
    <row r="67" spans="1:19" s="146" customFormat="1" ht="18" customHeight="1">
      <c r="A67" s="956"/>
      <c r="B67" s="956"/>
      <c r="C67" s="957"/>
      <c r="D67" s="957"/>
      <c r="E67" s="139"/>
      <c r="F67" s="957"/>
      <c r="G67" s="140"/>
      <c r="H67" s="234"/>
      <c r="I67" s="152"/>
      <c r="J67" s="143"/>
      <c r="K67" s="152"/>
      <c r="L67" s="143"/>
      <c r="M67" s="144"/>
      <c r="N67" s="879"/>
      <c r="O67" s="115"/>
      <c r="P67" s="115"/>
      <c r="Q67" s="116"/>
      <c r="R67" s="116"/>
      <c r="S67" s="145"/>
    </row>
    <row r="68" spans="1:19" s="146" customFormat="1" ht="18" customHeight="1">
      <c r="A68" s="929"/>
      <c r="B68" s="929"/>
      <c r="C68" s="930"/>
      <c r="D68" s="930"/>
      <c r="E68" s="139"/>
      <c r="F68" s="930"/>
      <c r="G68" s="140"/>
      <c r="H68" s="141"/>
      <c r="I68" s="152"/>
      <c r="J68" s="143"/>
      <c r="K68" s="152"/>
      <c r="L68" s="143"/>
      <c r="M68" s="144"/>
      <c r="N68" s="879"/>
      <c r="O68" s="115"/>
      <c r="P68" s="115"/>
      <c r="Q68" s="116"/>
      <c r="R68" s="116"/>
      <c r="S68" s="145"/>
    </row>
    <row r="69" spans="1:19" s="146" customFormat="1" ht="18" customHeight="1" thickBot="1">
      <c r="A69" s="932"/>
      <c r="B69" s="186"/>
      <c r="C69" s="158"/>
      <c r="D69" s="158"/>
      <c r="E69" s="933"/>
      <c r="F69" s="158"/>
      <c r="G69" s="160"/>
      <c r="H69" s="161" t="s">
        <v>918</v>
      </c>
      <c r="I69" s="934"/>
      <c r="J69" s="164">
        <f>SUM(J14:J68)</f>
        <v>4404456</v>
      </c>
      <c r="K69" s="934"/>
      <c r="L69" s="164"/>
      <c r="M69" s="164">
        <f>SUM(M14:M68)</f>
        <v>143050</v>
      </c>
      <c r="N69" s="879"/>
      <c r="O69" s="115">
        <f>SUM(O15:O68)</f>
        <v>4690654</v>
      </c>
      <c r="P69" s="115"/>
      <c r="Q69" s="116"/>
      <c r="R69" s="116"/>
      <c r="S69" s="145"/>
    </row>
    <row r="70" spans="1:19" s="146" customFormat="1" ht="18" customHeight="1" thickTop="1">
      <c r="A70" s="930"/>
      <c r="B70" s="930"/>
      <c r="C70" s="930"/>
      <c r="D70" s="930"/>
      <c r="E70" s="935"/>
      <c r="F70" s="930"/>
      <c r="G70" s="155"/>
      <c r="H70" s="155"/>
      <c r="I70" s="152"/>
      <c r="J70" s="170"/>
      <c r="K70" s="152"/>
      <c r="L70" s="170"/>
      <c r="M70" s="879"/>
      <c r="N70" s="879"/>
      <c r="O70" s="115"/>
      <c r="P70" s="115"/>
      <c r="Q70" s="116"/>
      <c r="R70" s="116"/>
      <c r="S70" s="145"/>
    </row>
    <row r="71" spans="1:19" s="146" customFormat="1" ht="18" customHeight="1">
      <c r="A71" s="1538" t="s">
        <v>1663</v>
      </c>
      <c r="B71" s="1538"/>
      <c r="C71" s="1538"/>
      <c r="D71" s="1538"/>
      <c r="E71" s="1538"/>
      <c r="F71" s="1538"/>
      <c r="G71" s="1538"/>
      <c r="H71" s="1538"/>
      <c r="I71" s="1538"/>
      <c r="J71" s="1538"/>
      <c r="K71" s="1538"/>
      <c r="L71" s="1538"/>
      <c r="M71" s="1538"/>
      <c r="N71" s="879"/>
      <c r="O71" s="115"/>
      <c r="P71" s="115"/>
      <c r="Q71" s="116"/>
      <c r="R71" s="116"/>
      <c r="S71" s="145"/>
    </row>
    <row r="72" spans="1:19" s="146" customFormat="1" ht="18" customHeight="1">
      <c r="A72" s="1539" t="s">
        <v>351</v>
      </c>
      <c r="B72" s="1539"/>
      <c r="C72" s="1539"/>
      <c r="D72" s="1539"/>
      <c r="E72" s="1539"/>
      <c r="F72" s="1539"/>
      <c r="G72" s="1539"/>
      <c r="H72" s="1539"/>
      <c r="I72" s="1539"/>
      <c r="J72" s="1539"/>
      <c r="K72" s="1539"/>
      <c r="L72" s="1539"/>
      <c r="M72" s="1539"/>
      <c r="N72" s="879"/>
      <c r="O72" s="115"/>
      <c r="P72" s="115"/>
      <c r="Q72" s="116"/>
      <c r="R72" s="116"/>
      <c r="S72" s="145"/>
    </row>
    <row r="73" spans="1:19" s="146" customFormat="1" ht="18" customHeight="1">
      <c r="A73" s="1540"/>
      <c r="B73" s="1540"/>
      <c r="C73" s="1540"/>
      <c r="D73" s="1540"/>
      <c r="E73" s="1540"/>
      <c r="F73" s="1540"/>
      <c r="G73" s="1540"/>
      <c r="H73" s="1540"/>
      <c r="I73" s="1540"/>
      <c r="J73" s="1540"/>
      <c r="K73" s="1540"/>
      <c r="L73" s="1540"/>
      <c r="M73" s="1540"/>
      <c r="N73" s="879"/>
      <c r="O73" s="115"/>
      <c r="P73" s="115"/>
      <c r="Q73" s="116"/>
      <c r="R73" s="116"/>
      <c r="S73" s="145"/>
    </row>
    <row r="74" spans="1:19" s="146" customFormat="1" ht="18" customHeight="1">
      <c r="A74" s="924"/>
      <c r="B74" s="924"/>
      <c r="C74" s="924"/>
      <c r="D74" s="924"/>
      <c r="E74" s="924"/>
      <c r="F74" s="924"/>
      <c r="G74" s="924"/>
      <c r="H74" s="924"/>
      <c r="I74" s="924"/>
      <c r="J74" s="924"/>
      <c r="K74" s="924"/>
      <c r="L74" s="924"/>
      <c r="M74" s="924"/>
      <c r="N74" s="879"/>
      <c r="O74" s="115"/>
      <c r="P74" s="115"/>
      <c r="Q74" s="116"/>
      <c r="R74" s="116"/>
      <c r="S74" s="145"/>
    </row>
    <row r="75" spans="1:19" s="146" customFormat="1" ht="18" customHeight="1">
      <c r="A75" s="111" t="s">
        <v>437</v>
      </c>
      <c r="B75" s="111"/>
      <c r="C75" s="924" t="s">
        <v>439</v>
      </c>
      <c r="D75" s="111" t="s">
        <v>286</v>
      </c>
      <c r="E75" s="118"/>
      <c r="F75" s="111"/>
      <c r="G75" s="111"/>
      <c r="H75" s="111"/>
      <c r="I75" s="111"/>
      <c r="J75" s="112"/>
      <c r="K75" s="924"/>
      <c r="L75" s="924"/>
      <c r="M75" s="924"/>
      <c r="N75" s="879"/>
      <c r="O75" s="115"/>
      <c r="P75" s="115"/>
      <c r="Q75" s="116"/>
      <c r="R75" s="116"/>
      <c r="S75" s="145"/>
    </row>
    <row r="76" spans="1:19" s="146" customFormat="1" ht="18" customHeight="1">
      <c r="A76" s="111" t="s">
        <v>436</v>
      </c>
      <c r="B76" s="111"/>
      <c r="C76" s="924" t="s">
        <v>439</v>
      </c>
      <c r="D76" s="111" t="s">
        <v>440</v>
      </c>
      <c r="E76" s="118"/>
      <c r="F76" s="111"/>
      <c r="G76" s="111"/>
      <c r="H76" s="111"/>
      <c r="I76" s="111"/>
      <c r="J76" s="112"/>
      <c r="K76" s="924"/>
      <c r="L76" s="924"/>
      <c r="M76" s="924"/>
      <c r="N76" s="879"/>
      <c r="O76" s="115"/>
      <c r="P76" s="115"/>
      <c r="Q76" s="116"/>
      <c r="R76" s="116"/>
      <c r="S76" s="145"/>
    </row>
    <row r="77" spans="1:19" s="146" customFormat="1" ht="18" customHeight="1" thickBot="1">
      <c r="A77" s="111" t="s">
        <v>438</v>
      </c>
      <c r="B77" s="111"/>
      <c r="C77" s="119" t="s">
        <v>439</v>
      </c>
      <c r="D77" s="111" t="s">
        <v>658</v>
      </c>
      <c r="E77" s="118"/>
      <c r="F77" s="111"/>
      <c r="G77" s="111"/>
      <c r="H77" s="111"/>
      <c r="I77" s="111"/>
      <c r="J77" s="112"/>
      <c r="K77" s="112"/>
      <c r="L77" s="113"/>
      <c r="M77" s="113"/>
      <c r="N77" s="879"/>
      <c r="O77" s="115"/>
      <c r="P77" s="115"/>
      <c r="Q77" s="116"/>
      <c r="R77" s="116"/>
      <c r="S77" s="145"/>
    </row>
    <row r="78" spans="1:19" s="146" customFormat="1" ht="18" customHeight="1">
      <c r="A78" s="1532" t="s">
        <v>619</v>
      </c>
      <c r="B78" s="1533"/>
      <c r="C78" s="1533"/>
      <c r="D78" s="1533"/>
      <c r="E78" s="1534"/>
      <c r="F78" s="1533"/>
      <c r="G78" s="1535"/>
      <c r="H78" s="925"/>
      <c r="I78" s="1536" t="s">
        <v>623</v>
      </c>
      <c r="J78" s="1537"/>
      <c r="K78" s="1536" t="s">
        <v>623</v>
      </c>
      <c r="L78" s="1537"/>
      <c r="M78" s="122"/>
      <c r="N78" s="879"/>
      <c r="O78" s="115"/>
      <c r="P78" s="115"/>
      <c r="Q78" s="116"/>
      <c r="R78" s="116"/>
      <c r="S78" s="145"/>
    </row>
    <row r="79" spans="1:19" s="146" customFormat="1" ht="18" customHeight="1">
      <c r="A79" s="123" t="s">
        <v>620</v>
      </c>
      <c r="B79" s="1544" t="s">
        <v>621</v>
      </c>
      <c r="C79" s="1545"/>
      <c r="D79" s="1546"/>
      <c r="E79" s="1547" t="s">
        <v>43</v>
      </c>
      <c r="F79" s="1548"/>
      <c r="G79" s="1549"/>
      <c r="H79" s="926" t="s">
        <v>44</v>
      </c>
      <c r="I79" s="1547" t="s">
        <v>1613</v>
      </c>
      <c r="J79" s="1549"/>
      <c r="K79" s="1548" t="s">
        <v>1660</v>
      </c>
      <c r="L79" s="1549"/>
      <c r="M79" s="124" t="s">
        <v>45</v>
      </c>
      <c r="N79" s="879"/>
      <c r="O79" s="115"/>
      <c r="P79" s="115"/>
      <c r="Q79" s="116"/>
      <c r="R79" s="116"/>
      <c r="S79" s="145"/>
    </row>
    <row r="80" spans="1:19" s="146" customFormat="1" ht="18" customHeight="1">
      <c r="A80" s="125"/>
      <c r="B80" s="926"/>
      <c r="C80" s="927"/>
      <c r="D80" s="927"/>
      <c r="E80" s="926"/>
      <c r="F80" s="927"/>
      <c r="G80" s="928"/>
      <c r="H80" s="926" t="s">
        <v>46</v>
      </c>
      <c r="I80" s="1550"/>
      <c r="J80" s="1551"/>
      <c r="K80" s="1550"/>
      <c r="L80" s="1551"/>
      <c r="M80" s="124" t="s">
        <v>47</v>
      </c>
      <c r="N80" s="879"/>
      <c r="O80" s="115"/>
      <c r="P80" s="115"/>
      <c r="Q80" s="116"/>
      <c r="R80" s="116"/>
      <c r="S80" s="145"/>
    </row>
    <row r="81" spans="1:19" s="146" customFormat="1" ht="18" customHeight="1">
      <c r="A81" s="125"/>
      <c r="B81" s="926"/>
      <c r="C81" s="927"/>
      <c r="D81" s="927"/>
      <c r="E81" s="926"/>
      <c r="F81" s="927"/>
      <c r="G81" s="126"/>
      <c r="H81" s="127"/>
      <c r="I81" s="128" t="s">
        <v>622</v>
      </c>
      <c r="J81" s="129" t="s">
        <v>48</v>
      </c>
      <c r="K81" s="128" t="s">
        <v>622</v>
      </c>
      <c r="L81" s="129" t="s">
        <v>48</v>
      </c>
      <c r="M81" s="124"/>
      <c r="N81" s="879"/>
      <c r="O81" s="115"/>
      <c r="P81" s="115"/>
      <c r="Q81" s="116"/>
      <c r="R81" s="116"/>
      <c r="S81" s="145"/>
    </row>
    <row r="82" spans="1:19" s="146" customFormat="1" ht="18" customHeight="1" thickBot="1">
      <c r="A82" s="130"/>
      <c r="B82" s="1541"/>
      <c r="C82" s="1542"/>
      <c r="D82" s="1543"/>
      <c r="E82" s="1541"/>
      <c r="F82" s="1542"/>
      <c r="G82" s="1543"/>
      <c r="H82" s="131"/>
      <c r="I82" s="131"/>
      <c r="J82" s="131"/>
      <c r="K82" s="131"/>
      <c r="L82" s="131"/>
      <c r="M82" s="132"/>
      <c r="N82" s="879"/>
      <c r="O82" s="115"/>
      <c r="P82" s="115"/>
      <c r="Q82" s="116"/>
      <c r="R82" s="116"/>
      <c r="S82" s="145"/>
    </row>
    <row r="83" spans="1:19" s="146" customFormat="1" ht="18" customHeight="1">
      <c r="A83" s="133"/>
      <c r="B83" s="133"/>
      <c r="C83" s="119"/>
      <c r="D83" s="217"/>
      <c r="E83" s="133"/>
      <c r="F83" s="119"/>
      <c r="G83" s="217"/>
      <c r="H83" s="181"/>
      <c r="I83" s="181"/>
      <c r="J83" s="181"/>
      <c r="K83" s="181"/>
      <c r="L83" s="181"/>
      <c r="M83" s="181"/>
      <c r="N83" s="879"/>
      <c r="O83" s="115"/>
      <c r="P83" s="115"/>
      <c r="Q83" s="116"/>
      <c r="R83" s="116"/>
      <c r="S83" s="145"/>
    </row>
    <row r="84" spans="1:19" s="146" customFormat="1" ht="18" customHeight="1">
      <c r="A84" s="919"/>
      <c r="B84" s="919"/>
      <c r="C84" s="920"/>
      <c r="D84" s="920"/>
      <c r="E84" s="139" t="s">
        <v>61</v>
      </c>
      <c r="F84" s="920"/>
      <c r="G84" s="140"/>
      <c r="H84" s="141"/>
      <c r="I84" s="142"/>
      <c r="J84" s="143"/>
      <c r="K84" s="142"/>
      <c r="L84" s="149"/>
      <c r="M84" s="144"/>
      <c r="N84" s="879"/>
      <c r="O84" s="115"/>
      <c r="P84" s="115"/>
      <c r="Q84" s="116"/>
      <c r="R84" s="116"/>
      <c r="S84" s="117"/>
    </row>
    <row r="85" spans="1:19" s="146" customFormat="1" ht="18" customHeight="1">
      <c r="A85" s="919"/>
      <c r="B85" s="919"/>
      <c r="C85" s="920"/>
      <c r="D85" s="920"/>
      <c r="E85" s="147" t="s">
        <v>62</v>
      </c>
      <c r="F85" s="920"/>
      <c r="G85" s="151"/>
      <c r="H85" s="141"/>
      <c r="I85" s="142"/>
      <c r="J85" s="143"/>
      <c r="K85" s="142"/>
      <c r="L85" s="143"/>
      <c r="M85" s="144"/>
      <c r="N85" s="879"/>
      <c r="O85" s="115"/>
      <c r="P85" s="115"/>
      <c r="Q85" s="116"/>
      <c r="R85" s="116"/>
      <c r="S85" s="117"/>
    </row>
    <row r="86" spans="1:19" s="146" customFormat="1" ht="18" customHeight="1">
      <c r="A86" s="919"/>
      <c r="B86" s="919"/>
      <c r="C86" s="920"/>
      <c r="D86" s="920"/>
      <c r="E86" s="147"/>
      <c r="F86" s="920"/>
      <c r="G86" s="151"/>
      <c r="H86" s="141"/>
      <c r="I86" s="142"/>
      <c r="J86" s="143"/>
      <c r="K86" s="142"/>
      <c r="L86" s="143"/>
      <c r="M86" s="144"/>
      <c r="N86" s="879"/>
      <c r="O86" s="115"/>
      <c r="P86" s="115"/>
      <c r="Q86" s="116"/>
      <c r="R86" s="116"/>
      <c r="S86" s="117"/>
    </row>
    <row r="87" spans="1:19" s="146" customFormat="1" ht="18" customHeight="1">
      <c r="A87" s="919">
        <v>16</v>
      </c>
      <c r="B87" s="919"/>
      <c r="C87" s="920"/>
      <c r="D87" s="920"/>
      <c r="E87" s="139" t="s">
        <v>422</v>
      </c>
      <c r="F87" s="920"/>
      <c r="G87" s="140"/>
      <c r="H87" s="141" t="s">
        <v>242</v>
      </c>
      <c r="I87" s="142" t="s">
        <v>426</v>
      </c>
      <c r="J87" s="143">
        <v>361848</v>
      </c>
      <c r="K87" s="142" t="s">
        <v>52</v>
      </c>
      <c r="L87" s="143">
        <v>373512</v>
      </c>
      <c r="M87" s="144">
        <f>L87-J87</f>
        <v>11664</v>
      </c>
      <c r="N87" s="879"/>
      <c r="O87" s="115">
        <f>M87+L87</f>
        <v>385176</v>
      </c>
      <c r="P87" s="115"/>
      <c r="Q87" s="116"/>
      <c r="R87" s="116"/>
      <c r="S87" s="145"/>
    </row>
    <row r="88" spans="1:19" s="146" customFormat="1" ht="18" customHeight="1">
      <c r="A88" s="956"/>
      <c r="B88" s="956"/>
      <c r="C88" s="957"/>
      <c r="D88" s="957"/>
      <c r="E88" s="139"/>
      <c r="F88" s="957"/>
      <c r="G88" s="140"/>
      <c r="H88" s="141"/>
      <c r="I88" s="142"/>
      <c r="J88" s="143"/>
      <c r="K88" s="142"/>
      <c r="L88" s="143"/>
      <c r="M88" s="144"/>
      <c r="N88" s="879"/>
      <c r="O88" s="115"/>
      <c r="P88" s="115"/>
      <c r="Q88" s="116"/>
      <c r="R88" s="116"/>
      <c r="S88" s="145"/>
    </row>
    <row r="89" spans="1:19" s="146" customFormat="1" ht="18" customHeight="1">
      <c r="A89" s="919"/>
      <c r="B89" s="919"/>
      <c r="C89" s="920"/>
      <c r="D89" s="920"/>
      <c r="E89" s="139"/>
      <c r="F89" s="920"/>
      <c r="G89" s="140"/>
      <c r="H89" s="141"/>
      <c r="I89" s="142"/>
      <c r="J89" s="143"/>
      <c r="K89" s="142"/>
      <c r="L89" s="143"/>
      <c r="M89" s="144"/>
      <c r="N89" s="879"/>
      <c r="O89" s="115"/>
      <c r="P89" s="115"/>
      <c r="Q89" s="116"/>
      <c r="R89" s="116"/>
      <c r="S89" s="117"/>
    </row>
    <row r="90" spans="1:19" s="146" customFormat="1" ht="18" customHeight="1">
      <c r="A90" s="919">
        <v>17</v>
      </c>
      <c r="B90" s="919"/>
      <c r="C90" s="920"/>
      <c r="D90" s="920"/>
      <c r="E90" s="139" t="s">
        <v>63</v>
      </c>
      <c r="F90" s="920"/>
      <c r="G90" s="140"/>
      <c r="H90" s="219" t="s">
        <v>913</v>
      </c>
      <c r="I90" s="142" t="s">
        <v>384</v>
      </c>
      <c r="J90" s="143">
        <v>259476</v>
      </c>
      <c r="K90" s="142" t="s">
        <v>384</v>
      </c>
      <c r="L90" s="143">
        <v>275400</v>
      </c>
      <c r="M90" s="144">
        <f>L90-J90</f>
        <v>15924</v>
      </c>
      <c r="N90" s="879"/>
      <c r="O90" s="115">
        <f>M90+L90</f>
        <v>291324</v>
      </c>
      <c r="P90" s="115"/>
      <c r="Q90" s="116"/>
      <c r="R90" s="116"/>
      <c r="S90" s="145"/>
    </row>
    <row r="91" spans="1:19" s="146" customFormat="1" ht="18" customHeight="1">
      <c r="A91" s="956"/>
      <c r="B91" s="956"/>
      <c r="C91" s="957"/>
      <c r="D91" s="957"/>
      <c r="E91" s="139"/>
      <c r="F91" s="957"/>
      <c r="G91" s="140"/>
      <c r="H91" s="141"/>
      <c r="I91" s="152"/>
      <c r="J91" s="143"/>
      <c r="K91" s="142"/>
      <c r="L91" s="143"/>
      <c r="M91" s="144"/>
      <c r="N91" s="879">
        <f>(L91-L90)*11/12</f>
        <v>-252450</v>
      </c>
      <c r="O91" s="115"/>
      <c r="P91" s="115"/>
      <c r="Q91" s="116"/>
      <c r="R91" s="116"/>
      <c r="S91" s="145"/>
    </row>
    <row r="92" spans="1:19" s="146" customFormat="1" ht="18" customHeight="1">
      <c r="A92" s="929"/>
      <c r="B92" s="929"/>
      <c r="C92" s="930"/>
      <c r="D92" s="930"/>
      <c r="E92" s="139"/>
      <c r="F92" s="930"/>
      <c r="G92" s="140"/>
      <c r="H92" s="141"/>
      <c r="I92" s="152"/>
      <c r="J92" s="143"/>
      <c r="K92" s="152"/>
      <c r="L92" s="149"/>
      <c r="M92" s="144"/>
      <c r="N92" s="879"/>
      <c r="O92" s="115"/>
      <c r="P92" s="115"/>
      <c r="Q92" s="116"/>
      <c r="R92" s="116"/>
      <c r="S92" s="145"/>
    </row>
    <row r="93" spans="1:19" s="146" customFormat="1" ht="18" customHeight="1">
      <c r="A93" s="956"/>
      <c r="B93" s="956"/>
      <c r="C93" s="957"/>
      <c r="D93" s="957"/>
      <c r="E93" s="139"/>
      <c r="F93" s="957"/>
      <c r="G93" s="140"/>
      <c r="H93" s="141"/>
      <c r="I93" s="152"/>
      <c r="J93" s="143"/>
      <c r="K93" s="152"/>
      <c r="L93" s="149"/>
      <c r="M93" s="144"/>
      <c r="N93" s="879"/>
      <c r="O93" s="115"/>
      <c r="P93" s="115"/>
      <c r="Q93" s="116"/>
      <c r="R93" s="116"/>
      <c r="S93" s="145"/>
    </row>
    <row r="94" spans="1:19" s="146" customFormat="1" ht="18" customHeight="1">
      <c r="A94" s="956"/>
      <c r="B94" s="956"/>
      <c r="C94" s="957"/>
      <c r="D94" s="957"/>
      <c r="E94" s="139" t="s">
        <v>1666</v>
      </c>
      <c r="F94" s="957"/>
      <c r="G94" s="140"/>
      <c r="H94" s="141"/>
      <c r="I94" s="152"/>
      <c r="J94" s="143"/>
      <c r="K94" s="152"/>
      <c r="L94" s="149"/>
      <c r="M94" s="144"/>
      <c r="N94" s="879"/>
      <c r="O94" s="115"/>
      <c r="P94" s="115"/>
      <c r="Q94" s="116"/>
      <c r="R94" s="116"/>
      <c r="S94" s="145"/>
    </row>
    <row r="95" spans="1:19" s="146" customFormat="1" ht="18" customHeight="1">
      <c r="A95" s="956"/>
      <c r="B95" s="956"/>
      <c r="C95" s="957"/>
      <c r="D95" s="957"/>
      <c r="E95" s="147" t="s">
        <v>1667</v>
      </c>
      <c r="F95" s="957"/>
      <c r="G95" s="140"/>
      <c r="H95" s="141"/>
      <c r="I95" s="152"/>
      <c r="J95" s="143"/>
      <c r="K95" s="152"/>
      <c r="L95" s="149"/>
      <c r="M95" s="144"/>
      <c r="N95" s="879"/>
      <c r="O95" s="115"/>
      <c r="P95" s="115"/>
      <c r="Q95" s="116"/>
      <c r="R95" s="116"/>
      <c r="S95" s="145"/>
    </row>
    <row r="96" spans="1:19" s="146" customFormat="1" ht="18" customHeight="1">
      <c r="A96" s="929"/>
      <c r="B96" s="929"/>
      <c r="C96" s="930"/>
      <c r="D96" s="930"/>
      <c r="E96" s="139"/>
      <c r="F96" s="930"/>
      <c r="G96" s="140"/>
      <c r="H96" s="141"/>
      <c r="I96" s="152"/>
      <c r="J96" s="143"/>
      <c r="K96" s="152"/>
      <c r="L96" s="143"/>
      <c r="M96" s="144"/>
      <c r="N96" s="879"/>
      <c r="O96" s="115"/>
      <c r="P96" s="115"/>
      <c r="Q96" s="116"/>
      <c r="R96" s="116"/>
      <c r="S96" s="145"/>
    </row>
    <row r="97" spans="1:19" s="146" customFormat="1" ht="18" customHeight="1">
      <c r="A97" s="929">
        <v>18</v>
      </c>
      <c r="B97" s="1552"/>
      <c r="C97" s="1553"/>
      <c r="D97" s="1554"/>
      <c r="E97" s="139" t="s">
        <v>1649</v>
      </c>
      <c r="F97" s="930"/>
      <c r="G97" s="140"/>
      <c r="H97" s="141" t="s">
        <v>64</v>
      </c>
      <c r="I97" s="142" t="s">
        <v>1650</v>
      </c>
      <c r="J97" s="143">
        <v>508320</v>
      </c>
      <c r="K97" s="142" t="s">
        <v>1650</v>
      </c>
      <c r="L97" s="143">
        <v>523836</v>
      </c>
      <c r="M97" s="144">
        <f>L97-J97</f>
        <v>15516</v>
      </c>
      <c r="N97" s="879"/>
      <c r="O97" s="115">
        <f>M97+L97</f>
        <v>539352</v>
      </c>
      <c r="P97" s="115"/>
      <c r="Q97" s="116"/>
      <c r="R97" s="116"/>
      <c r="S97" s="145"/>
    </row>
    <row r="98" spans="1:19" s="146" customFormat="1" ht="18" customHeight="1">
      <c r="A98" s="929"/>
      <c r="B98" s="929"/>
      <c r="C98" s="930"/>
      <c r="D98" s="930"/>
      <c r="E98" s="139"/>
      <c r="F98" s="930"/>
      <c r="G98" s="140"/>
      <c r="H98" s="141"/>
      <c r="I98" s="152"/>
      <c r="J98" s="143"/>
      <c r="K98" s="152"/>
      <c r="L98" s="143"/>
      <c r="M98" s="144"/>
      <c r="N98" s="879"/>
      <c r="O98" s="115"/>
      <c r="P98" s="115"/>
      <c r="Q98" s="116"/>
      <c r="R98" s="116"/>
      <c r="S98" s="145"/>
    </row>
    <row r="99" spans="1:19" s="146" customFormat="1" ht="18" customHeight="1">
      <c r="A99" s="929"/>
      <c r="B99" s="929"/>
      <c r="C99" s="930"/>
      <c r="D99" s="930"/>
      <c r="E99" s="139"/>
      <c r="F99" s="930"/>
      <c r="G99" s="140"/>
      <c r="H99" s="141"/>
      <c r="I99" s="152"/>
      <c r="J99" s="143"/>
      <c r="K99" s="152"/>
      <c r="L99" s="143"/>
      <c r="M99" s="144"/>
      <c r="N99" s="879"/>
      <c r="O99" s="115"/>
      <c r="P99" s="115"/>
      <c r="Q99" s="116"/>
      <c r="R99" s="116"/>
      <c r="S99" s="145"/>
    </row>
    <row r="100" spans="1:19" s="146" customFormat="1" ht="18" customHeight="1">
      <c r="A100" s="929"/>
      <c r="B100" s="929"/>
      <c r="C100" s="930"/>
      <c r="D100" s="930"/>
      <c r="E100" s="139"/>
      <c r="F100" s="930"/>
      <c r="G100" s="140"/>
      <c r="H100" s="141"/>
      <c r="I100" s="152"/>
      <c r="J100" s="143"/>
      <c r="K100" s="152"/>
      <c r="L100" s="143"/>
      <c r="M100" s="144"/>
      <c r="N100" s="879"/>
      <c r="O100" s="115"/>
      <c r="P100" s="115"/>
      <c r="Q100" s="116"/>
      <c r="R100" s="116"/>
      <c r="S100" s="145"/>
    </row>
    <row r="101" spans="1:19" s="146" customFormat="1" ht="18" customHeight="1">
      <c r="A101" s="929"/>
      <c r="B101" s="929"/>
      <c r="C101" s="930"/>
      <c r="D101" s="930"/>
      <c r="E101" s="139"/>
      <c r="F101" s="930"/>
      <c r="G101" s="140"/>
      <c r="H101" s="141"/>
      <c r="I101" s="152"/>
      <c r="J101" s="143"/>
      <c r="K101" s="152"/>
      <c r="L101" s="143"/>
      <c r="M101" s="144"/>
      <c r="N101" s="879"/>
      <c r="O101" s="115"/>
      <c r="P101" s="115"/>
      <c r="Q101" s="116"/>
      <c r="R101" s="116"/>
      <c r="S101" s="145"/>
    </row>
    <row r="102" spans="1:19" s="146" customFormat="1" ht="18" customHeight="1">
      <c r="A102" s="929"/>
      <c r="B102" s="929"/>
      <c r="C102" s="930"/>
      <c r="D102" s="930"/>
      <c r="E102" s="139"/>
      <c r="F102" s="930"/>
      <c r="G102" s="140"/>
      <c r="H102" s="141"/>
      <c r="I102" s="152"/>
      <c r="J102" s="143"/>
      <c r="K102" s="152"/>
      <c r="L102" s="143"/>
      <c r="M102" s="144"/>
      <c r="N102" s="879"/>
      <c r="O102" s="115"/>
      <c r="P102" s="115"/>
      <c r="Q102" s="116"/>
      <c r="R102" s="116"/>
      <c r="S102" s="145"/>
    </row>
    <row r="103" spans="1:19" s="146" customFormat="1" ht="18" customHeight="1">
      <c r="A103" s="929"/>
      <c r="B103" s="929"/>
      <c r="C103" s="930"/>
      <c r="D103" s="930"/>
      <c r="E103" s="139"/>
      <c r="F103" s="930"/>
      <c r="G103" s="140"/>
      <c r="H103" s="141"/>
      <c r="I103" s="152"/>
      <c r="J103" s="143"/>
      <c r="K103" s="152"/>
      <c r="L103" s="143"/>
      <c r="M103" s="144"/>
      <c r="N103" s="879"/>
      <c r="O103" s="115"/>
      <c r="P103" s="115"/>
      <c r="Q103" s="116"/>
      <c r="R103" s="116"/>
      <c r="S103" s="145"/>
    </row>
    <row r="104" spans="1:19" s="146" customFormat="1" ht="18" customHeight="1">
      <c r="A104" s="929"/>
      <c r="B104" s="929"/>
      <c r="C104" s="930"/>
      <c r="D104" s="930"/>
      <c r="E104" s="139"/>
      <c r="F104" s="930"/>
      <c r="G104" s="140"/>
      <c r="H104" s="141"/>
      <c r="I104" s="152"/>
      <c r="J104" s="143"/>
      <c r="K104" s="152"/>
      <c r="L104" s="143"/>
      <c r="M104" s="144"/>
      <c r="N104" s="879"/>
      <c r="O104" s="115"/>
      <c r="P104" s="115"/>
      <c r="Q104" s="116"/>
      <c r="R104" s="116"/>
      <c r="S104" s="145"/>
    </row>
    <row r="105" spans="1:19" s="146" customFormat="1" ht="18" customHeight="1">
      <c r="A105" s="929"/>
      <c r="B105" s="929"/>
      <c r="C105" s="930"/>
      <c r="D105" s="930"/>
      <c r="E105" s="139"/>
      <c r="F105" s="930"/>
      <c r="G105" s="140"/>
      <c r="H105" s="141"/>
      <c r="I105" s="152"/>
      <c r="J105" s="143"/>
      <c r="K105" s="152"/>
      <c r="L105" s="143"/>
      <c r="M105" s="144"/>
      <c r="N105" s="879"/>
      <c r="O105" s="115"/>
      <c r="P105" s="115"/>
      <c r="Q105" s="116"/>
      <c r="R105" s="116"/>
      <c r="S105" s="145"/>
    </row>
    <row r="106" spans="1:19" s="146" customFormat="1" ht="18" customHeight="1">
      <c r="A106" s="929"/>
      <c r="B106" s="929"/>
      <c r="C106" s="930"/>
      <c r="D106" s="930"/>
      <c r="E106" s="139"/>
      <c r="F106" s="930"/>
      <c r="G106" s="140"/>
      <c r="H106" s="141"/>
      <c r="I106" s="152"/>
      <c r="J106" s="143"/>
      <c r="K106" s="152"/>
      <c r="L106" s="143"/>
      <c r="M106" s="144"/>
      <c r="N106" s="879"/>
      <c r="O106" s="115"/>
      <c r="P106" s="115"/>
      <c r="Q106" s="116"/>
      <c r="R106" s="116"/>
      <c r="S106" s="145"/>
    </row>
    <row r="107" spans="1:19" s="146" customFormat="1" ht="18" customHeight="1">
      <c r="A107" s="929"/>
      <c r="B107" s="929"/>
      <c r="C107" s="930"/>
      <c r="D107" s="930"/>
      <c r="E107" s="139"/>
      <c r="F107" s="930"/>
      <c r="G107" s="140"/>
      <c r="H107" s="141"/>
      <c r="I107" s="152"/>
      <c r="J107" s="143"/>
      <c r="K107" s="152"/>
      <c r="L107" s="143"/>
      <c r="M107" s="144"/>
      <c r="N107" s="879"/>
      <c r="O107" s="115"/>
      <c r="P107" s="115"/>
      <c r="Q107" s="116"/>
      <c r="R107" s="116"/>
      <c r="S107" s="145"/>
    </row>
    <row r="108" spans="1:19" s="146" customFormat="1" ht="18" customHeight="1">
      <c r="A108" s="929"/>
      <c r="B108" s="929"/>
      <c r="C108" s="930"/>
      <c r="D108" s="930"/>
      <c r="E108" s="139"/>
      <c r="F108" s="930"/>
      <c r="G108" s="140"/>
      <c r="H108" s="141"/>
      <c r="I108" s="152"/>
      <c r="J108" s="143"/>
      <c r="K108" s="152"/>
      <c r="L108" s="143"/>
      <c r="M108" s="144"/>
      <c r="N108" s="879"/>
      <c r="O108" s="115"/>
      <c r="P108" s="115"/>
      <c r="Q108" s="116"/>
      <c r="R108" s="116"/>
      <c r="S108" s="145"/>
    </row>
    <row r="109" spans="1:19" s="146" customFormat="1" ht="18" customHeight="1">
      <c r="A109" s="929"/>
      <c r="B109" s="929"/>
      <c r="C109" s="930"/>
      <c r="D109" s="930"/>
      <c r="E109" s="139"/>
      <c r="F109" s="930"/>
      <c r="G109" s="140"/>
      <c r="H109" s="141"/>
      <c r="I109" s="152"/>
      <c r="J109" s="143"/>
      <c r="K109" s="152"/>
      <c r="L109" s="143"/>
      <c r="M109" s="144"/>
      <c r="N109" s="879"/>
      <c r="O109" s="115"/>
      <c r="P109" s="115"/>
      <c r="Q109" s="116"/>
      <c r="R109" s="116"/>
      <c r="S109" s="145"/>
    </row>
    <row r="110" spans="1:19" s="146" customFormat="1" ht="18" customHeight="1">
      <c r="A110" s="929"/>
      <c r="B110" s="929"/>
      <c r="C110" s="930"/>
      <c r="D110" s="930"/>
      <c r="E110" s="139"/>
      <c r="F110" s="930"/>
      <c r="G110" s="140"/>
      <c r="H110" s="141"/>
      <c r="I110" s="152"/>
      <c r="J110" s="143"/>
      <c r="K110" s="152"/>
      <c r="L110" s="143"/>
      <c r="M110" s="144"/>
      <c r="N110" s="879"/>
      <c r="O110" s="115"/>
      <c r="P110" s="115"/>
      <c r="Q110" s="116"/>
      <c r="R110" s="116"/>
      <c r="S110" s="145"/>
    </row>
    <row r="111" spans="1:19" s="146" customFormat="1" ht="18" customHeight="1">
      <c r="A111" s="929"/>
      <c r="B111" s="929"/>
      <c r="C111" s="930"/>
      <c r="D111" s="930"/>
      <c r="E111" s="139"/>
      <c r="F111" s="930"/>
      <c r="G111" s="140"/>
      <c r="H111" s="141"/>
      <c r="I111" s="152"/>
      <c r="J111" s="143"/>
      <c r="K111" s="152"/>
      <c r="L111" s="143"/>
      <c r="M111" s="144"/>
      <c r="N111" s="879"/>
      <c r="O111" s="115"/>
      <c r="P111" s="115"/>
      <c r="Q111" s="116"/>
      <c r="R111" s="116"/>
      <c r="S111" s="145"/>
    </row>
    <row r="112" spans="1:19" s="146" customFormat="1" ht="18" customHeight="1">
      <c r="A112" s="929"/>
      <c r="B112" s="929"/>
      <c r="C112" s="930"/>
      <c r="D112" s="930"/>
      <c r="E112" s="139"/>
      <c r="F112" s="930"/>
      <c r="G112" s="140"/>
      <c r="H112" s="141"/>
      <c r="I112" s="152"/>
      <c r="J112" s="143"/>
      <c r="K112" s="152"/>
      <c r="L112" s="143"/>
      <c r="M112" s="144"/>
      <c r="N112" s="879"/>
      <c r="O112" s="115"/>
      <c r="P112" s="115"/>
      <c r="Q112" s="116"/>
      <c r="R112" s="116"/>
      <c r="S112" s="145"/>
    </row>
    <row r="113" spans="1:19" s="146" customFormat="1" ht="18" customHeight="1">
      <c r="A113" s="929"/>
      <c r="B113" s="929"/>
      <c r="C113" s="930"/>
      <c r="D113" s="930"/>
      <c r="E113" s="139"/>
      <c r="F113" s="930"/>
      <c r="G113" s="140"/>
      <c r="H113" s="141"/>
      <c r="I113" s="152"/>
      <c r="J113" s="143"/>
      <c r="K113" s="152"/>
      <c r="L113" s="143"/>
      <c r="M113" s="144"/>
      <c r="N113" s="879"/>
      <c r="O113" s="115"/>
      <c r="P113" s="115"/>
      <c r="Q113" s="116"/>
      <c r="R113" s="116"/>
      <c r="S113" s="145"/>
    </row>
    <row r="114" spans="1:19" s="146" customFormat="1" ht="18" customHeight="1">
      <c r="A114" s="929"/>
      <c r="B114" s="929"/>
      <c r="C114" s="930"/>
      <c r="D114" s="930"/>
      <c r="E114" s="139"/>
      <c r="F114" s="930"/>
      <c r="G114" s="140"/>
      <c r="H114" s="141"/>
      <c r="I114" s="152"/>
      <c r="J114" s="143"/>
      <c r="K114" s="152"/>
      <c r="L114" s="143"/>
      <c r="M114" s="144"/>
      <c r="N114" s="879"/>
      <c r="O114" s="115"/>
      <c r="P114" s="115"/>
      <c r="Q114" s="116"/>
      <c r="R114" s="116"/>
      <c r="S114" s="145"/>
    </row>
    <row r="115" spans="1:19" s="146" customFormat="1" ht="18" customHeight="1">
      <c r="A115" s="929"/>
      <c r="B115" s="929"/>
      <c r="C115" s="930"/>
      <c r="D115" s="930"/>
      <c r="E115" s="139"/>
      <c r="F115" s="930"/>
      <c r="G115" s="140"/>
      <c r="H115" s="141"/>
      <c r="I115" s="152"/>
      <c r="J115" s="143"/>
      <c r="K115" s="152"/>
      <c r="L115" s="143"/>
      <c r="M115" s="144"/>
      <c r="N115" s="879"/>
      <c r="O115" s="115"/>
      <c r="P115" s="115"/>
      <c r="Q115" s="116"/>
      <c r="R115" s="116"/>
      <c r="S115" s="145"/>
    </row>
    <row r="116" spans="1:19" s="146" customFormat="1" ht="18" customHeight="1">
      <c r="A116" s="929"/>
      <c r="B116" s="929"/>
      <c r="C116" s="930"/>
      <c r="D116" s="930"/>
      <c r="E116" s="139"/>
      <c r="F116" s="930"/>
      <c r="G116" s="140"/>
      <c r="H116" s="141"/>
      <c r="I116" s="152"/>
      <c r="J116" s="143"/>
      <c r="K116" s="152"/>
      <c r="L116" s="143"/>
      <c r="M116" s="144"/>
      <c r="N116" s="879"/>
      <c r="O116" s="115"/>
      <c r="P116" s="115"/>
      <c r="Q116" s="116"/>
      <c r="R116" s="116"/>
      <c r="S116" s="145"/>
    </row>
    <row r="117" spans="1:19" s="146" customFormat="1" ht="18" customHeight="1">
      <c r="A117" s="929"/>
      <c r="B117" s="929"/>
      <c r="C117" s="930"/>
      <c r="D117" s="930"/>
      <c r="E117" s="139"/>
      <c r="F117" s="930"/>
      <c r="G117" s="140"/>
      <c r="H117" s="141"/>
      <c r="I117" s="152"/>
      <c r="J117" s="143"/>
      <c r="K117" s="152"/>
      <c r="L117" s="143"/>
      <c r="M117" s="144"/>
      <c r="N117" s="879"/>
      <c r="O117" s="115"/>
      <c r="P117" s="115"/>
      <c r="Q117" s="116"/>
      <c r="R117" s="116"/>
      <c r="S117" s="145"/>
    </row>
    <row r="118" spans="1:19" s="146" customFormat="1" ht="18" customHeight="1">
      <c r="A118" s="929"/>
      <c r="B118" s="929"/>
      <c r="C118" s="930"/>
      <c r="D118" s="930"/>
      <c r="E118" s="139"/>
      <c r="F118" s="930"/>
      <c r="G118" s="140"/>
      <c r="H118" s="141"/>
      <c r="I118" s="152"/>
      <c r="J118" s="143"/>
      <c r="K118" s="152"/>
      <c r="L118" s="143"/>
      <c r="M118" s="144"/>
      <c r="N118" s="879"/>
      <c r="O118" s="115"/>
      <c r="P118" s="115"/>
      <c r="Q118" s="116"/>
      <c r="R118" s="116"/>
      <c r="S118" s="145"/>
    </row>
    <row r="119" spans="1:19" s="146" customFormat="1" ht="18" customHeight="1">
      <c r="A119" s="929"/>
      <c r="B119" s="929"/>
      <c r="C119" s="930"/>
      <c r="D119" s="930"/>
      <c r="E119" s="139"/>
      <c r="F119" s="930"/>
      <c r="G119" s="140"/>
      <c r="H119" s="141"/>
      <c r="I119" s="152"/>
      <c r="J119" s="143"/>
      <c r="K119" s="152"/>
      <c r="L119" s="143"/>
      <c r="M119" s="144"/>
      <c r="N119" s="879"/>
      <c r="O119" s="115"/>
      <c r="P119" s="115"/>
      <c r="Q119" s="116"/>
      <c r="R119" s="116"/>
      <c r="S119" s="145"/>
    </row>
    <row r="120" spans="1:19" s="146" customFormat="1" ht="18" customHeight="1">
      <c r="A120" s="929"/>
      <c r="B120" s="929"/>
      <c r="C120" s="930"/>
      <c r="D120" s="930"/>
      <c r="E120" s="139"/>
      <c r="F120" s="930"/>
      <c r="G120" s="140"/>
      <c r="H120" s="141"/>
      <c r="I120" s="152"/>
      <c r="J120" s="143"/>
      <c r="K120" s="152"/>
      <c r="L120" s="143"/>
      <c r="M120" s="144"/>
      <c r="N120" s="879"/>
      <c r="O120" s="115"/>
      <c r="P120" s="115"/>
      <c r="Q120" s="116"/>
      <c r="R120" s="116"/>
      <c r="S120" s="145"/>
    </row>
    <row r="121" spans="1:19" s="146" customFormat="1" ht="18" customHeight="1">
      <c r="A121" s="929"/>
      <c r="B121" s="929"/>
      <c r="C121" s="930"/>
      <c r="D121" s="930"/>
      <c r="E121" s="139"/>
      <c r="F121" s="930"/>
      <c r="G121" s="140"/>
      <c r="H121" s="141"/>
      <c r="I121" s="152"/>
      <c r="J121" s="143"/>
      <c r="K121" s="152"/>
      <c r="L121" s="143"/>
      <c r="M121" s="144"/>
      <c r="N121" s="879"/>
      <c r="O121" s="115"/>
      <c r="P121" s="115"/>
      <c r="Q121" s="116"/>
      <c r="R121" s="116"/>
      <c r="S121" s="145"/>
    </row>
    <row r="122" spans="1:19" s="146" customFormat="1" ht="18" customHeight="1">
      <c r="A122" s="936"/>
      <c r="B122" s="936"/>
      <c r="C122" s="197"/>
      <c r="D122" s="197"/>
      <c r="E122" s="936"/>
      <c r="F122" s="230"/>
      <c r="G122" s="199"/>
      <c r="H122" s="200"/>
      <c r="I122" s="937"/>
      <c r="J122" s="931"/>
      <c r="K122" s="937"/>
      <c r="L122" s="931"/>
      <c r="M122" s="931"/>
      <c r="N122" s="170"/>
      <c r="O122" s="115"/>
      <c r="P122" s="115"/>
      <c r="Q122" s="116"/>
      <c r="R122" s="116"/>
      <c r="S122" s="117"/>
    </row>
    <row r="123" spans="1:19" s="168" customFormat="1" ht="18" customHeight="1">
      <c r="A123" s="943"/>
      <c r="B123" s="943"/>
      <c r="C123" s="236"/>
      <c r="D123" s="236"/>
      <c r="E123" s="943"/>
      <c r="F123" s="944"/>
      <c r="G123" s="238"/>
      <c r="H123" s="204" t="s">
        <v>918</v>
      </c>
      <c r="I123" s="945"/>
      <c r="J123" s="946">
        <f>SUM(J83:J122)</f>
        <v>1129644</v>
      </c>
      <c r="K123" s="946"/>
      <c r="L123" s="946"/>
      <c r="M123" s="946">
        <f>SUM(M83:M122)</f>
        <v>43104</v>
      </c>
      <c r="N123" s="171"/>
      <c r="O123" s="165">
        <f>SUM(O78:O122)</f>
        <v>1215852</v>
      </c>
      <c r="P123" s="165"/>
      <c r="Q123" s="166"/>
      <c r="R123" s="166"/>
      <c r="S123" s="167"/>
    </row>
    <row r="124" spans="1:19" s="168" customFormat="1" ht="18" customHeight="1" thickBot="1">
      <c r="A124" s="208"/>
      <c r="B124" s="938"/>
      <c r="C124" s="938"/>
      <c r="D124" s="938"/>
      <c r="E124" s="939"/>
      <c r="F124" s="938"/>
      <c r="G124" s="940"/>
      <c r="H124" s="208" t="s">
        <v>15</v>
      </c>
      <c r="I124" s="941"/>
      <c r="J124" s="942">
        <f>J123+J69</f>
        <v>5534100</v>
      </c>
      <c r="K124" s="941"/>
      <c r="L124" s="942"/>
      <c r="M124" s="942">
        <f>M123+M69</f>
        <v>186154</v>
      </c>
      <c r="N124" s="171"/>
      <c r="O124" s="165"/>
      <c r="P124" s="165"/>
      <c r="Q124" s="166"/>
      <c r="R124" s="166"/>
      <c r="S124" s="167"/>
    </row>
    <row r="125" spans="1:19" s="146" customFormat="1" ht="18" customHeight="1" thickTop="1">
      <c r="A125" s="155"/>
      <c r="B125" s="155"/>
      <c r="C125" s="920"/>
      <c r="D125" s="920"/>
      <c r="E125" s="155"/>
      <c r="F125" s="155"/>
      <c r="G125" s="155"/>
      <c r="H125" s="155"/>
      <c r="I125" s="155"/>
      <c r="J125" s="155"/>
      <c r="K125" s="172"/>
      <c r="L125" s="170"/>
      <c r="M125" s="170"/>
      <c r="N125" s="170"/>
      <c r="O125" s="115"/>
      <c r="P125" s="115"/>
      <c r="Q125" s="116"/>
      <c r="R125" s="116"/>
      <c r="S125" s="117"/>
    </row>
    <row r="126" spans="1:19" s="146" customFormat="1" ht="18" customHeight="1">
      <c r="A126" s="155"/>
      <c r="B126" s="155"/>
      <c r="C126" s="920"/>
      <c r="D126" s="920"/>
      <c r="E126" s="155"/>
      <c r="F126" s="155"/>
      <c r="G126" s="155"/>
      <c r="H126" s="155"/>
      <c r="I126" s="155"/>
      <c r="J126" s="155"/>
      <c r="K126" s="172"/>
      <c r="L126" s="170"/>
      <c r="M126" s="170"/>
      <c r="N126" s="170"/>
      <c r="O126" s="115"/>
      <c r="P126" s="115"/>
      <c r="Q126" s="116"/>
      <c r="R126" s="116"/>
      <c r="S126" s="117"/>
    </row>
    <row r="127" spans="1:19" s="146" customFormat="1" ht="18" customHeight="1">
      <c r="A127" s="173" t="s">
        <v>614</v>
      </c>
      <c r="B127" s="173"/>
      <c r="C127" s="912"/>
      <c r="D127" s="912"/>
      <c r="E127" s="174"/>
      <c r="F127" s="174"/>
      <c r="G127" s="174"/>
      <c r="H127" s="173" t="s">
        <v>615</v>
      </c>
      <c r="I127" s="174"/>
      <c r="K127" s="173" t="s">
        <v>253</v>
      </c>
      <c r="L127" s="175"/>
      <c r="M127" s="175"/>
      <c r="N127" s="175"/>
      <c r="O127" s="115"/>
      <c r="P127" s="115"/>
      <c r="Q127" s="116"/>
      <c r="R127" s="116"/>
      <c r="S127" s="117"/>
    </row>
    <row r="128" spans="1:19" s="146" customFormat="1" ht="18" customHeight="1">
      <c r="A128" s="174"/>
      <c r="B128" s="174"/>
      <c r="C128" s="913"/>
      <c r="D128" s="913"/>
      <c r="E128" s="174"/>
      <c r="F128" s="174"/>
      <c r="G128" s="174"/>
      <c r="H128" s="174"/>
      <c r="I128" s="174"/>
      <c r="J128" s="174"/>
      <c r="K128" s="176"/>
      <c r="L128" s="175"/>
      <c r="M128" s="175"/>
      <c r="N128" s="175"/>
      <c r="O128" s="115"/>
      <c r="P128" s="115"/>
      <c r="Q128" s="116"/>
      <c r="R128" s="116"/>
      <c r="S128" s="117"/>
    </row>
    <row r="129" spans="1:19" s="146" customFormat="1" ht="18" customHeight="1">
      <c r="A129" s="1531" t="s">
        <v>242</v>
      </c>
      <c r="B129" s="1531"/>
      <c r="C129" s="1531"/>
      <c r="D129" s="1531"/>
      <c r="E129" s="1531"/>
      <c r="F129" s="1531"/>
      <c r="G129" s="174"/>
      <c r="H129" s="1531" t="s">
        <v>17</v>
      </c>
      <c r="I129" s="1531"/>
      <c r="J129" s="174"/>
      <c r="K129" s="1531" t="s">
        <v>1436</v>
      </c>
      <c r="L129" s="1531"/>
      <c r="M129" s="1531"/>
      <c r="N129" s="912"/>
      <c r="O129" s="115"/>
      <c r="P129" s="115"/>
      <c r="Q129" s="116"/>
      <c r="R129" s="116"/>
      <c r="S129" s="117"/>
    </row>
    <row r="130" spans="1:19" s="146" customFormat="1" ht="18" customHeight="1">
      <c r="A130" s="1520" t="s">
        <v>422</v>
      </c>
      <c r="B130" s="1520"/>
      <c r="C130" s="1520"/>
      <c r="D130" s="1520"/>
      <c r="E130" s="1520"/>
      <c r="F130" s="1520"/>
      <c r="G130" s="177"/>
      <c r="H130" s="1520" t="s">
        <v>18</v>
      </c>
      <c r="I130" s="1520"/>
      <c r="J130" s="912"/>
      <c r="K130" s="1520" t="s">
        <v>14</v>
      </c>
      <c r="L130" s="1520"/>
      <c r="M130" s="1520"/>
      <c r="N130" s="913"/>
      <c r="O130" s="115"/>
      <c r="P130" s="115"/>
      <c r="Q130" s="116"/>
      <c r="R130" s="116"/>
      <c r="S130" s="117"/>
    </row>
    <row r="131" spans="1:19" ht="18" customHeight="1">
      <c r="A131" s="111"/>
      <c r="B131" s="111"/>
      <c r="C131" s="910"/>
      <c r="D131" s="910"/>
      <c r="E131" s="1540"/>
      <c r="F131" s="1540"/>
      <c r="G131" s="1540"/>
      <c r="I131" s="910"/>
      <c r="J131" s="910"/>
    </row>
    <row r="132" spans="1:19" ht="18" customHeight="1">
      <c r="A132" s="111"/>
      <c r="B132" s="111"/>
      <c r="C132" s="910"/>
      <c r="D132" s="910"/>
      <c r="E132" s="910"/>
      <c r="F132" s="910"/>
      <c r="G132" s="910"/>
      <c r="I132" s="910"/>
      <c r="J132" s="910"/>
    </row>
    <row r="133" spans="1:19" ht="18" customHeight="1">
      <c r="A133" s="111"/>
      <c r="B133" s="111"/>
      <c r="C133" s="910"/>
      <c r="D133" s="910"/>
      <c r="E133" s="910"/>
      <c r="F133" s="910"/>
      <c r="G133" s="910"/>
      <c r="I133" s="910"/>
      <c r="J133" s="910"/>
    </row>
    <row r="134" spans="1:19" ht="18" customHeight="1">
      <c r="A134" s="111"/>
      <c r="B134" s="111"/>
      <c r="C134" s="910"/>
      <c r="D134" s="910"/>
      <c r="E134" s="910"/>
      <c r="F134" s="910"/>
      <c r="G134" s="910"/>
      <c r="I134" s="910"/>
      <c r="J134" s="910"/>
    </row>
    <row r="135" spans="1:19" ht="18" customHeight="1">
      <c r="A135" s="111"/>
      <c r="B135" s="111"/>
      <c r="C135" s="910"/>
      <c r="D135" s="910"/>
      <c r="E135" s="910"/>
      <c r="F135" s="910"/>
      <c r="G135" s="910"/>
      <c r="I135" s="910"/>
      <c r="J135" s="910"/>
    </row>
    <row r="136" spans="1:19" ht="18" customHeight="1">
      <c r="A136" s="111"/>
      <c r="B136" s="111"/>
      <c r="C136" s="910"/>
      <c r="D136" s="910"/>
      <c r="E136" s="910"/>
      <c r="F136" s="910"/>
      <c r="G136" s="910"/>
      <c r="I136" s="910"/>
      <c r="J136" s="910"/>
    </row>
    <row r="137" spans="1:19" ht="18" customHeight="1">
      <c r="A137" s="111"/>
      <c r="B137" s="111"/>
      <c r="C137" s="910"/>
      <c r="D137" s="910"/>
      <c r="E137" s="910"/>
      <c r="F137" s="910"/>
      <c r="G137" s="910"/>
      <c r="I137" s="910"/>
      <c r="J137" s="910"/>
    </row>
    <row r="138" spans="1:19" ht="18" customHeight="1">
      <c r="A138" s="111"/>
      <c r="B138" s="111"/>
      <c r="C138" s="910"/>
      <c r="D138" s="910"/>
      <c r="E138" s="1555"/>
      <c r="F138" s="1555"/>
      <c r="G138" s="1555"/>
      <c r="H138" s="1555"/>
      <c r="I138" s="1555"/>
      <c r="J138" s="111"/>
      <c r="K138" s="112"/>
      <c r="M138" s="113"/>
      <c r="N138" s="113"/>
    </row>
    <row r="139" spans="1:19" s="179" customFormat="1" ht="20.100000000000001" customHeight="1">
      <c r="A139" s="1448" t="s">
        <v>951</v>
      </c>
      <c r="B139" s="1448"/>
      <c r="C139" s="1448"/>
      <c r="D139" s="1448"/>
      <c r="E139" s="1448"/>
      <c r="F139" s="1448"/>
      <c r="G139" s="1448"/>
      <c r="H139" s="1448"/>
      <c r="I139" s="1448"/>
      <c r="J139" s="1448"/>
      <c r="K139" s="1448"/>
      <c r="L139" s="1448"/>
      <c r="M139" s="1448"/>
      <c r="N139" s="918"/>
      <c r="O139" s="115"/>
      <c r="P139" s="115"/>
      <c r="Q139" s="116"/>
      <c r="R139" s="116"/>
      <c r="S139" s="117"/>
    </row>
    <row r="140" spans="1:19" ht="18" customHeight="1">
      <c r="A140" s="110"/>
      <c r="B140" s="110"/>
      <c r="C140" s="917"/>
      <c r="D140" s="917"/>
      <c r="E140" s="111"/>
      <c r="F140" s="111"/>
      <c r="G140" s="111"/>
      <c r="H140" s="111"/>
      <c r="I140" s="111"/>
      <c r="J140" s="111"/>
      <c r="K140" s="112"/>
      <c r="M140" s="114"/>
      <c r="N140" s="114"/>
    </row>
    <row r="141" spans="1:19" ht="18" customHeight="1">
      <c r="A141" s="1538" t="s">
        <v>1663</v>
      </c>
      <c r="B141" s="1538"/>
      <c r="C141" s="1538"/>
      <c r="D141" s="1538"/>
      <c r="E141" s="1538"/>
      <c r="F141" s="1538"/>
      <c r="G141" s="1538"/>
      <c r="H141" s="1538"/>
      <c r="I141" s="1538"/>
      <c r="J141" s="1538"/>
      <c r="K141" s="1538"/>
      <c r="L141" s="1538"/>
      <c r="M141" s="1538"/>
      <c r="N141" s="908"/>
    </row>
    <row r="142" spans="1:19" ht="18" customHeight="1">
      <c r="A142" s="1539" t="s">
        <v>351</v>
      </c>
      <c r="B142" s="1539"/>
      <c r="C142" s="1539"/>
      <c r="D142" s="1539"/>
      <c r="E142" s="1539"/>
      <c r="F142" s="1539"/>
      <c r="G142" s="1539"/>
      <c r="H142" s="1539"/>
      <c r="I142" s="1539"/>
      <c r="J142" s="1539"/>
      <c r="K142" s="1539"/>
      <c r="L142" s="1539"/>
      <c r="M142" s="1539"/>
      <c r="N142" s="909"/>
    </row>
    <row r="143" spans="1:19" ht="18" customHeight="1">
      <c r="A143" s="1540"/>
      <c r="B143" s="1540"/>
      <c r="C143" s="1540"/>
      <c r="D143" s="1540"/>
      <c r="E143" s="1540"/>
      <c r="F143" s="1540"/>
      <c r="G143" s="1540"/>
      <c r="H143" s="1540"/>
      <c r="I143" s="1540"/>
      <c r="J143" s="1540"/>
      <c r="K143" s="1540"/>
      <c r="L143" s="1540"/>
      <c r="M143" s="1540"/>
      <c r="N143" s="910"/>
    </row>
    <row r="144" spans="1:19" ht="18" customHeight="1">
      <c r="A144" s="910"/>
      <c r="B144" s="910"/>
      <c r="C144" s="910"/>
      <c r="D144" s="910"/>
      <c r="E144" s="910"/>
      <c r="F144" s="910"/>
      <c r="G144" s="910"/>
      <c r="H144" s="910"/>
      <c r="I144" s="910"/>
      <c r="J144" s="910"/>
      <c r="K144" s="910"/>
      <c r="L144" s="910"/>
      <c r="M144" s="910"/>
      <c r="N144" s="910"/>
    </row>
    <row r="145" spans="1:19" ht="18" customHeight="1">
      <c r="A145" s="111" t="s">
        <v>441</v>
      </c>
      <c r="B145" s="111"/>
      <c r="C145" s="910" t="s">
        <v>439</v>
      </c>
      <c r="D145" s="111" t="s">
        <v>292</v>
      </c>
      <c r="F145" s="111"/>
      <c r="G145" s="910"/>
      <c r="H145" s="910"/>
      <c r="I145" s="910"/>
      <c r="J145" s="910"/>
      <c r="K145" s="910"/>
      <c r="L145" s="910"/>
      <c r="M145" s="910"/>
      <c r="N145" s="910"/>
    </row>
    <row r="146" spans="1:19" ht="18" customHeight="1">
      <c r="A146" s="111" t="s">
        <v>442</v>
      </c>
      <c r="B146" s="111"/>
      <c r="C146" s="910" t="s">
        <v>439</v>
      </c>
      <c r="D146" s="111" t="s">
        <v>444</v>
      </c>
      <c r="F146" s="111"/>
      <c r="G146" s="910"/>
      <c r="H146" s="910"/>
      <c r="I146" s="910"/>
      <c r="J146" s="910"/>
      <c r="K146" s="910"/>
      <c r="L146" s="910"/>
      <c r="M146" s="910"/>
      <c r="N146" s="910"/>
    </row>
    <row r="147" spans="1:19" ht="18" customHeight="1" thickBot="1">
      <c r="A147" s="111" t="s">
        <v>443</v>
      </c>
      <c r="B147" s="111"/>
      <c r="C147" s="910" t="s">
        <v>439</v>
      </c>
      <c r="D147" s="111" t="s">
        <v>445</v>
      </c>
      <c r="F147" s="111"/>
      <c r="G147" s="910"/>
      <c r="H147" s="910"/>
      <c r="I147" s="910"/>
      <c r="J147" s="910"/>
      <c r="K147" s="910"/>
      <c r="L147" s="910"/>
      <c r="M147" s="910"/>
      <c r="N147" s="910"/>
    </row>
    <row r="148" spans="1:19" ht="18" customHeight="1">
      <c r="A148" s="1532" t="s">
        <v>619</v>
      </c>
      <c r="B148" s="1533"/>
      <c r="C148" s="1533"/>
      <c r="D148" s="1533"/>
      <c r="E148" s="1534"/>
      <c r="F148" s="1533"/>
      <c r="G148" s="1535"/>
      <c r="H148" s="121"/>
      <c r="I148" s="1536" t="s">
        <v>623</v>
      </c>
      <c r="J148" s="1537"/>
      <c r="K148" s="1536" t="s">
        <v>623</v>
      </c>
      <c r="L148" s="1537"/>
      <c r="M148" s="122"/>
      <c r="N148" s="876"/>
    </row>
    <row r="149" spans="1:19" ht="18" customHeight="1">
      <c r="A149" s="123" t="s">
        <v>620</v>
      </c>
      <c r="B149" s="1544" t="s">
        <v>621</v>
      </c>
      <c r="C149" s="1545"/>
      <c r="D149" s="1546"/>
      <c r="E149" s="1547" t="s">
        <v>43</v>
      </c>
      <c r="F149" s="1548"/>
      <c r="G149" s="1549"/>
      <c r="H149" s="914" t="s">
        <v>44</v>
      </c>
      <c r="I149" s="1547" t="s">
        <v>1613</v>
      </c>
      <c r="J149" s="1549"/>
      <c r="K149" s="1548" t="s">
        <v>1660</v>
      </c>
      <c r="L149" s="1549"/>
      <c r="M149" s="124" t="s">
        <v>45</v>
      </c>
      <c r="N149" s="877"/>
      <c r="O149" s="180"/>
    </row>
    <row r="150" spans="1:19" ht="18" customHeight="1">
      <c r="A150" s="125"/>
      <c r="B150" s="914"/>
      <c r="C150" s="915"/>
      <c r="D150" s="915"/>
      <c r="E150" s="914"/>
      <c r="F150" s="915"/>
      <c r="G150" s="916"/>
      <c r="H150" s="914" t="s">
        <v>46</v>
      </c>
      <c r="I150" s="1550"/>
      <c r="J150" s="1551"/>
      <c r="K150" s="1550"/>
      <c r="L150" s="1551"/>
      <c r="M150" s="124" t="s">
        <v>47</v>
      </c>
      <c r="N150" s="877"/>
      <c r="O150" s="180"/>
    </row>
    <row r="151" spans="1:19" ht="18" customHeight="1">
      <c r="A151" s="125"/>
      <c r="B151" s="914"/>
      <c r="C151" s="915"/>
      <c r="D151" s="915"/>
      <c r="E151" s="914"/>
      <c r="F151" s="915"/>
      <c r="G151" s="126"/>
      <c r="H151" s="127"/>
      <c r="I151" s="128" t="s">
        <v>622</v>
      </c>
      <c r="J151" s="129" t="s">
        <v>48</v>
      </c>
      <c r="K151" s="128" t="s">
        <v>622</v>
      </c>
      <c r="L151" s="129" t="s">
        <v>48</v>
      </c>
      <c r="M151" s="124"/>
      <c r="N151" s="120"/>
      <c r="O151" s="180"/>
    </row>
    <row r="152" spans="1:19" ht="18" customHeight="1" thickBot="1">
      <c r="A152" s="130"/>
      <c r="B152" s="1541"/>
      <c r="C152" s="1542"/>
      <c r="D152" s="1543"/>
      <c r="E152" s="1541"/>
      <c r="F152" s="1542"/>
      <c r="G152" s="1543"/>
      <c r="H152" s="131"/>
      <c r="I152" s="131"/>
      <c r="J152" s="131"/>
      <c r="K152" s="131"/>
      <c r="L152" s="131"/>
      <c r="M152" s="132"/>
      <c r="N152" s="883"/>
      <c r="O152" s="180"/>
    </row>
    <row r="153" spans="1:19" ht="18" customHeight="1">
      <c r="A153" s="181"/>
      <c r="B153" s="119"/>
      <c r="C153" s="119"/>
      <c r="D153" s="119"/>
      <c r="E153" s="133"/>
      <c r="F153" s="119"/>
      <c r="G153" s="134"/>
      <c r="H153" s="135"/>
      <c r="I153" s="182"/>
      <c r="J153" s="960"/>
      <c r="K153" s="182"/>
      <c r="L153" s="137"/>
      <c r="M153" s="137"/>
      <c r="N153" s="880"/>
    </row>
    <row r="154" spans="1:19" s="146" customFormat="1" ht="18" customHeight="1">
      <c r="A154" s="183">
        <v>1</v>
      </c>
      <c r="B154" s="920"/>
      <c r="C154" s="920"/>
      <c r="D154" s="921"/>
      <c r="E154" s="140" t="s">
        <v>1624</v>
      </c>
      <c r="F154" s="920"/>
      <c r="G154" s="140"/>
      <c r="H154" s="141" t="s">
        <v>49</v>
      </c>
      <c r="I154" s="184" t="s">
        <v>1625</v>
      </c>
      <c r="J154" s="961">
        <v>1044816</v>
      </c>
      <c r="K154" s="184" t="s">
        <v>1625</v>
      </c>
      <c r="L154" s="143">
        <v>1064532</v>
      </c>
      <c r="M154" s="144">
        <f>L154-J154</f>
        <v>19716</v>
      </c>
      <c r="N154" s="879"/>
      <c r="O154" s="115">
        <f>M154+L154</f>
        <v>1084248</v>
      </c>
      <c r="P154" s="115"/>
      <c r="Q154" s="116"/>
      <c r="R154" s="116"/>
      <c r="S154" s="145"/>
    </row>
    <row r="155" spans="1:19" s="146" customFormat="1" ht="18" customHeight="1">
      <c r="A155" s="183"/>
      <c r="B155" s="957"/>
      <c r="C155" s="957"/>
      <c r="D155" s="958"/>
      <c r="E155" s="155"/>
      <c r="F155" s="957"/>
      <c r="G155" s="140"/>
      <c r="H155" s="141"/>
      <c r="I155" s="184"/>
      <c r="J155" s="961"/>
      <c r="K155" s="184"/>
      <c r="L155" s="143"/>
      <c r="M155" s="144"/>
      <c r="N155" s="879"/>
      <c r="O155" s="115"/>
      <c r="P155" s="115"/>
      <c r="Q155" s="116"/>
      <c r="R155" s="116"/>
      <c r="S155" s="145"/>
    </row>
    <row r="156" spans="1:19" s="146" customFormat="1" ht="18" customHeight="1">
      <c r="A156" s="183"/>
      <c r="B156" s="920"/>
      <c r="C156" s="920"/>
      <c r="D156" s="921"/>
      <c r="E156" s="155"/>
      <c r="F156" s="920"/>
      <c r="G156" s="140"/>
      <c r="H156" s="141"/>
      <c r="I156" s="184"/>
      <c r="J156" s="961"/>
      <c r="K156" s="184"/>
      <c r="L156" s="143"/>
      <c r="M156" s="144"/>
      <c r="N156" s="879"/>
      <c r="O156" s="115"/>
      <c r="P156" s="115"/>
      <c r="Q156" s="116"/>
      <c r="R156" s="116"/>
      <c r="S156" s="145"/>
    </row>
    <row r="157" spans="1:19" s="146" customFormat="1" ht="18" customHeight="1">
      <c r="A157" s="183"/>
      <c r="B157" s="920"/>
      <c r="C157" s="920"/>
      <c r="D157" s="920"/>
      <c r="E157" s="154"/>
      <c r="F157" s="920"/>
      <c r="G157" s="140"/>
      <c r="H157" s="141"/>
      <c r="I157" s="185"/>
      <c r="J157" s="961"/>
      <c r="K157" s="185"/>
      <c r="L157" s="143"/>
      <c r="M157" s="144"/>
      <c r="N157" s="879"/>
      <c r="O157" s="115"/>
      <c r="P157" s="115"/>
      <c r="Q157" s="116"/>
      <c r="R157" s="116"/>
      <c r="S157" s="117"/>
    </row>
    <row r="158" spans="1:19" s="146" customFormat="1" ht="18" customHeight="1">
      <c r="A158" s="183">
        <v>2</v>
      </c>
      <c r="B158" s="920"/>
      <c r="C158" s="920"/>
      <c r="D158" s="920"/>
      <c r="E158" s="154" t="s">
        <v>1626</v>
      </c>
      <c r="F158" s="920"/>
      <c r="G158" s="140"/>
      <c r="H158" s="141" t="s">
        <v>240</v>
      </c>
      <c r="I158" s="184" t="s">
        <v>216</v>
      </c>
      <c r="J158" s="961">
        <v>915600</v>
      </c>
      <c r="K158" s="184" t="s">
        <v>216</v>
      </c>
      <c r="L158" s="143">
        <v>933792</v>
      </c>
      <c r="M158" s="144">
        <f>L158-J158</f>
        <v>18192</v>
      </c>
      <c r="N158" s="879"/>
      <c r="O158" s="115">
        <f>M158+L158</f>
        <v>951984</v>
      </c>
      <c r="P158" s="115"/>
      <c r="Q158" s="116"/>
      <c r="R158" s="116"/>
      <c r="S158" s="145"/>
    </row>
    <row r="159" spans="1:19" s="146" customFormat="1" ht="18" customHeight="1">
      <c r="A159" s="183"/>
      <c r="B159" s="957"/>
      <c r="C159" s="957"/>
      <c r="D159" s="957"/>
      <c r="E159" s="154"/>
      <c r="F159" s="957"/>
      <c r="G159" s="140"/>
      <c r="H159" s="141"/>
      <c r="I159" s="184"/>
      <c r="J159" s="961"/>
      <c r="K159" s="184"/>
      <c r="L159" s="143"/>
      <c r="M159" s="144"/>
      <c r="N159" s="879"/>
      <c r="O159" s="115"/>
      <c r="P159" s="115"/>
      <c r="Q159" s="116"/>
      <c r="R159" s="116"/>
      <c r="S159" s="145"/>
    </row>
    <row r="160" spans="1:19" s="146" customFormat="1" ht="15.75">
      <c r="A160" s="183"/>
      <c r="B160" s="920"/>
      <c r="C160" s="920"/>
      <c r="D160" s="920"/>
      <c r="E160" s="154"/>
      <c r="F160" s="920"/>
      <c r="G160" s="140"/>
      <c r="H160" s="141"/>
      <c r="I160" s="184"/>
      <c r="J160" s="961"/>
      <c r="K160" s="184"/>
      <c r="L160" s="143"/>
      <c r="M160" s="144"/>
      <c r="N160" s="879"/>
      <c r="O160" s="115"/>
      <c r="P160" s="115"/>
      <c r="Q160" s="116"/>
      <c r="R160" s="116"/>
      <c r="S160" s="145"/>
    </row>
    <row r="161" spans="1:19" s="146" customFormat="1" ht="18" customHeight="1">
      <c r="A161" s="183"/>
      <c r="B161" s="920"/>
      <c r="C161" s="920"/>
      <c r="D161" s="920"/>
      <c r="E161" s="154"/>
      <c r="F161" s="920"/>
      <c r="G161" s="140"/>
      <c r="H161" s="141"/>
      <c r="I161" s="185"/>
      <c r="J161" s="961"/>
      <c r="K161" s="185"/>
      <c r="L161" s="143"/>
      <c r="M161" s="144"/>
      <c r="N161" s="879"/>
      <c r="O161" s="115"/>
      <c r="P161" s="115"/>
      <c r="Q161" s="116"/>
      <c r="R161" s="116"/>
      <c r="S161" s="117"/>
    </row>
    <row r="162" spans="1:19" s="146" customFormat="1" ht="18" customHeight="1">
      <c r="A162" s="183">
        <v>3</v>
      </c>
      <c r="B162" s="920"/>
      <c r="C162" s="920"/>
      <c r="D162" s="920"/>
      <c r="E162" s="154" t="s">
        <v>1626</v>
      </c>
      <c r="F162" s="920"/>
      <c r="G162" s="140"/>
      <c r="H162" s="141" t="s">
        <v>429</v>
      </c>
      <c r="I162" s="184" t="s">
        <v>243</v>
      </c>
      <c r="J162" s="961">
        <v>931464</v>
      </c>
      <c r="K162" s="184" t="s">
        <v>243</v>
      </c>
      <c r="L162" s="143">
        <v>949044</v>
      </c>
      <c r="M162" s="144">
        <f>L162-J162</f>
        <v>17580</v>
      </c>
      <c r="N162" s="879"/>
      <c r="O162" s="115">
        <f>M162+L162</f>
        <v>966624</v>
      </c>
      <c r="P162" s="115"/>
      <c r="Q162" s="116"/>
      <c r="R162" s="116"/>
      <c r="S162" s="145"/>
    </row>
    <row r="163" spans="1:19" s="146" customFormat="1" ht="18" customHeight="1">
      <c r="A163" s="183"/>
      <c r="B163" s="957"/>
      <c r="C163" s="957"/>
      <c r="D163" s="957"/>
      <c r="E163" s="154"/>
      <c r="F163" s="957"/>
      <c r="G163" s="140"/>
      <c r="H163" s="141"/>
      <c r="I163" s="184"/>
      <c r="J163" s="961"/>
      <c r="K163" s="184"/>
      <c r="L163" s="143"/>
      <c r="M163" s="144"/>
      <c r="N163" s="879"/>
      <c r="O163" s="115"/>
      <c r="P163" s="115"/>
      <c r="Q163" s="116"/>
      <c r="R163" s="116"/>
      <c r="S163" s="145"/>
    </row>
    <row r="164" spans="1:19" s="146" customFormat="1" ht="18" customHeight="1">
      <c r="A164" s="183"/>
      <c r="B164" s="920"/>
      <c r="C164" s="920"/>
      <c r="D164" s="920"/>
      <c r="E164" s="154"/>
      <c r="F164" s="920"/>
      <c r="G164" s="140"/>
      <c r="H164" s="141"/>
      <c r="I164" s="184"/>
      <c r="J164" s="961"/>
      <c r="K164" s="184"/>
      <c r="L164" s="143"/>
      <c r="M164" s="144"/>
      <c r="N164" s="879"/>
      <c r="O164" s="115"/>
      <c r="P164" s="115"/>
      <c r="Q164" s="116"/>
      <c r="R164" s="116"/>
      <c r="S164" s="145"/>
    </row>
    <row r="165" spans="1:19" s="146" customFormat="1" ht="18" customHeight="1">
      <c r="A165" s="183"/>
      <c r="B165" s="920"/>
      <c r="C165" s="920"/>
      <c r="D165" s="920"/>
      <c r="E165" s="154"/>
      <c r="F165" s="920"/>
      <c r="G165" s="140"/>
      <c r="H165" s="141"/>
      <c r="I165" s="185"/>
      <c r="J165" s="961"/>
      <c r="K165" s="185"/>
      <c r="L165" s="143"/>
      <c r="M165" s="144"/>
      <c r="N165" s="879"/>
      <c r="O165" s="115"/>
      <c r="P165" s="115"/>
      <c r="Q165" s="116"/>
      <c r="R165" s="116"/>
      <c r="S165" s="117"/>
    </row>
    <row r="166" spans="1:19" s="146" customFormat="1" ht="18" customHeight="1">
      <c r="A166" s="183">
        <v>4</v>
      </c>
      <c r="B166" s="920"/>
      <c r="C166" s="920"/>
      <c r="D166" s="920"/>
      <c r="E166" s="154" t="s">
        <v>1626</v>
      </c>
      <c r="F166" s="920"/>
      <c r="G166" s="140"/>
      <c r="H166" s="141" t="s">
        <v>1444</v>
      </c>
      <c r="I166" s="184" t="s">
        <v>216</v>
      </c>
      <c r="J166" s="961">
        <v>916500</v>
      </c>
      <c r="K166" s="184" t="s">
        <v>216</v>
      </c>
      <c r="L166" s="143">
        <v>933792</v>
      </c>
      <c r="M166" s="144">
        <f>L166-J166</f>
        <v>17292</v>
      </c>
      <c r="N166" s="879"/>
      <c r="O166" s="115">
        <f>M166+L166</f>
        <v>951084</v>
      </c>
      <c r="P166" s="115"/>
      <c r="Q166" s="116"/>
      <c r="R166" s="116"/>
      <c r="S166" s="145"/>
    </row>
    <row r="167" spans="1:19" s="146" customFormat="1" ht="18" customHeight="1">
      <c r="A167" s="183"/>
      <c r="B167" s="957"/>
      <c r="C167" s="957"/>
      <c r="D167" s="957"/>
      <c r="E167" s="154"/>
      <c r="F167" s="957"/>
      <c r="G167" s="140"/>
      <c r="H167" s="141"/>
      <c r="I167" s="184"/>
      <c r="J167" s="961"/>
      <c r="K167" s="184"/>
      <c r="L167" s="143"/>
      <c r="M167" s="144"/>
      <c r="N167" s="879"/>
      <c r="O167" s="115"/>
      <c r="P167" s="115"/>
      <c r="Q167" s="116"/>
      <c r="R167" s="116"/>
      <c r="S167" s="145"/>
    </row>
    <row r="168" spans="1:19" s="146" customFormat="1" ht="17.25" customHeight="1">
      <c r="A168" s="183"/>
      <c r="B168" s="920"/>
      <c r="C168" s="920"/>
      <c r="D168" s="920"/>
      <c r="E168" s="154"/>
      <c r="F168" s="920"/>
      <c r="G168" s="140"/>
      <c r="H168" s="141"/>
      <c r="I168" s="184"/>
      <c r="J168" s="961"/>
      <c r="K168" s="184"/>
      <c r="L168" s="143"/>
      <c r="M168" s="144"/>
      <c r="N168" s="879"/>
      <c r="O168" s="115"/>
      <c r="P168" s="115"/>
      <c r="Q168" s="116"/>
      <c r="R168" s="116"/>
      <c r="S168" s="145"/>
    </row>
    <row r="169" spans="1:19" s="146" customFormat="1" ht="18" customHeight="1">
      <c r="A169" s="183"/>
      <c r="B169" s="920"/>
      <c r="C169" s="920"/>
      <c r="D169" s="920"/>
      <c r="E169" s="154"/>
      <c r="F169" s="920"/>
      <c r="G169" s="140"/>
      <c r="H169" s="141"/>
      <c r="I169" s="185"/>
      <c r="J169" s="961"/>
      <c r="K169" s="185"/>
      <c r="L169" s="143"/>
      <c r="M169" s="144"/>
      <c r="N169" s="879"/>
      <c r="O169" s="115"/>
      <c r="P169" s="115"/>
      <c r="Q169" s="116"/>
      <c r="R169" s="116"/>
      <c r="S169" s="117"/>
    </row>
    <row r="170" spans="1:19" s="146" customFormat="1" ht="18" customHeight="1">
      <c r="A170" s="183">
        <v>5</v>
      </c>
      <c r="B170" s="920"/>
      <c r="C170" s="920"/>
      <c r="D170" s="920"/>
      <c r="E170" s="154" t="s">
        <v>1626</v>
      </c>
      <c r="F170" s="920"/>
      <c r="G170" s="140"/>
      <c r="H170" s="141" t="s">
        <v>1433</v>
      </c>
      <c r="I170" s="184" t="s">
        <v>216</v>
      </c>
      <c r="J170" s="961">
        <v>916500</v>
      </c>
      <c r="K170" s="184" t="s">
        <v>216</v>
      </c>
      <c r="L170" s="143">
        <v>933792</v>
      </c>
      <c r="M170" s="144">
        <f>L170-J170</f>
        <v>17292</v>
      </c>
      <c r="N170" s="879"/>
      <c r="O170" s="115">
        <f>M170+L170</f>
        <v>951084</v>
      </c>
      <c r="P170" s="115"/>
      <c r="Q170" s="116"/>
      <c r="R170" s="116"/>
      <c r="S170" s="145"/>
    </row>
    <row r="171" spans="1:19" s="146" customFormat="1" ht="18" customHeight="1">
      <c r="A171" s="183"/>
      <c r="B171" s="957"/>
      <c r="C171" s="957"/>
      <c r="D171" s="957"/>
      <c r="E171" s="154"/>
      <c r="F171" s="957"/>
      <c r="G171" s="140"/>
      <c r="H171" s="141"/>
      <c r="I171" s="184"/>
      <c r="J171" s="961"/>
      <c r="K171" s="184"/>
      <c r="L171" s="143"/>
      <c r="M171" s="144"/>
      <c r="N171" s="879"/>
      <c r="O171" s="115"/>
      <c r="P171" s="115"/>
      <c r="Q171" s="116"/>
      <c r="R171" s="116"/>
      <c r="S171" s="145"/>
    </row>
    <row r="172" spans="1:19" s="146" customFormat="1" ht="18" customHeight="1">
      <c r="A172" s="183"/>
      <c r="B172" s="920"/>
      <c r="C172" s="920"/>
      <c r="D172" s="920"/>
      <c r="E172" s="154"/>
      <c r="F172" s="920"/>
      <c r="G172" s="140"/>
      <c r="H172" s="141"/>
      <c r="I172" s="184"/>
      <c r="J172" s="961"/>
      <c r="K172" s="184"/>
      <c r="L172" s="143"/>
      <c r="M172" s="144"/>
      <c r="N172" s="879"/>
      <c r="O172" s="115"/>
      <c r="P172" s="115"/>
      <c r="Q172" s="116"/>
      <c r="R172" s="116"/>
      <c r="S172" s="145"/>
    </row>
    <row r="173" spans="1:19" s="146" customFormat="1" ht="18" customHeight="1">
      <c r="A173" s="183"/>
      <c r="B173" s="920"/>
      <c r="C173" s="920"/>
      <c r="D173" s="920"/>
      <c r="E173" s="154"/>
      <c r="F173" s="920"/>
      <c r="G173" s="140"/>
      <c r="H173" s="141"/>
      <c r="I173" s="185"/>
      <c r="J173" s="961"/>
      <c r="K173" s="185"/>
      <c r="L173" s="143"/>
      <c r="M173" s="144"/>
      <c r="N173" s="879"/>
      <c r="O173" s="115"/>
      <c r="P173" s="115"/>
      <c r="Q173" s="116"/>
      <c r="R173" s="116"/>
      <c r="S173" s="117"/>
    </row>
    <row r="174" spans="1:19" s="146" customFormat="1" ht="18" customHeight="1">
      <c r="A174" s="183">
        <v>6</v>
      </c>
      <c r="B174" s="920"/>
      <c r="C174" s="920"/>
      <c r="D174" s="920"/>
      <c r="E174" s="154" t="s">
        <v>1626</v>
      </c>
      <c r="F174" s="920"/>
      <c r="G174" s="140"/>
      <c r="H174" s="141" t="s">
        <v>428</v>
      </c>
      <c r="I174" s="184" t="s">
        <v>243</v>
      </c>
      <c r="J174" s="961">
        <v>931464</v>
      </c>
      <c r="K174" s="184" t="s">
        <v>243</v>
      </c>
      <c r="L174" s="143">
        <v>949044</v>
      </c>
      <c r="M174" s="144">
        <f>L174-J174</f>
        <v>17580</v>
      </c>
      <c r="N174" s="879"/>
      <c r="O174" s="115">
        <f>M174+L174</f>
        <v>966624</v>
      </c>
      <c r="P174" s="115"/>
      <c r="Q174" s="116"/>
      <c r="R174" s="116"/>
      <c r="S174" s="145"/>
    </row>
    <row r="175" spans="1:19" s="146" customFormat="1" ht="18" customHeight="1">
      <c r="A175" s="183"/>
      <c r="B175" s="957"/>
      <c r="C175" s="957"/>
      <c r="D175" s="957"/>
      <c r="E175" s="154"/>
      <c r="F175" s="957"/>
      <c r="G175" s="140"/>
      <c r="H175" s="141"/>
      <c r="I175" s="184"/>
      <c r="J175" s="961"/>
      <c r="K175" s="184"/>
      <c r="L175" s="143"/>
      <c r="M175" s="144"/>
      <c r="N175" s="879"/>
      <c r="O175" s="115"/>
      <c r="P175" s="115"/>
      <c r="Q175" s="116"/>
      <c r="R175" s="116"/>
      <c r="S175" s="145"/>
    </row>
    <row r="176" spans="1:19" s="146" customFormat="1" ht="18" customHeight="1">
      <c r="A176" s="183"/>
      <c r="B176" s="920"/>
      <c r="C176" s="920"/>
      <c r="D176" s="920"/>
      <c r="E176" s="154"/>
      <c r="F176" s="920"/>
      <c r="G176" s="140"/>
      <c r="H176" s="141"/>
      <c r="I176" s="184"/>
      <c r="J176" s="961"/>
      <c r="K176" s="184"/>
      <c r="L176" s="143"/>
      <c r="M176" s="144"/>
      <c r="N176" s="879"/>
      <c r="O176" s="115"/>
      <c r="P176" s="115"/>
      <c r="Q176" s="116"/>
      <c r="R176" s="116"/>
      <c r="S176" s="145"/>
    </row>
    <row r="177" spans="1:19" s="146" customFormat="1" ht="18" customHeight="1">
      <c r="A177" s="183"/>
      <c r="B177" s="920"/>
      <c r="C177" s="920"/>
      <c r="D177" s="920"/>
      <c r="E177" s="154"/>
      <c r="F177" s="920"/>
      <c r="G177" s="140"/>
      <c r="H177" s="141"/>
      <c r="I177" s="185"/>
      <c r="J177" s="961"/>
      <c r="K177" s="185"/>
      <c r="L177" s="143"/>
      <c r="M177" s="144"/>
      <c r="N177" s="879"/>
      <c r="O177" s="115"/>
      <c r="P177" s="115"/>
      <c r="Q177" s="116"/>
      <c r="R177" s="116"/>
      <c r="S177" s="117"/>
    </row>
    <row r="178" spans="1:19" s="146" customFormat="1" ht="18" customHeight="1">
      <c r="A178" s="183">
        <v>7</v>
      </c>
      <c r="B178" s="920"/>
      <c r="C178" s="920"/>
      <c r="D178" s="920"/>
      <c r="E178" s="154" t="s">
        <v>1626</v>
      </c>
      <c r="F178" s="920"/>
      <c r="G178" s="140"/>
      <c r="H178" s="141" t="s">
        <v>430</v>
      </c>
      <c r="I178" s="184" t="s">
        <v>867</v>
      </c>
      <c r="J178" s="961">
        <v>946668</v>
      </c>
      <c r="K178" s="184" t="s">
        <v>867</v>
      </c>
      <c r="L178" s="143">
        <v>964536</v>
      </c>
      <c r="M178" s="144">
        <f>L178-J178</f>
        <v>17868</v>
      </c>
      <c r="N178" s="879"/>
      <c r="O178" s="115">
        <f>M178+L178</f>
        <v>982404</v>
      </c>
      <c r="P178" s="115"/>
      <c r="Q178" s="116"/>
      <c r="R178" s="116"/>
      <c r="S178" s="145"/>
    </row>
    <row r="179" spans="1:19" s="146" customFormat="1" ht="18" customHeight="1">
      <c r="A179" s="183"/>
      <c r="B179" s="957"/>
      <c r="C179" s="957"/>
      <c r="D179" s="957"/>
      <c r="E179" s="154"/>
      <c r="F179" s="957"/>
      <c r="G179" s="140"/>
      <c r="H179" s="141"/>
      <c r="I179" s="184"/>
      <c r="J179" s="961"/>
      <c r="K179" s="184"/>
      <c r="L179" s="143"/>
      <c r="M179" s="144"/>
      <c r="N179" s="879"/>
      <c r="O179" s="115"/>
      <c r="P179" s="115"/>
      <c r="Q179" s="116"/>
      <c r="R179" s="116"/>
      <c r="S179" s="145"/>
    </row>
    <row r="180" spans="1:19" s="146" customFormat="1" ht="18" customHeight="1">
      <c r="A180" s="183"/>
      <c r="B180" s="920"/>
      <c r="C180" s="920"/>
      <c r="D180" s="920"/>
      <c r="E180" s="154"/>
      <c r="F180" s="920"/>
      <c r="G180" s="140"/>
      <c r="H180" s="141"/>
      <c r="I180" s="184"/>
      <c r="J180" s="961"/>
      <c r="K180" s="184"/>
      <c r="L180" s="143"/>
      <c r="M180" s="144"/>
      <c r="N180" s="879"/>
      <c r="O180" s="115"/>
      <c r="P180" s="115"/>
      <c r="Q180" s="116"/>
      <c r="R180" s="116"/>
      <c r="S180" s="145"/>
    </row>
    <row r="181" spans="1:19" s="146" customFormat="1" ht="18" customHeight="1">
      <c r="A181" s="183"/>
      <c r="B181" s="920"/>
      <c r="C181" s="920"/>
      <c r="D181" s="920"/>
      <c r="E181" s="154"/>
      <c r="F181" s="920"/>
      <c r="G181" s="140"/>
      <c r="H181" s="141"/>
      <c r="I181" s="185"/>
      <c r="J181" s="961"/>
      <c r="K181" s="185"/>
      <c r="L181" s="143"/>
      <c r="M181" s="144"/>
      <c r="N181" s="879"/>
      <c r="O181" s="115"/>
      <c r="P181" s="115"/>
      <c r="Q181" s="116"/>
      <c r="R181" s="116"/>
      <c r="S181" s="117"/>
    </row>
    <row r="182" spans="1:19" s="146" customFormat="1" ht="18" customHeight="1">
      <c r="A182" s="183">
        <v>8</v>
      </c>
      <c r="B182" s="920"/>
      <c r="C182" s="920"/>
      <c r="D182" s="920"/>
      <c r="E182" s="154" t="s">
        <v>1626</v>
      </c>
      <c r="F182" s="920"/>
      <c r="G182" s="140"/>
      <c r="H182" s="141" t="s">
        <v>1678</v>
      </c>
      <c r="I182" s="184" t="s">
        <v>867</v>
      </c>
      <c r="J182" s="961">
        <v>946668</v>
      </c>
      <c r="K182" s="184" t="s">
        <v>867</v>
      </c>
      <c r="L182" s="143">
        <v>964536</v>
      </c>
      <c r="M182" s="144">
        <f>L182-J182</f>
        <v>17868</v>
      </c>
      <c r="N182" s="879"/>
      <c r="O182" s="115">
        <f>M182+L182</f>
        <v>982404</v>
      </c>
      <c r="P182" s="115"/>
      <c r="Q182" s="116"/>
      <c r="R182" s="116"/>
      <c r="S182" s="145"/>
    </row>
    <row r="183" spans="1:19" s="146" customFormat="1" ht="18" customHeight="1">
      <c r="A183" s="183"/>
      <c r="B183" s="957"/>
      <c r="C183" s="957"/>
      <c r="D183" s="957"/>
      <c r="E183" s="154"/>
      <c r="F183" s="957"/>
      <c r="G183" s="140"/>
      <c r="H183" s="141"/>
      <c r="I183" s="184"/>
      <c r="J183" s="961"/>
      <c r="K183" s="184"/>
      <c r="L183" s="143"/>
      <c r="M183" s="144"/>
      <c r="N183" s="879"/>
      <c r="O183" s="115"/>
      <c r="P183" s="115"/>
      <c r="Q183" s="116"/>
      <c r="R183" s="116"/>
      <c r="S183" s="145"/>
    </row>
    <row r="184" spans="1:19" s="146" customFormat="1" ht="18" customHeight="1">
      <c r="A184" s="183"/>
      <c r="B184" s="920"/>
      <c r="C184" s="920"/>
      <c r="D184" s="920"/>
      <c r="E184" s="154"/>
      <c r="F184" s="920"/>
      <c r="G184" s="140"/>
      <c r="H184" s="141"/>
      <c r="I184" s="184"/>
      <c r="J184" s="961"/>
      <c r="K184" s="184"/>
      <c r="L184" s="143"/>
      <c r="M184" s="144"/>
      <c r="N184" s="879"/>
      <c r="O184" s="115"/>
      <c r="P184" s="115"/>
      <c r="Q184" s="116"/>
      <c r="R184" s="116"/>
      <c r="S184" s="145"/>
    </row>
    <row r="185" spans="1:19" s="146" customFormat="1" ht="18" customHeight="1">
      <c r="A185" s="183"/>
      <c r="B185" s="920"/>
      <c r="C185" s="920"/>
      <c r="D185" s="920"/>
      <c r="E185" s="154"/>
      <c r="F185" s="920"/>
      <c r="G185" s="140"/>
      <c r="H185" s="141"/>
      <c r="I185" s="185"/>
      <c r="J185" s="961"/>
      <c r="K185" s="185"/>
      <c r="L185" s="143"/>
      <c r="M185" s="144"/>
      <c r="N185" s="879"/>
      <c r="O185" s="115"/>
      <c r="P185" s="115"/>
      <c r="Q185" s="116"/>
      <c r="R185" s="116"/>
      <c r="S185" s="117"/>
    </row>
    <row r="186" spans="1:19" s="146" customFormat="1" ht="18" customHeight="1">
      <c r="A186" s="183">
        <v>9</v>
      </c>
      <c r="B186" s="920"/>
      <c r="C186" s="920"/>
      <c r="D186" s="920"/>
      <c r="E186" s="154" t="s">
        <v>1626</v>
      </c>
      <c r="F186" s="920"/>
      <c r="G186" s="140"/>
      <c r="H186" s="141" t="s">
        <v>1679</v>
      </c>
      <c r="I186" s="184" t="s">
        <v>66</v>
      </c>
      <c r="J186" s="961">
        <v>901788</v>
      </c>
      <c r="K186" s="184" t="s">
        <v>66</v>
      </c>
      <c r="L186" s="143">
        <v>918792</v>
      </c>
      <c r="M186" s="144">
        <f>L186-J186</f>
        <v>17004</v>
      </c>
      <c r="N186" s="879"/>
      <c r="O186" s="115">
        <v>935796</v>
      </c>
      <c r="P186" s="115"/>
      <c r="Q186" s="116"/>
      <c r="R186" s="116"/>
      <c r="S186" s="145"/>
    </row>
    <row r="187" spans="1:19" s="146" customFormat="1" ht="18" customHeight="1">
      <c r="A187" s="183"/>
      <c r="B187" s="957"/>
      <c r="C187" s="957"/>
      <c r="D187" s="957"/>
      <c r="E187" s="154"/>
      <c r="F187" s="957"/>
      <c r="G187" s="140"/>
      <c r="H187" s="141"/>
      <c r="I187" s="184"/>
      <c r="J187" s="961"/>
      <c r="K187" s="184"/>
      <c r="L187" s="143"/>
      <c r="M187" s="144"/>
      <c r="N187" s="879"/>
      <c r="O187" s="115"/>
      <c r="P187" s="115"/>
      <c r="Q187" s="116"/>
      <c r="R187" s="116"/>
      <c r="S187" s="145"/>
    </row>
    <row r="188" spans="1:19" s="146" customFormat="1" ht="18" customHeight="1">
      <c r="A188" s="183"/>
      <c r="B188" s="920"/>
      <c r="C188" s="920"/>
      <c r="D188" s="920"/>
      <c r="E188" s="154"/>
      <c r="F188" s="920"/>
      <c r="G188" s="140"/>
      <c r="H188" s="141"/>
      <c r="I188" s="184"/>
      <c r="J188" s="961"/>
      <c r="K188" s="184"/>
      <c r="L188" s="143"/>
      <c r="M188" s="144"/>
      <c r="N188" s="879"/>
      <c r="O188" s="115"/>
      <c r="P188" s="115"/>
      <c r="Q188" s="116"/>
      <c r="R188" s="116"/>
      <c r="S188" s="145"/>
    </row>
    <row r="189" spans="1:19" s="146" customFormat="1" ht="18" customHeight="1">
      <c r="A189" s="183"/>
      <c r="B189" s="920"/>
      <c r="C189" s="920"/>
      <c r="D189" s="920"/>
      <c r="E189" s="154"/>
      <c r="F189" s="920"/>
      <c r="G189" s="140"/>
      <c r="H189" s="141"/>
      <c r="I189" s="185"/>
      <c r="J189" s="961"/>
      <c r="K189" s="185"/>
      <c r="L189" s="143"/>
      <c r="M189" s="144"/>
      <c r="N189" s="879"/>
      <c r="O189" s="115"/>
      <c r="P189" s="115"/>
      <c r="Q189" s="116"/>
      <c r="R189" s="116"/>
      <c r="S189" s="117"/>
    </row>
    <row r="190" spans="1:19" s="146" customFormat="1" ht="18" customHeight="1">
      <c r="A190" s="183">
        <v>10</v>
      </c>
      <c r="B190" s="920"/>
      <c r="C190" s="920"/>
      <c r="D190" s="920"/>
      <c r="E190" s="154" t="s">
        <v>1627</v>
      </c>
      <c r="F190" s="920"/>
      <c r="G190" s="140"/>
      <c r="H190" s="141" t="s">
        <v>968</v>
      </c>
      <c r="I190" s="184" t="s">
        <v>66</v>
      </c>
      <c r="J190" s="961">
        <v>901788</v>
      </c>
      <c r="K190" s="184" t="s">
        <v>66</v>
      </c>
      <c r="L190" s="143">
        <v>918792</v>
      </c>
      <c r="M190" s="144">
        <f>L190-J190</f>
        <v>17004</v>
      </c>
      <c r="N190" s="879"/>
      <c r="O190" s="115">
        <f>M190+L190</f>
        <v>935796</v>
      </c>
      <c r="P190" s="115"/>
      <c r="Q190" s="116"/>
      <c r="R190" s="116"/>
      <c r="S190" s="145"/>
    </row>
    <row r="191" spans="1:19" s="146" customFormat="1" ht="18" customHeight="1">
      <c r="A191" s="183"/>
      <c r="B191" s="920"/>
      <c r="C191" s="920"/>
      <c r="D191" s="920"/>
      <c r="E191" s="154" t="s">
        <v>67</v>
      </c>
      <c r="F191" s="920"/>
      <c r="G191" s="140"/>
      <c r="H191" s="141"/>
      <c r="I191" s="185"/>
      <c r="J191" s="961"/>
      <c r="K191" s="184"/>
      <c r="L191" s="143"/>
      <c r="M191" s="144"/>
      <c r="N191" s="879"/>
      <c r="O191" s="115"/>
      <c r="P191" s="115"/>
      <c r="Q191" s="116"/>
      <c r="R191" s="116"/>
      <c r="S191" s="117"/>
    </row>
    <row r="192" spans="1:19" s="146" customFormat="1" ht="18" customHeight="1">
      <c r="A192" s="183"/>
      <c r="B192" s="957"/>
      <c r="C192" s="957"/>
      <c r="D192" s="957"/>
      <c r="E192" s="154"/>
      <c r="F192" s="957"/>
      <c r="G192" s="140"/>
      <c r="H192" s="141"/>
      <c r="I192" s="185"/>
      <c r="J192" s="961"/>
      <c r="K192" s="184"/>
      <c r="L192" s="143"/>
      <c r="M192" s="144"/>
      <c r="N192" s="879"/>
      <c r="O192" s="115"/>
      <c r="P192" s="115"/>
      <c r="Q192" s="116"/>
      <c r="R192" s="116"/>
      <c r="S192" s="117"/>
    </row>
    <row r="193" spans="1:19" s="146" customFormat="1" ht="18" customHeight="1">
      <c r="A193" s="183"/>
      <c r="B193" s="920"/>
      <c r="C193" s="920"/>
      <c r="D193" s="920"/>
      <c r="E193" s="154"/>
      <c r="F193" s="920"/>
      <c r="G193" s="140"/>
      <c r="H193" s="141"/>
      <c r="I193" s="185"/>
      <c r="J193" s="961"/>
      <c r="K193" s="185"/>
      <c r="L193" s="149"/>
      <c r="M193" s="144"/>
      <c r="N193" s="879"/>
      <c r="O193" s="115"/>
      <c r="P193" s="115"/>
      <c r="Q193" s="116"/>
      <c r="R193" s="116"/>
      <c r="S193" s="117"/>
    </row>
    <row r="194" spans="1:19" s="146" customFormat="1" ht="18" customHeight="1">
      <c r="A194" s="183"/>
      <c r="B194" s="920"/>
      <c r="C194" s="920"/>
      <c r="D194" s="920"/>
      <c r="E194" s="154"/>
      <c r="F194" s="920"/>
      <c r="G194" s="140"/>
      <c r="H194" s="141"/>
      <c r="I194" s="185"/>
      <c r="J194" s="961"/>
      <c r="K194" s="185"/>
      <c r="L194" s="143"/>
      <c r="M194" s="144"/>
      <c r="N194" s="879"/>
      <c r="O194" s="115"/>
      <c r="P194" s="115"/>
      <c r="Q194" s="116"/>
      <c r="R194" s="116"/>
      <c r="S194" s="117"/>
    </row>
    <row r="195" spans="1:19" s="146" customFormat="1" ht="18" customHeight="1">
      <c r="A195" s="183">
        <v>11</v>
      </c>
      <c r="B195" s="920"/>
      <c r="C195" s="920"/>
      <c r="D195" s="920"/>
      <c r="E195" s="154" t="s">
        <v>1627</v>
      </c>
      <c r="F195" s="920"/>
      <c r="G195" s="140"/>
      <c r="H195" s="141" t="s">
        <v>937</v>
      </c>
      <c r="I195" s="184" t="s">
        <v>66</v>
      </c>
      <c r="J195" s="961">
        <v>901788</v>
      </c>
      <c r="K195" s="184" t="s">
        <v>66</v>
      </c>
      <c r="L195" s="143">
        <v>918792</v>
      </c>
      <c r="M195" s="144">
        <f>L195-J195</f>
        <v>17004</v>
      </c>
      <c r="N195" s="879"/>
      <c r="O195" s="115">
        <f>M195+L195</f>
        <v>935796</v>
      </c>
      <c r="P195" s="115"/>
      <c r="Q195" s="116"/>
      <c r="R195" s="116"/>
      <c r="S195" s="145"/>
    </row>
    <row r="196" spans="1:19" s="146" customFormat="1" ht="18" customHeight="1">
      <c r="A196" s="183"/>
      <c r="B196" s="920"/>
      <c r="C196" s="920"/>
      <c r="D196" s="920"/>
      <c r="E196" s="154" t="s">
        <v>68</v>
      </c>
      <c r="F196" s="920"/>
      <c r="G196" s="140"/>
      <c r="H196" s="141"/>
      <c r="I196" s="184"/>
      <c r="J196" s="961"/>
      <c r="K196" s="184"/>
      <c r="L196" s="143"/>
      <c r="M196" s="144"/>
      <c r="N196" s="879"/>
      <c r="O196" s="115"/>
      <c r="P196" s="115"/>
      <c r="Q196" s="116"/>
      <c r="R196" s="116"/>
      <c r="S196" s="145"/>
    </row>
    <row r="197" spans="1:19" s="146" customFormat="1" ht="18" customHeight="1">
      <c r="A197" s="183"/>
      <c r="B197" s="957"/>
      <c r="C197" s="957"/>
      <c r="D197" s="957"/>
      <c r="E197" s="154"/>
      <c r="F197" s="957"/>
      <c r="G197" s="140"/>
      <c r="H197" s="141"/>
      <c r="I197" s="184"/>
      <c r="J197" s="961"/>
      <c r="K197" s="184"/>
      <c r="L197" s="143"/>
      <c r="M197" s="144"/>
      <c r="N197" s="879"/>
      <c r="O197" s="115"/>
      <c r="P197" s="115"/>
      <c r="Q197" s="116"/>
      <c r="R197" s="116"/>
      <c r="S197" s="145"/>
    </row>
    <row r="198" spans="1:19" s="146" customFormat="1" ht="18" customHeight="1">
      <c r="A198" s="183"/>
      <c r="B198" s="957"/>
      <c r="C198" s="957"/>
      <c r="D198" s="957"/>
      <c r="E198" s="154"/>
      <c r="F198" s="957"/>
      <c r="G198" s="140"/>
      <c r="H198" s="141"/>
      <c r="I198" s="184"/>
      <c r="J198" s="961"/>
      <c r="K198" s="184"/>
      <c r="L198" s="143"/>
      <c r="M198" s="144"/>
      <c r="N198" s="879"/>
      <c r="O198" s="115"/>
      <c r="P198" s="115"/>
      <c r="Q198" s="116"/>
      <c r="R198" s="116"/>
      <c r="S198" s="145"/>
    </row>
    <row r="199" spans="1:19" s="146" customFormat="1" ht="18" customHeight="1">
      <c r="A199" s="183"/>
      <c r="B199" s="930"/>
      <c r="C199" s="930"/>
      <c r="D199" s="930"/>
      <c r="E199" s="154"/>
      <c r="F199" s="930"/>
      <c r="G199" s="140"/>
      <c r="H199" s="141"/>
      <c r="I199" s="184"/>
      <c r="J199" s="961"/>
      <c r="K199" s="184"/>
      <c r="L199" s="143"/>
      <c r="M199" s="144"/>
      <c r="N199" s="879"/>
      <c r="O199" s="115"/>
      <c r="P199" s="115"/>
      <c r="Q199" s="116"/>
      <c r="R199" s="116"/>
      <c r="S199" s="145"/>
    </row>
    <row r="200" spans="1:19" s="146" customFormat="1" ht="18" customHeight="1">
      <c r="A200" s="183"/>
      <c r="B200" s="920"/>
      <c r="C200" s="920"/>
      <c r="D200" s="920"/>
      <c r="E200" s="154"/>
      <c r="F200" s="920"/>
      <c r="G200" s="140"/>
      <c r="H200" s="141"/>
      <c r="I200" s="185"/>
      <c r="J200" s="143"/>
      <c r="K200" s="185"/>
      <c r="L200" s="143"/>
      <c r="M200" s="144"/>
      <c r="N200" s="879"/>
      <c r="O200" s="115"/>
      <c r="P200" s="115"/>
      <c r="Q200" s="116"/>
      <c r="R200" s="116"/>
      <c r="S200" s="117"/>
    </row>
    <row r="201" spans="1:19" s="146" customFormat="1" ht="18" customHeight="1" thickBot="1">
      <c r="A201" s="161"/>
      <c r="B201" s="158"/>
      <c r="C201" s="158"/>
      <c r="D201" s="158"/>
      <c r="E201" s="186"/>
      <c r="F201" s="158"/>
      <c r="G201" s="160"/>
      <c r="H201" s="161" t="s">
        <v>918</v>
      </c>
      <c r="I201" s="187"/>
      <c r="J201" s="163">
        <f>SUM(J153:J200)</f>
        <v>10255044</v>
      </c>
      <c r="K201" s="187"/>
      <c r="L201" s="163">
        <f>SUM(L153:L200)</f>
        <v>10449444</v>
      </c>
      <c r="M201" s="164">
        <f>SUM(M154:M200)</f>
        <v>194400</v>
      </c>
      <c r="N201" s="171"/>
      <c r="O201" s="115">
        <f>SUM(O148:O200)</f>
        <v>10643844</v>
      </c>
      <c r="P201" s="115"/>
      <c r="Q201" s="116"/>
      <c r="R201" s="116"/>
      <c r="S201" s="117"/>
    </row>
    <row r="202" spans="1:19" s="193" customFormat="1" ht="18" customHeight="1" thickTop="1">
      <c r="A202" s="188"/>
      <c r="B202" s="188"/>
      <c r="C202" s="188"/>
      <c r="D202" s="188"/>
      <c r="E202" s="188"/>
      <c r="F202" s="188"/>
      <c r="G202" s="189"/>
      <c r="H202" s="188"/>
      <c r="I202" s="188"/>
      <c r="J202" s="169"/>
      <c r="K202" s="190"/>
      <c r="L202" s="169"/>
      <c r="M202" s="171"/>
      <c r="N202" s="171"/>
      <c r="O202" s="191"/>
      <c r="P202" s="191"/>
      <c r="Q202" s="109"/>
      <c r="R202" s="109"/>
      <c r="S202" s="192"/>
    </row>
    <row r="203" spans="1:19" s="193" customFormat="1" ht="18" customHeight="1">
      <c r="A203" s="188"/>
      <c r="B203" s="188"/>
      <c r="C203" s="188"/>
      <c r="D203" s="188"/>
      <c r="E203" s="188"/>
      <c r="F203" s="188"/>
      <c r="G203" s="189"/>
      <c r="H203" s="188"/>
      <c r="I203" s="188"/>
      <c r="J203" s="169"/>
      <c r="K203" s="190"/>
      <c r="L203" s="169"/>
      <c r="M203" s="171"/>
      <c r="N203" s="171"/>
      <c r="O203" s="191"/>
      <c r="P203" s="191"/>
      <c r="Q203" s="109"/>
      <c r="R203" s="109"/>
      <c r="S203" s="192"/>
    </row>
    <row r="204" spans="1:19" s="193" customFormat="1" ht="18" customHeight="1">
      <c r="A204" s="188"/>
      <c r="B204" s="188"/>
      <c r="C204" s="188"/>
      <c r="D204" s="188"/>
      <c r="E204" s="188"/>
      <c r="F204" s="188"/>
      <c r="G204" s="189"/>
      <c r="H204" s="188"/>
      <c r="I204" s="188"/>
      <c r="J204" s="169"/>
      <c r="K204" s="190"/>
      <c r="L204" s="169"/>
      <c r="M204" s="171"/>
      <c r="N204" s="171"/>
      <c r="O204" s="191"/>
      <c r="P204" s="191"/>
      <c r="Q204" s="109"/>
      <c r="R204" s="109"/>
      <c r="S204" s="192"/>
    </row>
    <row r="205" spans="1:19" s="193" customFormat="1" ht="18" customHeight="1">
      <c r="A205" s="188"/>
      <c r="B205" s="188"/>
      <c r="C205" s="188"/>
      <c r="D205" s="188"/>
      <c r="E205" s="188"/>
      <c r="F205" s="188"/>
      <c r="G205" s="189"/>
      <c r="H205" s="188"/>
      <c r="I205" s="188"/>
      <c r="J205" s="169"/>
      <c r="K205" s="190"/>
      <c r="L205" s="169"/>
      <c r="M205" s="171"/>
      <c r="N205" s="171"/>
      <c r="O205" s="191"/>
      <c r="P205" s="191"/>
      <c r="Q205" s="109"/>
      <c r="R205" s="109"/>
      <c r="S205" s="192"/>
    </row>
    <row r="206" spans="1:19" s="193" customFormat="1" ht="18" customHeight="1">
      <c r="A206" s="188"/>
      <c r="B206" s="188"/>
      <c r="C206" s="188"/>
      <c r="D206" s="188"/>
      <c r="E206" s="188"/>
      <c r="F206" s="188"/>
      <c r="G206" s="189"/>
      <c r="H206" s="188"/>
      <c r="I206" s="188"/>
      <c r="J206" s="169"/>
      <c r="K206" s="190"/>
      <c r="L206" s="169"/>
      <c r="M206" s="171"/>
      <c r="N206" s="171"/>
      <c r="O206" s="191"/>
      <c r="P206" s="191"/>
      <c r="Q206" s="109"/>
      <c r="R206" s="109"/>
      <c r="S206" s="192"/>
    </row>
    <row r="207" spans="1:19" s="193" customFormat="1" ht="18" customHeight="1">
      <c r="A207" s="188"/>
      <c r="B207" s="188"/>
      <c r="C207" s="188"/>
      <c r="D207" s="188"/>
      <c r="E207" s="188"/>
      <c r="F207" s="188"/>
      <c r="G207" s="189"/>
      <c r="H207" s="188"/>
      <c r="I207" s="188"/>
      <c r="J207" s="169"/>
      <c r="K207" s="190"/>
      <c r="L207" s="169"/>
      <c r="M207" s="171"/>
      <c r="N207" s="171"/>
      <c r="O207" s="191"/>
      <c r="P207" s="191"/>
      <c r="Q207" s="109"/>
      <c r="R207" s="109"/>
      <c r="S207" s="192"/>
    </row>
    <row r="208" spans="1:19" s="193" customFormat="1" ht="18" customHeight="1">
      <c r="A208" s="188"/>
      <c r="B208" s="188"/>
      <c r="C208" s="188"/>
      <c r="D208" s="188"/>
      <c r="E208" s="188"/>
      <c r="F208" s="188"/>
      <c r="G208" s="189"/>
      <c r="H208" s="188"/>
      <c r="I208" s="188"/>
      <c r="J208" s="169"/>
      <c r="K208" s="190"/>
      <c r="L208" s="169"/>
      <c r="M208" s="171"/>
      <c r="N208" s="171"/>
      <c r="O208" s="191"/>
      <c r="P208" s="191"/>
      <c r="Q208" s="109"/>
      <c r="R208" s="109"/>
      <c r="S208" s="192"/>
    </row>
    <row r="209" spans="1:19" s="193" customFormat="1" ht="18" customHeight="1">
      <c r="A209" s="188"/>
      <c r="B209" s="188"/>
      <c r="C209" s="188"/>
      <c r="D209" s="188"/>
      <c r="E209" s="188"/>
      <c r="F209" s="188"/>
      <c r="G209" s="189"/>
      <c r="H209" s="188"/>
      <c r="I209" s="188"/>
      <c r="J209" s="169"/>
      <c r="K209" s="190"/>
      <c r="L209" s="169"/>
      <c r="M209" s="171"/>
      <c r="N209" s="171"/>
      <c r="O209" s="191"/>
      <c r="P209" s="191"/>
      <c r="Q209" s="109"/>
      <c r="R209" s="109"/>
      <c r="S209" s="192"/>
    </row>
    <row r="210" spans="1:19" s="193" customFormat="1" ht="18" customHeight="1">
      <c r="A210" s="188"/>
      <c r="B210" s="188"/>
      <c r="C210" s="188"/>
      <c r="D210" s="188"/>
      <c r="E210" s="188"/>
      <c r="F210" s="188"/>
      <c r="G210" s="189"/>
      <c r="H210" s="188"/>
      <c r="I210" s="188"/>
      <c r="J210" s="169"/>
      <c r="K210" s="190"/>
      <c r="L210" s="169"/>
      <c r="M210" s="171"/>
      <c r="N210" s="171"/>
      <c r="O210" s="191"/>
      <c r="P210" s="191"/>
      <c r="Q210" s="109"/>
      <c r="R210" s="109"/>
      <c r="S210" s="192"/>
    </row>
    <row r="211" spans="1:19" s="193" customFormat="1" ht="18" customHeight="1">
      <c r="A211" s="188"/>
      <c r="B211" s="188"/>
      <c r="C211" s="188"/>
      <c r="D211" s="188"/>
      <c r="E211" s="188"/>
      <c r="F211" s="188"/>
      <c r="G211" s="189"/>
      <c r="H211" s="188"/>
      <c r="I211" s="188"/>
      <c r="J211" s="169"/>
      <c r="K211" s="190"/>
      <c r="L211" s="169"/>
      <c r="M211" s="171"/>
      <c r="N211" s="171"/>
      <c r="O211" s="191"/>
      <c r="P211" s="191"/>
      <c r="Q211" s="109"/>
      <c r="R211" s="109"/>
      <c r="S211" s="192"/>
    </row>
    <row r="212" spans="1:19" s="193" customFormat="1" ht="18" customHeight="1">
      <c r="A212" s="188"/>
      <c r="B212" s="188"/>
      <c r="C212" s="188"/>
      <c r="D212" s="188"/>
      <c r="E212" s="188"/>
      <c r="F212" s="188"/>
      <c r="G212" s="189"/>
      <c r="H212" s="188"/>
      <c r="I212" s="188"/>
      <c r="J212" s="169"/>
      <c r="K212" s="190"/>
      <c r="L212" s="169"/>
      <c r="M212" s="171"/>
      <c r="N212" s="171"/>
      <c r="O212" s="191"/>
      <c r="P212" s="191"/>
      <c r="Q212" s="109"/>
      <c r="R212" s="109"/>
      <c r="S212" s="192"/>
    </row>
    <row r="213" spans="1:19" s="193" customFormat="1" ht="18" customHeight="1">
      <c r="A213" s="188"/>
      <c r="B213" s="188"/>
      <c r="C213" s="188"/>
      <c r="D213" s="188"/>
      <c r="E213" s="188"/>
      <c r="F213" s="188"/>
      <c r="G213" s="189"/>
      <c r="H213" s="188"/>
      <c r="I213" s="188"/>
      <c r="J213" s="169"/>
      <c r="K213" s="190"/>
      <c r="L213" s="169"/>
      <c r="M213" s="171"/>
      <c r="N213" s="171"/>
      <c r="O213" s="191"/>
      <c r="P213" s="191"/>
      <c r="Q213" s="109"/>
      <c r="R213" s="109"/>
      <c r="S213" s="192"/>
    </row>
    <row r="214" spans="1:19" s="193" customFormat="1" ht="18" customHeight="1">
      <c r="A214" s="188"/>
      <c r="B214" s="188"/>
      <c r="C214" s="188"/>
      <c r="D214" s="188"/>
      <c r="E214" s="188"/>
      <c r="F214" s="188"/>
      <c r="G214" s="189"/>
      <c r="H214" s="188"/>
      <c r="I214" s="188"/>
      <c r="J214" s="169"/>
      <c r="K214" s="190"/>
      <c r="L214" s="169"/>
      <c r="M214" s="171"/>
      <c r="N214" s="171"/>
      <c r="O214" s="191"/>
      <c r="P214" s="191"/>
      <c r="Q214" s="109"/>
      <c r="R214" s="109"/>
      <c r="S214" s="192"/>
    </row>
    <row r="215" spans="1:19" s="193" customFormat="1" ht="18" customHeight="1">
      <c r="A215" s="188"/>
      <c r="B215" s="188"/>
      <c r="C215" s="188"/>
      <c r="D215" s="188"/>
      <c r="E215" s="188"/>
      <c r="F215" s="188"/>
      <c r="G215" s="189"/>
      <c r="H215" s="188"/>
      <c r="I215" s="188"/>
      <c r="J215" s="169"/>
      <c r="K215" s="190"/>
      <c r="L215" s="169"/>
      <c r="M215" s="171"/>
      <c r="N215" s="171"/>
      <c r="O215" s="191"/>
      <c r="P215" s="191"/>
      <c r="Q215" s="109"/>
      <c r="R215" s="109"/>
      <c r="S215" s="192"/>
    </row>
    <row r="216" spans="1:19" s="193" customFormat="1" ht="18" customHeight="1">
      <c r="A216" s="188"/>
      <c r="B216" s="188"/>
      <c r="C216" s="188"/>
      <c r="D216" s="188"/>
      <c r="E216" s="188"/>
      <c r="F216" s="188"/>
      <c r="G216" s="189"/>
      <c r="H216" s="188"/>
      <c r="I216" s="188"/>
      <c r="J216" s="169"/>
      <c r="K216" s="190"/>
      <c r="L216" s="169"/>
      <c r="M216" s="171"/>
      <c r="N216" s="171"/>
      <c r="O216" s="191"/>
      <c r="P216" s="191"/>
      <c r="Q216" s="109"/>
      <c r="R216" s="109"/>
      <c r="S216" s="192"/>
    </row>
    <row r="217" spans="1:19" s="193" customFormat="1" ht="18" customHeight="1">
      <c r="A217" s="188"/>
      <c r="B217" s="188"/>
      <c r="C217" s="188"/>
      <c r="D217" s="188"/>
      <c r="E217" s="188"/>
      <c r="F217" s="188"/>
      <c r="G217" s="189"/>
      <c r="H217" s="188"/>
      <c r="I217" s="188"/>
      <c r="J217" s="169"/>
      <c r="K217" s="190"/>
      <c r="L217" s="169"/>
      <c r="M217" s="171"/>
      <c r="N217" s="171"/>
      <c r="O217" s="191"/>
      <c r="P217" s="191"/>
      <c r="Q217" s="109"/>
      <c r="R217" s="109"/>
      <c r="S217" s="192"/>
    </row>
    <row r="218" spans="1:19" s="193" customFormat="1" ht="20.100000000000001" customHeight="1">
      <c r="A218" s="1448" t="s">
        <v>952</v>
      </c>
      <c r="B218" s="1448"/>
      <c r="C218" s="1448"/>
      <c r="D218" s="1448"/>
      <c r="E218" s="1448"/>
      <c r="F218" s="1448"/>
      <c r="G218" s="1448"/>
      <c r="H218" s="1448"/>
      <c r="I218" s="1448"/>
      <c r="J218" s="1448"/>
      <c r="K218" s="1448"/>
      <c r="L218" s="1448"/>
      <c r="M218" s="1448"/>
      <c r="N218" s="918"/>
      <c r="O218" s="191"/>
      <c r="P218" s="191"/>
      <c r="Q218" s="109"/>
      <c r="R218" s="109"/>
      <c r="S218" s="192"/>
    </row>
    <row r="219" spans="1:19" s="193" customFormat="1" ht="18" customHeight="1">
      <c r="A219" s="1538" t="s">
        <v>1663</v>
      </c>
      <c r="B219" s="1538"/>
      <c r="C219" s="1538"/>
      <c r="D219" s="1538"/>
      <c r="E219" s="1538"/>
      <c r="F219" s="1538"/>
      <c r="G219" s="1538"/>
      <c r="H219" s="1538"/>
      <c r="I219" s="1538"/>
      <c r="J219" s="1538"/>
      <c r="K219" s="1538"/>
      <c r="L219" s="1538"/>
      <c r="M219" s="1538"/>
      <c r="N219" s="908"/>
      <c r="O219" s="191"/>
      <c r="P219" s="191"/>
      <c r="Q219" s="109"/>
      <c r="R219" s="109"/>
      <c r="S219" s="192"/>
    </row>
    <row r="220" spans="1:19" s="193" customFormat="1" ht="18" customHeight="1">
      <c r="A220" s="1539" t="s">
        <v>351</v>
      </c>
      <c r="B220" s="1539"/>
      <c r="C220" s="1539"/>
      <c r="D220" s="1539"/>
      <c r="E220" s="1539"/>
      <c r="F220" s="1539"/>
      <c r="G220" s="1539"/>
      <c r="H220" s="1539"/>
      <c r="I220" s="1539"/>
      <c r="J220" s="1539"/>
      <c r="K220" s="1539"/>
      <c r="L220" s="1539"/>
      <c r="M220" s="1539"/>
      <c r="N220" s="909"/>
      <c r="O220" s="191"/>
      <c r="P220" s="191"/>
      <c r="Q220" s="109"/>
      <c r="R220" s="109"/>
      <c r="S220" s="192"/>
    </row>
    <row r="221" spans="1:19" s="193" customFormat="1" ht="18" customHeight="1">
      <c r="A221" s="1540"/>
      <c r="B221" s="1540"/>
      <c r="C221" s="1540"/>
      <c r="D221" s="1540"/>
      <c r="E221" s="1540"/>
      <c r="F221" s="1540"/>
      <c r="G221" s="1540"/>
      <c r="H221" s="1540"/>
      <c r="I221" s="1540"/>
      <c r="J221" s="1540"/>
      <c r="K221" s="1540"/>
      <c r="L221" s="1540"/>
      <c r="M221" s="1540"/>
      <c r="N221" s="910"/>
      <c r="O221" s="191"/>
      <c r="P221" s="191"/>
      <c r="Q221" s="109"/>
      <c r="R221" s="109"/>
      <c r="S221" s="192"/>
    </row>
    <row r="222" spans="1:19" s="193" customFormat="1" ht="18" customHeight="1">
      <c r="A222" s="910"/>
      <c r="B222" s="910"/>
      <c r="C222" s="910"/>
      <c r="D222" s="910"/>
      <c r="E222" s="910"/>
      <c r="F222" s="910"/>
      <c r="G222" s="910"/>
      <c r="H222" s="910"/>
      <c r="I222" s="910"/>
      <c r="J222" s="910"/>
      <c r="K222" s="910"/>
      <c r="L222" s="910"/>
      <c r="M222" s="910"/>
      <c r="N222" s="910"/>
      <c r="O222" s="191"/>
      <c r="P222" s="191"/>
      <c r="Q222" s="109"/>
      <c r="R222" s="109"/>
      <c r="S222" s="192"/>
    </row>
    <row r="223" spans="1:19" s="193" customFormat="1" ht="18" customHeight="1">
      <c r="A223" s="111" t="s">
        <v>441</v>
      </c>
      <c r="B223" s="111"/>
      <c r="C223" s="910" t="s">
        <v>439</v>
      </c>
      <c r="D223" s="111" t="s">
        <v>292</v>
      </c>
      <c r="E223" s="118"/>
      <c r="F223" s="111"/>
      <c r="G223" s="910"/>
      <c r="H223" s="910"/>
      <c r="I223" s="910"/>
      <c r="J223" s="910"/>
      <c r="K223" s="910"/>
      <c r="L223" s="910"/>
      <c r="M223" s="910"/>
      <c r="N223" s="910"/>
      <c r="O223" s="191"/>
      <c r="P223" s="191"/>
      <c r="Q223" s="109"/>
      <c r="R223" s="109"/>
      <c r="S223" s="192"/>
    </row>
    <row r="224" spans="1:19" s="193" customFormat="1" ht="18" customHeight="1">
      <c r="A224" s="111" t="s">
        <v>442</v>
      </c>
      <c r="B224" s="111"/>
      <c r="C224" s="910" t="s">
        <v>439</v>
      </c>
      <c r="D224" s="111" t="s">
        <v>444</v>
      </c>
      <c r="E224" s="118"/>
      <c r="F224" s="111"/>
      <c r="G224" s="910"/>
      <c r="H224" s="910"/>
      <c r="I224" s="910"/>
      <c r="J224" s="910"/>
      <c r="K224" s="910"/>
      <c r="L224" s="910"/>
      <c r="M224" s="910"/>
      <c r="N224" s="910"/>
      <c r="O224" s="191"/>
      <c r="P224" s="191"/>
      <c r="Q224" s="109"/>
      <c r="R224" s="109"/>
      <c r="S224" s="192"/>
    </row>
    <row r="225" spans="1:19" s="193" customFormat="1" ht="18" customHeight="1" thickBot="1">
      <c r="A225" s="111" t="s">
        <v>443</v>
      </c>
      <c r="B225" s="111"/>
      <c r="C225" s="910" t="s">
        <v>439</v>
      </c>
      <c r="D225" s="111" t="s">
        <v>445</v>
      </c>
      <c r="E225" s="118"/>
      <c r="F225" s="111"/>
      <c r="G225" s="910"/>
      <c r="H225" s="910"/>
      <c r="I225" s="910"/>
      <c r="J225" s="910"/>
      <c r="K225" s="910"/>
      <c r="L225" s="910"/>
      <c r="M225" s="910"/>
      <c r="N225" s="910"/>
      <c r="O225" s="191"/>
      <c r="P225" s="191"/>
      <c r="Q225" s="109"/>
      <c r="R225" s="109"/>
      <c r="S225" s="192"/>
    </row>
    <row r="226" spans="1:19" s="146" customFormat="1" ht="18" customHeight="1">
      <c r="A226" s="1532" t="s">
        <v>619</v>
      </c>
      <c r="B226" s="1533"/>
      <c r="C226" s="1533"/>
      <c r="D226" s="1533"/>
      <c r="E226" s="1534"/>
      <c r="F226" s="1533"/>
      <c r="G226" s="1535"/>
      <c r="H226" s="952"/>
      <c r="I226" s="1536" t="s">
        <v>623</v>
      </c>
      <c r="J226" s="1537"/>
      <c r="K226" s="1536" t="s">
        <v>623</v>
      </c>
      <c r="L226" s="1537"/>
      <c r="M226" s="122"/>
      <c r="N226" s="876"/>
      <c r="O226" s="115"/>
      <c r="P226" s="115"/>
      <c r="Q226" s="116"/>
      <c r="R226" s="116"/>
      <c r="S226" s="117"/>
    </row>
    <row r="227" spans="1:19" s="146" customFormat="1" ht="18" customHeight="1">
      <c r="A227" s="123" t="s">
        <v>620</v>
      </c>
      <c r="B227" s="1544" t="s">
        <v>621</v>
      </c>
      <c r="C227" s="1545"/>
      <c r="D227" s="1546"/>
      <c r="E227" s="1547" t="s">
        <v>43</v>
      </c>
      <c r="F227" s="1548"/>
      <c r="G227" s="1549"/>
      <c r="H227" s="953" t="s">
        <v>44</v>
      </c>
      <c r="I227" s="1547" t="s">
        <v>1613</v>
      </c>
      <c r="J227" s="1549"/>
      <c r="K227" s="1548" t="s">
        <v>1660</v>
      </c>
      <c r="L227" s="1549"/>
      <c r="M227" s="124" t="s">
        <v>45</v>
      </c>
      <c r="N227" s="877"/>
      <c r="O227" s="115"/>
      <c r="P227" s="115"/>
      <c r="Q227" s="116"/>
      <c r="R227" s="116"/>
      <c r="S227" s="117"/>
    </row>
    <row r="228" spans="1:19" s="146" customFormat="1" ht="18" customHeight="1">
      <c r="A228" s="125"/>
      <c r="B228" s="953"/>
      <c r="C228" s="954"/>
      <c r="D228" s="954"/>
      <c r="E228" s="953"/>
      <c r="F228" s="954"/>
      <c r="G228" s="955"/>
      <c r="H228" s="953" t="s">
        <v>46</v>
      </c>
      <c r="I228" s="1550"/>
      <c r="J228" s="1551"/>
      <c r="K228" s="1550"/>
      <c r="L228" s="1551"/>
      <c r="M228" s="124" t="s">
        <v>47</v>
      </c>
      <c r="N228" s="877"/>
      <c r="O228" s="115"/>
      <c r="P228" s="115"/>
      <c r="Q228" s="116"/>
      <c r="R228" s="116"/>
      <c r="S228" s="117"/>
    </row>
    <row r="229" spans="1:19" s="146" customFormat="1" ht="18" customHeight="1">
      <c r="A229" s="125"/>
      <c r="B229" s="953"/>
      <c r="C229" s="954"/>
      <c r="D229" s="954"/>
      <c r="E229" s="953"/>
      <c r="F229" s="954"/>
      <c r="G229" s="126"/>
      <c r="H229" s="127"/>
      <c r="I229" s="128" t="s">
        <v>622</v>
      </c>
      <c r="J229" s="129" t="s">
        <v>48</v>
      </c>
      <c r="K229" s="128" t="s">
        <v>622</v>
      </c>
      <c r="L229" s="129" t="s">
        <v>48</v>
      </c>
      <c r="M229" s="124"/>
      <c r="N229" s="120"/>
      <c r="O229" s="115"/>
      <c r="P229" s="115"/>
      <c r="Q229" s="116"/>
      <c r="R229" s="116"/>
      <c r="S229" s="117"/>
    </row>
    <row r="230" spans="1:19" s="146" customFormat="1" ht="18" customHeight="1" thickBot="1">
      <c r="A230" s="130"/>
      <c r="B230" s="1541"/>
      <c r="C230" s="1542"/>
      <c r="D230" s="1543"/>
      <c r="E230" s="1541"/>
      <c r="F230" s="1542"/>
      <c r="G230" s="1543"/>
      <c r="H230" s="131"/>
      <c r="I230" s="131"/>
      <c r="J230" s="131"/>
      <c r="K230" s="131"/>
      <c r="L230" s="131"/>
      <c r="M230" s="132"/>
      <c r="N230" s="883"/>
      <c r="O230" s="115"/>
      <c r="P230" s="115"/>
      <c r="Q230" s="116"/>
      <c r="R230" s="116"/>
      <c r="S230" s="117"/>
    </row>
    <row r="231" spans="1:19" s="146" customFormat="1" ht="18" customHeight="1">
      <c r="A231" s="183"/>
      <c r="B231" s="957"/>
      <c r="C231" s="957"/>
      <c r="D231" s="957"/>
      <c r="E231" s="154"/>
      <c r="F231" s="957"/>
      <c r="G231" s="140"/>
      <c r="H231" s="141"/>
      <c r="I231" s="185"/>
      <c r="J231" s="143"/>
      <c r="K231" s="185"/>
      <c r="L231" s="143"/>
      <c r="M231" s="144"/>
      <c r="N231" s="879"/>
      <c r="O231" s="115"/>
      <c r="P231" s="115"/>
      <c r="Q231" s="116"/>
      <c r="R231" s="116"/>
      <c r="S231" s="117"/>
    </row>
    <row r="232" spans="1:19" s="146" customFormat="1" ht="18" customHeight="1">
      <c r="A232" s="183">
        <v>12</v>
      </c>
      <c r="B232" s="957"/>
      <c r="C232" s="957"/>
      <c r="D232" s="957"/>
      <c r="E232" s="154" t="s">
        <v>69</v>
      </c>
      <c r="F232" s="957"/>
      <c r="G232" s="140"/>
      <c r="H232" s="141" t="s">
        <v>70</v>
      </c>
      <c r="I232" s="184" t="s">
        <v>1628</v>
      </c>
      <c r="J232" s="143">
        <v>993792</v>
      </c>
      <c r="K232" s="184" t="s">
        <v>1628</v>
      </c>
      <c r="L232" s="143">
        <v>1012536</v>
      </c>
      <c r="M232" s="144">
        <f>L232-J232</f>
        <v>18744</v>
      </c>
      <c r="N232" s="879"/>
      <c r="O232" s="115">
        <f>M232+L232</f>
        <v>1031280</v>
      </c>
      <c r="P232" s="115"/>
      <c r="Q232" s="116"/>
      <c r="R232" s="116"/>
      <c r="S232" s="145"/>
    </row>
    <row r="233" spans="1:19" s="146" customFormat="1" ht="18" customHeight="1">
      <c r="A233" s="183"/>
      <c r="B233" s="957"/>
      <c r="C233" s="957"/>
      <c r="D233" s="957"/>
      <c r="E233" s="139" t="s">
        <v>71</v>
      </c>
      <c r="F233" s="957"/>
      <c r="G233" s="195"/>
      <c r="H233" s="141"/>
      <c r="I233" s="184"/>
      <c r="J233" s="143"/>
      <c r="K233" s="184"/>
      <c r="L233" s="143"/>
      <c r="M233" s="144"/>
      <c r="N233" s="879"/>
      <c r="O233" s="115"/>
      <c r="P233" s="115"/>
      <c r="Q233" s="116"/>
      <c r="R233" s="116"/>
      <c r="S233" s="117"/>
    </row>
    <row r="234" spans="1:19" s="146" customFormat="1" ht="18" customHeight="1">
      <c r="A234" s="183"/>
      <c r="B234" s="957"/>
      <c r="C234" s="957"/>
      <c r="D234" s="957"/>
      <c r="E234" s="139"/>
      <c r="F234" s="957"/>
      <c r="G234" s="195"/>
      <c r="H234" s="141"/>
      <c r="I234" s="184"/>
      <c r="J234" s="143"/>
      <c r="K234" s="184"/>
      <c r="L234" s="143"/>
      <c r="M234" s="144"/>
      <c r="N234" s="879"/>
      <c r="O234" s="115"/>
      <c r="P234" s="115"/>
      <c r="Q234" s="116"/>
      <c r="R234" s="116"/>
      <c r="S234" s="117"/>
    </row>
    <row r="235" spans="1:19" s="146" customFormat="1" ht="18" customHeight="1">
      <c r="A235" s="183"/>
      <c r="B235" s="957"/>
      <c r="C235" s="957"/>
      <c r="D235" s="957"/>
      <c r="E235" s="154"/>
      <c r="F235" s="957"/>
      <c r="G235" s="140"/>
      <c r="H235" s="141"/>
      <c r="I235" s="185"/>
      <c r="J235" s="149"/>
      <c r="K235" s="185"/>
      <c r="L235" s="149"/>
      <c r="M235" s="144"/>
      <c r="N235" s="879"/>
      <c r="O235" s="115"/>
      <c r="P235" s="115"/>
      <c r="Q235" s="116"/>
      <c r="R235" s="116"/>
      <c r="S235" s="117"/>
    </row>
    <row r="236" spans="1:19" s="146" customFormat="1" ht="18" customHeight="1">
      <c r="A236" s="183">
        <v>13</v>
      </c>
      <c r="B236" s="957"/>
      <c r="C236" s="957"/>
      <c r="D236" s="957"/>
      <c r="E236" s="154" t="s">
        <v>72</v>
      </c>
      <c r="F236" s="957"/>
      <c r="G236" s="140"/>
      <c r="H236" s="141" t="s">
        <v>1434</v>
      </c>
      <c r="I236" s="184" t="s">
        <v>130</v>
      </c>
      <c r="J236" s="143">
        <v>262380</v>
      </c>
      <c r="K236" s="184" t="s">
        <v>130</v>
      </c>
      <c r="L236" s="143">
        <v>278292</v>
      </c>
      <c r="M236" s="144">
        <f>L236-J236</f>
        <v>15912</v>
      </c>
      <c r="N236" s="879"/>
      <c r="O236" s="115">
        <f>M236+L236</f>
        <v>294204</v>
      </c>
      <c r="P236" s="115"/>
      <c r="Q236" s="116"/>
      <c r="R236" s="116"/>
      <c r="S236" s="145"/>
    </row>
    <row r="237" spans="1:19" s="146" customFormat="1" ht="18" customHeight="1">
      <c r="A237" s="183"/>
      <c r="B237" s="957"/>
      <c r="C237" s="957"/>
      <c r="D237" s="957"/>
      <c r="E237" s="154"/>
      <c r="F237" s="957"/>
      <c r="G237" s="140"/>
      <c r="H237" s="141"/>
      <c r="I237" s="184"/>
      <c r="J237" s="143"/>
      <c r="K237" s="184"/>
      <c r="L237" s="149"/>
      <c r="M237" s="144"/>
      <c r="N237" s="879"/>
      <c r="O237" s="115"/>
      <c r="P237" s="115"/>
      <c r="Q237" s="116"/>
      <c r="R237" s="116"/>
      <c r="S237" s="145"/>
    </row>
    <row r="238" spans="1:19" s="146" customFormat="1" ht="18" customHeight="1">
      <c r="A238" s="183"/>
      <c r="B238" s="957"/>
      <c r="C238" s="957"/>
      <c r="D238" s="957"/>
      <c r="E238" s="154"/>
      <c r="F238" s="957"/>
      <c r="G238" s="140"/>
      <c r="H238" s="141"/>
      <c r="I238" s="184"/>
      <c r="J238" s="143"/>
      <c r="K238" s="184"/>
      <c r="L238" s="143"/>
      <c r="M238" s="144"/>
      <c r="N238" s="879"/>
      <c r="O238" s="115"/>
      <c r="P238" s="115"/>
      <c r="Q238" s="116"/>
      <c r="R238" s="116"/>
      <c r="S238" s="145"/>
    </row>
    <row r="239" spans="1:19" s="146" customFormat="1" ht="18" customHeight="1">
      <c r="A239" s="183">
        <v>14</v>
      </c>
      <c r="B239" s="957"/>
      <c r="C239" s="957"/>
      <c r="D239" s="957"/>
      <c r="E239" s="154" t="s">
        <v>53</v>
      </c>
      <c r="F239" s="957"/>
      <c r="G239" s="140"/>
      <c r="H239" s="141" t="s">
        <v>1448</v>
      </c>
      <c r="I239" s="184" t="s">
        <v>107</v>
      </c>
      <c r="J239" s="143">
        <v>154116</v>
      </c>
      <c r="K239" s="184" t="s">
        <v>107</v>
      </c>
      <c r="L239" s="143">
        <v>160200</v>
      </c>
      <c r="M239" s="144">
        <f>L239-J239</f>
        <v>6084</v>
      </c>
      <c r="N239" s="879"/>
      <c r="O239" s="115">
        <f>M239+L239</f>
        <v>166284</v>
      </c>
      <c r="P239" s="115"/>
      <c r="Q239" s="116"/>
      <c r="R239" s="116"/>
      <c r="S239" s="145"/>
    </row>
    <row r="240" spans="1:19" s="146" customFormat="1" ht="18" customHeight="1">
      <c r="A240" s="183"/>
      <c r="B240" s="957"/>
      <c r="C240" s="957"/>
      <c r="D240" s="957"/>
      <c r="E240" s="154"/>
      <c r="F240" s="957"/>
      <c r="G240" s="140"/>
      <c r="H240" s="141"/>
      <c r="I240" s="185"/>
      <c r="J240" s="149"/>
      <c r="K240" s="184"/>
      <c r="L240" s="149"/>
      <c r="M240" s="144"/>
      <c r="N240" s="879"/>
      <c r="O240" s="115"/>
      <c r="P240" s="115"/>
      <c r="Q240" s="116"/>
      <c r="R240" s="116"/>
      <c r="S240" s="117"/>
    </row>
    <row r="241" spans="1:19" s="146" customFormat="1" ht="18" customHeight="1">
      <c r="A241" s="183"/>
      <c r="B241" s="957"/>
      <c r="C241" s="957"/>
      <c r="D241" s="957"/>
      <c r="E241" s="154"/>
      <c r="F241" s="957"/>
      <c r="G241" s="140"/>
      <c r="H241" s="141"/>
      <c r="I241" s="185"/>
      <c r="J241" s="149"/>
      <c r="K241" s="185"/>
      <c r="L241" s="149"/>
      <c r="M241" s="144"/>
      <c r="N241" s="879"/>
      <c r="O241" s="115"/>
      <c r="P241" s="115"/>
      <c r="Q241" s="116"/>
      <c r="R241" s="116"/>
      <c r="S241" s="117"/>
    </row>
    <row r="242" spans="1:19" s="146" customFormat="1" ht="18" customHeight="1">
      <c r="A242" s="183">
        <v>15</v>
      </c>
      <c r="B242" s="957"/>
      <c r="C242" s="957"/>
      <c r="D242" s="957"/>
      <c r="E242" s="154" t="s">
        <v>53</v>
      </c>
      <c r="F242" s="957"/>
      <c r="G242" s="140"/>
      <c r="H242" s="141" t="s">
        <v>273</v>
      </c>
      <c r="I242" s="184" t="s">
        <v>239</v>
      </c>
      <c r="J242" s="143">
        <v>155280</v>
      </c>
      <c r="K242" s="184" t="s">
        <v>239</v>
      </c>
      <c r="L242" s="143">
        <v>161436</v>
      </c>
      <c r="M242" s="144">
        <f>L242-J242</f>
        <v>6156</v>
      </c>
      <c r="N242" s="879"/>
      <c r="O242" s="115">
        <f>L243+M242+M243</f>
        <v>169240</v>
      </c>
      <c r="P242" s="115"/>
      <c r="Q242" s="116"/>
      <c r="R242" s="116"/>
      <c r="S242" s="145"/>
    </row>
    <row r="243" spans="1:19" s="146" customFormat="1" ht="18" customHeight="1">
      <c r="A243" s="183"/>
      <c r="B243" s="957"/>
      <c r="C243" s="957"/>
      <c r="D243" s="957"/>
      <c r="E243" s="154"/>
      <c r="F243" s="957"/>
      <c r="G243" s="140"/>
      <c r="H243" s="141"/>
      <c r="I243" s="184"/>
      <c r="J243" s="143"/>
      <c r="K243" s="184" t="s">
        <v>1661</v>
      </c>
      <c r="L243" s="143">
        <v>162672</v>
      </c>
      <c r="M243" s="144">
        <v>412</v>
      </c>
      <c r="N243" s="879">
        <f>(L243-L242)*4/12</f>
        <v>412</v>
      </c>
      <c r="O243" s="115"/>
      <c r="P243" s="115"/>
      <c r="Q243" s="116"/>
      <c r="R243" s="116"/>
      <c r="S243" s="145"/>
    </row>
    <row r="244" spans="1:19" s="146" customFormat="1" ht="18" customHeight="1">
      <c r="A244" s="183"/>
      <c r="B244" s="957"/>
      <c r="C244" s="957"/>
      <c r="D244" s="957"/>
      <c r="E244" s="154"/>
      <c r="F244" s="957"/>
      <c r="G244" s="140"/>
      <c r="H244" s="141"/>
      <c r="I244" s="184"/>
      <c r="J244" s="143"/>
      <c r="K244" s="184"/>
      <c r="L244" s="149">
        <v>45185</v>
      </c>
      <c r="M244" s="144"/>
      <c r="N244" s="879"/>
      <c r="O244" s="115"/>
      <c r="P244" s="115"/>
      <c r="Q244" s="116"/>
      <c r="R244" s="116"/>
      <c r="S244" s="145"/>
    </row>
    <row r="245" spans="1:19" s="146" customFormat="1" ht="18" customHeight="1">
      <c r="A245" s="183"/>
      <c r="B245" s="957"/>
      <c r="C245" s="957"/>
      <c r="D245" s="957"/>
      <c r="E245" s="154"/>
      <c r="F245" s="957"/>
      <c r="G245" s="140"/>
      <c r="H245" s="141"/>
      <c r="I245" s="184"/>
      <c r="J245" s="149"/>
      <c r="K245" s="184"/>
      <c r="L245" s="149"/>
      <c r="M245" s="144"/>
      <c r="N245" s="879"/>
      <c r="O245" s="115"/>
      <c r="P245" s="115"/>
      <c r="Q245" s="116"/>
      <c r="R245" s="116"/>
      <c r="S245" s="145"/>
    </row>
    <row r="246" spans="1:19" s="146" customFormat="1" ht="18" customHeight="1">
      <c r="A246" s="183"/>
      <c r="B246" s="957"/>
      <c r="C246" s="957"/>
      <c r="D246" s="957"/>
      <c r="E246" s="154"/>
      <c r="F246" s="957"/>
      <c r="G246" s="140"/>
      <c r="H246" s="141"/>
      <c r="I246" s="185"/>
      <c r="J246" s="143"/>
      <c r="K246" s="185"/>
      <c r="L246" s="143"/>
      <c r="M246" s="144"/>
      <c r="N246" s="879"/>
      <c r="O246" s="115"/>
      <c r="P246" s="115"/>
      <c r="Q246" s="116"/>
      <c r="R246" s="116"/>
      <c r="S246" s="117"/>
    </row>
    <row r="247" spans="1:19" s="146" customFormat="1" ht="18" customHeight="1">
      <c r="A247" s="183">
        <v>16</v>
      </c>
      <c r="B247" s="957"/>
      <c r="C247" s="957"/>
      <c r="D247" s="957"/>
      <c r="E247" s="154" t="s">
        <v>74</v>
      </c>
      <c r="F247" s="957"/>
      <c r="G247" s="140"/>
      <c r="H247" s="141" t="s">
        <v>73</v>
      </c>
      <c r="I247" s="184" t="s">
        <v>431</v>
      </c>
      <c r="J247" s="143">
        <v>173472</v>
      </c>
      <c r="K247" s="184" t="s">
        <v>431</v>
      </c>
      <c r="L247" s="143">
        <v>180420</v>
      </c>
      <c r="M247" s="144">
        <f>L247-J247</f>
        <v>6948</v>
      </c>
      <c r="N247" s="879"/>
      <c r="O247" s="115">
        <f>M247+L247</f>
        <v>187368</v>
      </c>
      <c r="P247" s="115"/>
      <c r="Q247" s="116"/>
      <c r="R247" s="116"/>
      <c r="S247" s="145"/>
    </row>
    <row r="248" spans="1:19" s="146" customFormat="1" ht="18" customHeight="1">
      <c r="A248" s="183"/>
      <c r="B248" s="957"/>
      <c r="C248" s="957"/>
      <c r="D248" s="957"/>
      <c r="E248" s="154"/>
      <c r="F248" s="957"/>
      <c r="G248" s="140"/>
      <c r="H248" s="141"/>
      <c r="I248" s="184"/>
      <c r="J248" s="170"/>
      <c r="K248" s="184"/>
      <c r="L248" s="207"/>
      <c r="M248" s="144"/>
      <c r="N248" s="879"/>
      <c r="O248" s="115"/>
      <c r="P248" s="115"/>
      <c r="Q248" s="116"/>
      <c r="R248" s="116"/>
      <c r="S248" s="145"/>
    </row>
    <row r="249" spans="1:19" s="146" customFormat="1" ht="18" customHeight="1">
      <c r="A249" s="183"/>
      <c r="B249" s="957"/>
      <c r="C249" s="957"/>
      <c r="D249" s="957"/>
      <c r="E249" s="154"/>
      <c r="F249" s="957"/>
      <c r="G249" s="140"/>
      <c r="H249" s="141"/>
      <c r="I249" s="184"/>
      <c r="J249" s="170"/>
      <c r="K249" s="184"/>
      <c r="L249" s="207"/>
      <c r="M249" s="144"/>
      <c r="N249" s="879"/>
      <c r="O249" s="115"/>
      <c r="P249" s="115"/>
      <c r="Q249" s="116"/>
      <c r="R249" s="116"/>
      <c r="S249" s="145"/>
    </row>
    <row r="250" spans="1:19" s="146" customFormat="1" ht="18" customHeight="1">
      <c r="A250" s="183">
        <v>17</v>
      </c>
      <c r="B250" s="1552"/>
      <c r="C250" s="1553"/>
      <c r="D250" s="1554"/>
      <c r="E250" s="154" t="s">
        <v>1657</v>
      </c>
      <c r="F250" s="957"/>
      <c r="G250" s="140"/>
      <c r="H250" s="141" t="s">
        <v>102</v>
      </c>
      <c r="I250" s="184" t="s">
        <v>137</v>
      </c>
      <c r="J250" s="143">
        <v>226344</v>
      </c>
      <c r="K250" s="184" t="s">
        <v>137</v>
      </c>
      <c r="L250" s="143">
        <v>236400</v>
      </c>
      <c r="M250" s="144">
        <f>L250-J250</f>
        <v>10056</v>
      </c>
      <c r="N250" s="879"/>
      <c r="O250" s="115">
        <f>M250+L250</f>
        <v>246456</v>
      </c>
      <c r="P250" s="115"/>
      <c r="Q250" s="116"/>
      <c r="R250" s="116"/>
      <c r="S250" s="145"/>
    </row>
    <row r="251" spans="1:19" s="146" customFormat="1" ht="18" customHeight="1">
      <c r="A251" s="183"/>
      <c r="B251" s="957"/>
      <c r="C251" s="957"/>
      <c r="D251" s="957"/>
      <c r="E251" s="154"/>
      <c r="F251" s="957"/>
      <c r="G251" s="140"/>
      <c r="H251" s="141"/>
      <c r="I251" s="184"/>
      <c r="J251" s="170"/>
      <c r="K251" s="184"/>
      <c r="L251" s="207"/>
      <c r="M251" s="144"/>
      <c r="N251" s="879"/>
      <c r="O251" s="115"/>
      <c r="P251" s="115"/>
      <c r="Q251" s="116"/>
      <c r="R251" s="116"/>
      <c r="S251" s="145"/>
    </row>
    <row r="252" spans="1:19" s="146" customFormat="1" ht="18" customHeight="1">
      <c r="A252" s="183"/>
      <c r="B252" s="957"/>
      <c r="C252" s="957"/>
      <c r="D252" s="957"/>
      <c r="E252" s="154"/>
      <c r="F252" s="957"/>
      <c r="G252" s="140"/>
      <c r="H252" s="141"/>
      <c r="I252" s="184"/>
      <c r="J252" s="170"/>
      <c r="K252" s="184"/>
      <c r="L252" s="170"/>
      <c r="M252" s="144"/>
      <c r="N252" s="879"/>
      <c r="O252" s="115"/>
      <c r="P252" s="115"/>
      <c r="Q252" s="116"/>
      <c r="R252" s="116"/>
      <c r="S252" s="145"/>
    </row>
    <row r="253" spans="1:19" s="146" customFormat="1" ht="18" customHeight="1">
      <c r="A253" s="183">
        <v>18</v>
      </c>
      <c r="B253" s="957"/>
      <c r="C253" s="957"/>
      <c r="D253" s="957"/>
      <c r="E253" s="154" t="s">
        <v>1629</v>
      </c>
      <c r="F253" s="957"/>
      <c r="G253" s="140"/>
      <c r="H253" s="141" t="s">
        <v>75</v>
      </c>
      <c r="I253" s="184" t="s">
        <v>383</v>
      </c>
      <c r="J253" s="170">
        <v>195540</v>
      </c>
      <c r="K253" s="184" t="s">
        <v>383</v>
      </c>
      <c r="L253" s="170">
        <v>203220</v>
      </c>
      <c r="M253" s="144">
        <f>L253-J253</f>
        <v>7680</v>
      </c>
      <c r="N253" s="879"/>
      <c r="O253" s="115">
        <f>M253+L253</f>
        <v>210900</v>
      </c>
      <c r="P253" s="115"/>
      <c r="Q253" s="116"/>
      <c r="R253" s="116"/>
      <c r="S253" s="145"/>
    </row>
    <row r="254" spans="1:19" s="146" customFormat="1" ht="18" customHeight="1">
      <c r="A254" s="183"/>
      <c r="B254" s="957"/>
      <c r="C254" s="957"/>
      <c r="D254" s="957"/>
      <c r="E254" s="154"/>
      <c r="F254" s="957"/>
      <c r="G254" s="140"/>
      <c r="H254" s="141"/>
      <c r="I254" s="184"/>
      <c r="J254" s="170"/>
      <c r="K254" s="184"/>
      <c r="L254" s="170"/>
      <c r="M254" s="144"/>
      <c r="N254" s="879"/>
      <c r="O254" s="115"/>
      <c r="P254" s="115"/>
      <c r="Q254" s="116"/>
      <c r="R254" s="116"/>
      <c r="S254" s="145"/>
    </row>
    <row r="255" spans="1:19" s="146" customFormat="1" ht="18" customHeight="1">
      <c r="A255" s="183"/>
      <c r="B255" s="957"/>
      <c r="C255" s="957"/>
      <c r="D255" s="957"/>
      <c r="E255" s="154"/>
      <c r="F255" s="957"/>
      <c r="G255" s="140"/>
      <c r="H255" s="141"/>
      <c r="I255" s="184"/>
      <c r="J255" s="170"/>
      <c r="K255" s="184"/>
      <c r="L255" s="170"/>
      <c r="M255" s="144"/>
      <c r="N255" s="879"/>
      <c r="O255" s="115"/>
      <c r="P255" s="115"/>
      <c r="Q255" s="116"/>
      <c r="R255" s="116"/>
      <c r="S255" s="145"/>
    </row>
    <row r="256" spans="1:19" s="146" customFormat="1" ht="18" customHeight="1">
      <c r="A256" s="956">
        <v>19</v>
      </c>
      <c r="B256" s="1552"/>
      <c r="C256" s="1553"/>
      <c r="D256" s="1554"/>
      <c r="E256" s="139" t="s">
        <v>57</v>
      </c>
      <c r="F256" s="957"/>
      <c r="G256" s="140"/>
      <c r="H256" s="141" t="s">
        <v>245</v>
      </c>
      <c r="I256" s="142" t="s">
        <v>241</v>
      </c>
      <c r="J256" s="143">
        <v>144072</v>
      </c>
      <c r="K256" s="142" t="s">
        <v>241</v>
      </c>
      <c r="L256" s="143">
        <v>149712</v>
      </c>
      <c r="M256" s="144">
        <f>L256-J256</f>
        <v>5640</v>
      </c>
      <c r="N256" s="879"/>
      <c r="O256" s="115">
        <f>M256+L256</f>
        <v>155352</v>
      </c>
      <c r="P256" s="115"/>
      <c r="Q256" s="116"/>
      <c r="R256" s="116"/>
      <c r="S256" s="145"/>
    </row>
    <row r="257" spans="1:19" s="146" customFormat="1" ht="18" customHeight="1">
      <c r="A257" s="183"/>
      <c r="B257" s="957"/>
      <c r="C257" s="957"/>
      <c r="D257" s="957"/>
      <c r="E257" s="139"/>
      <c r="F257" s="957"/>
      <c r="G257" s="140"/>
      <c r="H257" s="141"/>
      <c r="I257" s="142"/>
      <c r="J257" s="170"/>
      <c r="K257" s="142"/>
      <c r="L257" s="170"/>
      <c r="M257" s="144"/>
      <c r="N257" s="879"/>
      <c r="O257" s="115"/>
      <c r="P257" s="115"/>
      <c r="Q257" s="116"/>
      <c r="R257" s="116"/>
      <c r="S257" s="145"/>
    </row>
    <row r="258" spans="1:19" s="146" customFormat="1" ht="18" customHeight="1">
      <c r="A258" s="183"/>
      <c r="B258" s="957"/>
      <c r="C258" s="957"/>
      <c r="D258" s="957"/>
      <c r="E258" s="154"/>
      <c r="F258" s="957"/>
      <c r="G258" s="140"/>
      <c r="H258" s="141"/>
      <c r="I258" s="184"/>
      <c r="J258" s="170"/>
      <c r="K258" s="184"/>
      <c r="L258" s="170"/>
      <c r="M258" s="144"/>
      <c r="N258" s="879"/>
      <c r="O258" s="115"/>
      <c r="P258" s="115"/>
      <c r="Q258" s="116"/>
      <c r="R258" s="116"/>
      <c r="S258" s="145"/>
    </row>
    <row r="259" spans="1:19" s="146" customFormat="1" ht="18" customHeight="1">
      <c r="A259" s="183">
        <v>20</v>
      </c>
      <c r="B259" s="957"/>
      <c r="C259" s="957"/>
      <c r="D259" s="957"/>
      <c r="E259" s="154" t="s">
        <v>142</v>
      </c>
      <c r="F259" s="957"/>
      <c r="G259" s="140"/>
      <c r="H259" s="141" t="s">
        <v>1449</v>
      </c>
      <c r="I259" s="184" t="s">
        <v>147</v>
      </c>
      <c r="J259" s="170">
        <v>128736</v>
      </c>
      <c r="K259" s="184" t="s">
        <v>147</v>
      </c>
      <c r="L259" s="170">
        <v>133716</v>
      </c>
      <c r="M259" s="144">
        <f>L259-J259</f>
        <v>4980</v>
      </c>
      <c r="N259" s="879"/>
      <c r="O259" s="115">
        <f>M259+L259</f>
        <v>138696</v>
      </c>
      <c r="P259" s="115"/>
      <c r="Q259" s="116"/>
      <c r="R259" s="116"/>
      <c r="S259" s="145"/>
    </row>
    <row r="260" spans="1:19" s="146" customFormat="1" ht="18" customHeight="1">
      <c r="A260" s="183"/>
      <c r="B260" s="957"/>
      <c r="C260" s="957"/>
      <c r="D260" s="957"/>
      <c r="E260" s="154"/>
      <c r="F260" s="957"/>
      <c r="G260" s="140"/>
      <c r="H260" s="141"/>
      <c r="I260" s="184"/>
      <c r="J260" s="170"/>
      <c r="K260" s="184"/>
      <c r="L260" s="170"/>
      <c r="M260" s="144"/>
      <c r="N260" s="879"/>
      <c r="O260" s="115"/>
      <c r="P260" s="115"/>
      <c r="Q260" s="116"/>
      <c r="R260" s="116"/>
      <c r="S260" s="145"/>
    </row>
    <row r="261" spans="1:19" s="146" customFormat="1" ht="18" customHeight="1">
      <c r="A261" s="183"/>
      <c r="B261" s="957"/>
      <c r="C261" s="957"/>
      <c r="D261" s="957"/>
      <c r="E261" s="154"/>
      <c r="F261" s="957"/>
      <c r="G261" s="140"/>
      <c r="H261" s="141"/>
      <c r="I261" s="184"/>
      <c r="J261" s="170"/>
      <c r="K261" s="184"/>
      <c r="L261" s="170"/>
      <c r="M261" s="144"/>
      <c r="N261" s="879"/>
      <c r="O261" s="115"/>
      <c r="P261" s="115"/>
      <c r="Q261" s="116"/>
      <c r="R261" s="116"/>
      <c r="S261" s="145"/>
    </row>
    <row r="262" spans="1:19" s="146" customFormat="1" ht="18" customHeight="1">
      <c r="A262" s="183"/>
      <c r="B262" s="957"/>
      <c r="C262" s="957"/>
      <c r="D262" s="957"/>
      <c r="E262" s="154"/>
      <c r="F262" s="957"/>
      <c r="G262" s="140"/>
      <c r="H262" s="141"/>
      <c r="I262" s="184"/>
      <c r="J262" s="170"/>
      <c r="K262" s="184"/>
      <c r="L262" s="170"/>
      <c r="M262" s="144"/>
      <c r="N262" s="879"/>
      <c r="O262" s="115"/>
      <c r="P262" s="115"/>
      <c r="Q262" s="116"/>
      <c r="R262" s="116"/>
      <c r="S262" s="145"/>
    </row>
    <row r="263" spans="1:19" s="146" customFormat="1" ht="18" customHeight="1">
      <c r="A263" s="183"/>
      <c r="B263" s="957"/>
      <c r="C263" s="957"/>
      <c r="D263" s="957"/>
      <c r="E263" s="154"/>
      <c r="F263" s="957"/>
      <c r="G263" s="140"/>
      <c r="H263" s="141"/>
      <c r="I263" s="184"/>
      <c r="J263" s="170"/>
      <c r="K263" s="184"/>
      <c r="L263" s="170"/>
      <c r="M263" s="144"/>
      <c r="N263" s="879"/>
      <c r="O263" s="115"/>
      <c r="P263" s="115"/>
      <c r="Q263" s="116"/>
      <c r="R263" s="116"/>
      <c r="S263" s="145"/>
    </row>
    <row r="264" spans="1:19" s="146" customFormat="1" ht="18" customHeight="1">
      <c r="A264" s="183"/>
      <c r="B264" s="957"/>
      <c r="C264" s="957"/>
      <c r="D264" s="957"/>
      <c r="E264" s="154"/>
      <c r="F264" s="957"/>
      <c r="G264" s="140"/>
      <c r="H264" s="141"/>
      <c r="I264" s="184"/>
      <c r="J264" s="170"/>
      <c r="K264" s="184"/>
      <c r="L264" s="170"/>
      <c r="M264" s="144"/>
      <c r="N264" s="879"/>
      <c r="O264" s="115"/>
      <c r="P264" s="115"/>
      <c r="Q264" s="116"/>
      <c r="R264" s="116"/>
      <c r="S264" s="145"/>
    </row>
    <row r="265" spans="1:19" s="146" customFormat="1" ht="18" customHeight="1">
      <c r="A265" s="183"/>
      <c r="B265" s="957"/>
      <c r="C265" s="957"/>
      <c r="D265" s="957"/>
      <c r="E265" s="154"/>
      <c r="F265" s="957"/>
      <c r="G265" s="140"/>
      <c r="H265" s="141"/>
      <c r="I265" s="184"/>
      <c r="J265" s="170"/>
      <c r="K265" s="184"/>
      <c r="L265" s="170"/>
      <c r="M265" s="144"/>
      <c r="N265" s="879"/>
      <c r="O265" s="115"/>
      <c r="P265" s="115"/>
      <c r="Q265" s="116"/>
      <c r="R265" s="116"/>
      <c r="S265" s="145"/>
    </row>
    <row r="266" spans="1:19" s="146" customFormat="1" ht="18" customHeight="1">
      <c r="A266" s="183"/>
      <c r="B266" s="957"/>
      <c r="C266" s="957"/>
      <c r="D266" s="957"/>
      <c r="E266" s="154"/>
      <c r="F266" s="957"/>
      <c r="G266" s="140"/>
      <c r="H266" s="141"/>
      <c r="I266" s="184"/>
      <c r="J266" s="170"/>
      <c r="K266" s="184"/>
      <c r="L266" s="170"/>
      <c r="M266" s="144"/>
      <c r="N266" s="879"/>
      <c r="O266" s="115"/>
      <c r="P266" s="115"/>
      <c r="Q266" s="116"/>
      <c r="R266" s="116"/>
      <c r="S266" s="145"/>
    </row>
    <row r="267" spans="1:19" s="146" customFormat="1" ht="18" customHeight="1">
      <c r="A267" s="183"/>
      <c r="B267" s="957"/>
      <c r="C267" s="957"/>
      <c r="D267" s="957"/>
      <c r="E267" s="154"/>
      <c r="F267" s="957"/>
      <c r="G267" s="140"/>
      <c r="H267" s="141"/>
      <c r="I267" s="184"/>
      <c r="J267" s="170"/>
      <c r="K267" s="184"/>
      <c r="L267" s="170"/>
      <c r="M267" s="144"/>
      <c r="N267" s="879"/>
      <c r="O267" s="115"/>
      <c r="P267" s="115"/>
      <c r="Q267" s="116"/>
      <c r="R267" s="116"/>
      <c r="S267" s="145"/>
    </row>
    <row r="268" spans="1:19" s="146" customFormat="1" ht="18" customHeight="1">
      <c r="A268" s="183"/>
      <c r="B268" s="957"/>
      <c r="C268" s="957"/>
      <c r="D268" s="957"/>
      <c r="E268" s="154"/>
      <c r="F268" s="957"/>
      <c r="G268" s="140"/>
      <c r="H268" s="141"/>
      <c r="I268" s="184"/>
      <c r="J268" s="170"/>
      <c r="K268" s="184"/>
      <c r="L268" s="170"/>
      <c r="M268" s="144"/>
      <c r="N268" s="879"/>
      <c r="O268" s="115"/>
      <c r="P268" s="115"/>
      <c r="Q268" s="116"/>
      <c r="R268" s="116"/>
      <c r="S268" s="145"/>
    </row>
    <row r="269" spans="1:19" s="146" customFormat="1" ht="18" customHeight="1">
      <c r="A269" s="183"/>
      <c r="B269" s="957"/>
      <c r="C269" s="957"/>
      <c r="D269" s="957"/>
      <c r="E269" s="956"/>
      <c r="F269" s="957"/>
      <c r="G269" s="140"/>
      <c r="H269" s="141"/>
      <c r="I269" s="184"/>
      <c r="J269" s="170"/>
      <c r="K269" s="184"/>
      <c r="L269" s="207"/>
      <c r="M269" s="144"/>
      <c r="N269" s="879"/>
      <c r="O269" s="115"/>
      <c r="P269" s="115"/>
      <c r="Q269" s="116"/>
      <c r="R269" s="116"/>
      <c r="S269" s="117"/>
    </row>
    <row r="270" spans="1:19" s="146" customFormat="1" ht="18" customHeight="1">
      <c r="A270" s="196"/>
      <c r="B270" s="197"/>
      <c r="C270" s="197"/>
      <c r="D270" s="197"/>
      <c r="E270" s="198"/>
      <c r="F270" s="197"/>
      <c r="G270" s="199"/>
      <c r="H270" s="200"/>
      <c r="I270" s="201"/>
      <c r="J270" s="202"/>
      <c r="K270" s="201"/>
      <c r="L270" s="202"/>
      <c r="M270" s="203"/>
      <c r="N270" s="879"/>
      <c r="O270" s="115"/>
      <c r="P270" s="115"/>
      <c r="Q270" s="116"/>
      <c r="R270" s="116"/>
      <c r="S270" s="117"/>
    </row>
    <row r="271" spans="1:19" s="146" customFormat="1" ht="18" customHeight="1">
      <c r="A271" s="183"/>
      <c r="B271" s="920"/>
      <c r="C271" s="920"/>
      <c r="D271" s="920"/>
      <c r="E271" s="919"/>
      <c r="F271" s="920"/>
      <c r="G271" s="140"/>
      <c r="H271" s="204" t="s">
        <v>918</v>
      </c>
      <c r="I271" s="205"/>
      <c r="J271" s="750">
        <f>SUM(J232:J270)</f>
        <v>2433732</v>
      </c>
      <c r="K271" s="205"/>
      <c r="L271" s="207"/>
      <c r="M271" s="206">
        <f>SUM(M232:M270)</f>
        <v>82612</v>
      </c>
      <c r="N271" s="881"/>
      <c r="O271" s="115">
        <f>SUM(O232:O259)</f>
        <v>2599780</v>
      </c>
      <c r="P271" s="115"/>
      <c r="Q271" s="116"/>
      <c r="R271" s="116"/>
      <c r="S271" s="117"/>
    </row>
    <row r="272" spans="1:19" s="168" customFormat="1" ht="18" customHeight="1" thickBot="1">
      <c r="A272" s="161"/>
      <c r="B272" s="158"/>
      <c r="C272" s="158"/>
      <c r="D272" s="158"/>
      <c r="E272" s="186"/>
      <c r="F272" s="158"/>
      <c r="G272" s="160"/>
      <c r="H272" s="208" t="s">
        <v>15</v>
      </c>
      <c r="I272" s="187"/>
      <c r="J272" s="163">
        <f>SUM(J271+J201)</f>
        <v>12688776</v>
      </c>
      <c r="K272" s="187"/>
      <c r="L272" s="163"/>
      <c r="M272" s="164">
        <f>SUM(M271+M201)</f>
        <v>277012</v>
      </c>
      <c r="N272" s="171"/>
      <c r="O272" s="165"/>
      <c r="P272" s="165"/>
      <c r="Q272" s="166"/>
      <c r="R272" s="166"/>
      <c r="S272" s="167"/>
    </row>
    <row r="273" spans="1:19" s="146" customFormat="1" ht="18" customHeight="1" thickTop="1">
      <c r="A273" s="920"/>
      <c r="B273" s="920"/>
      <c r="C273" s="920"/>
      <c r="D273" s="920"/>
      <c r="E273" s="920"/>
      <c r="F273" s="920"/>
      <c r="G273" s="155"/>
      <c r="H273" s="920"/>
      <c r="I273" s="920"/>
      <c r="J273" s="169"/>
      <c r="K273" s="152"/>
      <c r="L273" s="170"/>
      <c r="M273" s="171"/>
      <c r="N273" s="171"/>
      <c r="O273" s="115"/>
      <c r="P273" s="115"/>
      <c r="Q273" s="116"/>
      <c r="R273" s="116"/>
      <c r="S273" s="117"/>
    </row>
    <row r="274" spans="1:19" s="146" customFormat="1" ht="18" customHeight="1">
      <c r="A274" s="920"/>
      <c r="B274" s="920"/>
      <c r="C274" s="920"/>
      <c r="D274" s="920"/>
      <c r="E274" s="920"/>
      <c r="F274" s="920"/>
      <c r="G274" s="155"/>
      <c r="H274" s="155"/>
      <c r="I274" s="920"/>
      <c r="J274" s="155"/>
      <c r="K274" s="152"/>
      <c r="L274" s="170"/>
      <c r="M274" s="170"/>
      <c r="N274" s="170"/>
      <c r="O274" s="115"/>
      <c r="P274" s="115"/>
      <c r="Q274" s="116"/>
      <c r="R274" s="116"/>
      <c r="S274" s="117"/>
    </row>
    <row r="275" spans="1:19" s="146" customFormat="1" ht="18" customHeight="1">
      <c r="A275" s="174"/>
      <c r="B275" s="174"/>
      <c r="C275" s="913"/>
      <c r="D275" s="913"/>
      <c r="E275" s="174"/>
      <c r="F275" s="174"/>
      <c r="G275" s="174"/>
      <c r="H275" s="174"/>
      <c r="I275" s="174"/>
      <c r="J275" s="174"/>
      <c r="K275" s="176"/>
      <c r="L275" s="175"/>
      <c r="M275" s="175"/>
      <c r="N275" s="175"/>
      <c r="O275" s="115"/>
      <c r="P275" s="115"/>
      <c r="Q275" s="116"/>
      <c r="R275" s="116"/>
      <c r="S275" s="117"/>
    </row>
    <row r="276" spans="1:19" s="146" customFormat="1" ht="18" customHeight="1">
      <c r="A276" s="173" t="s">
        <v>614</v>
      </c>
      <c r="B276" s="173"/>
      <c r="C276" s="912"/>
      <c r="D276" s="912"/>
      <c r="E276" s="174"/>
      <c r="F276" s="174"/>
      <c r="G276" s="174"/>
      <c r="H276" s="173" t="s">
        <v>615</v>
      </c>
      <c r="I276" s="174"/>
      <c r="K276" s="173" t="s">
        <v>253</v>
      </c>
      <c r="L276" s="175"/>
      <c r="M276" s="175"/>
      <c r="N276" s="175"/>
      <c r="O276" s="115"/>
      <c r="P276" s="115"/>
      <c r="Q276" s="116"/>
      <c r="R276" s="116"/>
      <c r="S276" s="117"/>
    </row>
    <row r="277" spans="1:19" s="146" customFormat="1" ht="18" customHeight="1">
      <c r="A277" s="174"/>
      <c r="B277" s="174"/>
      <c r="C277" s="913"/>
      <c r="D277" s="913"/>
      <c r="E277" s="174"/>
      <c r="F277" s="174"/>
      <c r="G277" s="174"/>
      <c r="H277" s="174"/>
      <c r="I277" s="174"/>
      <c r="J277" s="174"/>
      <c r="K277" s="176"/>
      <c r="L277" s="175"/>
      <c r="M277" s="175"/>
      <c r="N277" s="175"/>
      <c r="O277" s="115"/>
      <c r="P277" s="115"/>
      <c r="Q277" s="116"/>
      <c r="R277" s="116"/>
      <c r="S277" s="117"/>
    </row>
    <row r="278" spans="1:19" s="146" customFormat="1" ht="18" customHeight="1">
      <c r="A278" s="1531" t="s">
        <v>242</v>
      </c>
      <c r="B278" s="1531"/>
      <c r="C278" s="1531"/>
      <c r="D278" s="1531"/>
      <c r="E278" s="1531"/>
      <c r="F278" s="1531"/>
      <c r="G278" s="174"/>
      <c r="H278" s="1531" t="s">
        <v>17</v>
      </c>
      <c r="I278" s="1531"/>
      <c r="J278" s="174"/>
      <c r="K278" s="1531" t="s">
        <v>1436</v>
      </c>
      <c r="L278" s="1531"/>
      <c r="M278" s="1531"/>
      <c r="N278" s="912"/>
      <c r="O278" s="115"/>
      <c r="P278" s="115"/>
      <c r="Q278" s="116"/>
      <c r="R278" s="116"/>
      <c r="S278" s="117"/>
    </row>
    <row r="279" spans="1:19" s="146" customFormat="1" ht="18" customHeight="1">
      <c r="A279" s="1520" t="s">
        <v>422</v>
      </c>
      <c r="B279" s="1520"/>
      <c r="C279" s="1520"/>
      <c r="D279" s="1520"/>
      <c r="E279" s="1520"/>
      <c r="F279" s="1520"/>
      <c r="G279" s="177"/>
      <c r="H279" s="1520" t="s">
        <v>18</v>
      </c>
      <c r="I279" s="1520"/>
      <c r="J279" s="912"/>
      <c r="K279" s="1520" t="s">
        <v>14</v>
      </c>
      <c r="L279" s="1520"/>
      <c r="M279" s="1520"/>
      <c r="N279" s="913"/>
      <c r="O279" s="115"/>
      <c r="P279" s="115"/>
      <c r="Q279" s="116"/>
      <c r="R279" s="116"/>
      <c r="S279" s="117"/>
    </row>
    <row r="280" spans="1:19" ht="18" customHeight="1">
      <c r="A280" s="111"/>
      <c r="B280" s="111"/>
      <c r="C280" s="910"/>
      <c r="D280" s="910"/>
      <c r="E280" s="1540"/>
      <c r="F280" s="1540"/>
      <c r="G280" s="1540"/>
      <c r="H280" s="910"/>
      <c r="I280" s="910"/>
      <c r="J280" s="910"/>
      <c r="K280" s="1540"/>
      <c r="L280" s="1540"/>
      <c r="M280" s="1540"/>
      <c r="N280" s="910"/>
    </row>
    <row r="281" spans="1:19" ht="18" customHeight="1">
      <c r="A281" s="111"/>
      <c r="B281" s="111"/>
      <c r="C281" s="910"/>
      <c r="D281" s="910"/>
      <c r="E281" s="910"/>
      <c r="F281" s="910"/>
      <c r="G281" s="910"/>
      <c r="H281" s="910"/>
      <c r="I281" s="910"/>
      <c r="J281" s="910"/>
      <c r="K281" s="910"/>
      <c r="L281" s="910"/>
      <c r="M281" s="910"/>
      <c r="N281" s="910"/>
    </row>
    <row r="282" spans="1:19" ht="18" customHeight="1">
      <c r="A282" s="111"/>
      <c r="B282" s="111"/>
      <c r="C282" s="910"/>
      <c r="D282" s="910"/>
      <c r="E282" s="910"/>
      <c r="F282" s="910"/>
      <c r="G282" s="910"/>
      <c r="H282" s="910"/>
      <c r="I282" s="910"/>
      <c r="J282" s="910"/>
      <c r="K282" s="910"/>
      <c r="L282" s="910"/>
      <c r="M282" s="910"/>
      <c r="N282" s="910"/>
    </row>
    <row r="283" spans="1:19" ht="18" customHeight="1">
      <c r="A283" s="111"/>
      <c r="B283" s="111"/>
      <c r="C283" s="910"/>
      <c r="D283" s="910"/>
      <c r="E283" s="910"/>
      <c r="F283" s="910"/>
      <c r="G283" s="910"/>
      <c r="H283" s="910"/>
      <c r="I283" s="910"/>
      <c r="J283" s="910"/>
      <c r="K283" s="910"/>
      <c r="L283" s="910"/>
      <c r="M283" s="910"/>
      <c r="N283" s="910"/>
    </row>
    <row r="284" spans="1:19" ht="18" customHeight="1">
      <c r="A284" s="111"/>
      <c r="B284" s="111"/>
      <c r="C284" s="910"/>
      <c r="D284" s="910"/>
      <c r="E284" s="910"/>
      <c r="F284" s="910"/>
      <c r="G284" s="910"/>
      <c r="H284" s="910"/>
      <c r="I284" s="910"/>
      <c r="J284" s="910"/>
      <c r="K284" s="910"/>
      <c r="L284" s="910"/>
      <c r="M284" s="910"/>
      <c r="N284" s="910"/>
    </row>
    <row r="285" spans="1:19" ht="18" customHeight="1">
      <c r="A285" s="111"/>
      <c r="B285" s="111"/>
      <c r="C285" s="910"/>
      <c r="D285" s="910"/>
      <c r="E285" s="910"/>
      <c r="F285" s="910"/>
      <c r="G285" s="910"/>
      <c r="H285" s="910"/>
      <c r="I285" s="910"/>
      <c r="J285" s="910"/>
      <c r="K285" s="910"/>
      <c r="L285" s="910"/>
      <c r="M285" s="910"/>
      <c r="N285" s="910"/>
    </row>
    <row r="286" spans="1:19" ht="18" customHeight="1">
      <c r="A286" s="111"/>
      <c r="B286" s="111"/>
      <c r="C286" s="910"/>
      <c r="D286" s="910"/>
      <c r="E286" s="910"/>
      <c r="F286" s="910"/>
      <c r="G286" s="910"/>
      <c r="H286" s="910"/>
      <c r="I286" s="910"/>
      <c r="J286" s="910"/>
      <c r="K286" s="910"/>
      <c r="L286" s="910"/>
      <c r="M286" s="910"/>
      <c r="N286" s="910"/>
    </row>
    <row r="287" spans="1:19" ht="18" customHeight="1">
      <c r="A287" s="111"/>
      <c r="B287" s="111"/>
      <c r="C287" s="910"/>
      <c r="D287" s="910"/>
      <c r="E287" s="910"/>
      <c r="F287" s="910"/>
      <c r="G287" s="910"/>
      <c r="H287" s="910"/>
      <c r="I287" s="910"/>
      <c r="J287" s="910"/>
      <c r="K287" s="910"/>
      <c r="L287" s="910"/>
      <c r="M287" s="910"/>
      <c r="N287" s="910"/>
    </row>
    <row r="288" spans="1:19" ht="18" customHeight="1">
      <c r="A288" s="111"/>
      <c r="B288" s="111"/>
      <c r="C288" s="910"/>
      <c r="D288" s="910"/>
      <c r="E288" s="910"/>
      <c r="F288" s="910"/>
      <c r="G288" s="910"/>
      <c r="H288" s="910"/>
      <c r="I288" s="910"/>
      <c r="J288" s="910"/>
      <c r="K288" s="910"/>
      <c r="L288" s="910"/>
      <c r="M288" s="910"/>
      <c r="N288" s="910"/>
    </row>
    <row r="289" spans="1:14" ht="18" customHeight="1">
      <c r="A289" s="111"/>
      <c r="B289" s="111"/>
      <c r="C289" s="910"/>
      <c r="D289" s="910"/>
      <c r="E289" s="910"/>
      <c r="F289" s="910"/>
      <c r="G289" s="910"/>
      <c r="H289" s="910"/>
      <c r="I289" s="910"/>
      <c r="J289" s="910"/>
      <c r="K289" s="910"/>
      <c r="L289" s="910"/>
      <c r="M289" s="910"/>
      <c r="N289" s="910"/>
    </row>
    <row r="290" spans="1:14" ht="18" customHeight="1">
      <c r="A290" s="111"/>
      <c r="B290" s="111"/>
      <c r="C290" s="910"/>
      <c r="D290" s="910"/>
      <c r="E290" s="910"/>
      <c r="F290" s="910"/>
      <c r="G290" s="910"/>
      <c r="H290" s="910"/>
      <c r="I290" s="910"/>
      <c r="J290" s="910"/>
      <c r="K290" s="910"/>
      <c r="L290" s="910"/>
      <c r="M290" s="910"/>
      <c r="N290" s="910"/>
    </row>
    <row r="291" spans="1:14" ht="18" customHeight="1">
      <c r="A291" s="111"/>
      <c r="B291" s="111"/>
      <c r="C291" s="910"/>
      <c r="D291" s="910"/>
      <c r="E291" s="910"/>
      <c r="F291" s="910"/>
      <c r="G291" s="910"/>
      <c r="H291" s="910"/>
      <c r="I291" s="910"/>
      <c r="J291" s="910"/>
      <c r="K291" s="910"/>
      <c r="L291" s="910"/>
      <c r="M291" s="910"/>
      <c r="N291" s="910"/>
    </row>
    <row r="292" spans="1:14" ht="18" customHeight="1">
      <c r="A292" s="111"/>
      <c r="B292" s="111"/>
      <c r="C292" s="910"/>
      <c r="D292" s="910"/>
      <c r="E292" s="910"/>
      <c r="F292" s="910"/>
      <c r="G292" s="910"/>
      <c r="H292" s="910"/>
      <c r="I292" s="910"/>
      <c r="J292" s="910"/>
      <c r="K292" s="910"/>
      <c r="L292" s="910"/>
      <c r="M292" s="910"/>
      <c r="N292" s="910"/>
    </row>
    <row r="293" spans="1:14" ht="18" customHeight="1">
      <c r="A293" s="111"/>
      <c r="B293" s="111"/>
      <c r="C293" s="910"/>
      <c r="D293" s="910"/>
      <c r="E293" s="910"/>
      <c r="F293" s="910"/>
      <c r="G293" s="910"/>
      <c r="H293" s="910"/>
      <c r="I293" s="910"/>
      <c r="J293" s="910"/>
      <c r="K293" s="910"/>
      <c r="L293" s="910"/>
      <c r="M293" s="910"/>
      <c r="N293" s="910"/>
    </row>
    <row r="294" spans="1:14" ht="18" customHeight="1">
      <c r="A294" s="111"/>
      <c r="B294" s="111"/>
      <c r="C294" s="910"/>
      <c r="D294" s="910"/>
      <c r="E294" s="910"/>
      <c r="F294" s="910"/>
      <c r="G294" s="910"/>
      <c r="H294" s="910"/>
      <c r="I294" s="910"/>
      <c r="J294" s="910"/>
      <c r="K294" s="910"/>
      <c r="L294" s="910"/>
      <c r="M294" s="910"/>
      <c r="N294" s="910"/>
    </row>
    <row r="295" spans="1:14" ht="18" customHeight="1">
      <c r="A295" s="111"/>
      <c r="B295" s="111"/>
      <c r="C295" s="910"/>
      <c r="D295" s="910"/>
      <c r="E295" s="910"/>
      <c r="F295" s="910"/>
      <c r="G295" s="910"/>
      <c r="H295" s="910"/>
      <c r="I295" s="910"/>
      <c r="J295" s="910"/>
      <c r="K295" s="910"/>
      <c r="L295" s="910"/>
      <c r="M295" s="910"/>
      <c r="N295" s="910"/>
    </row>
    <row r="296" spans="1:14" ht="18" customHeight="1">
      <c r="A296" s="111"/>
      <c r="B296" s="111"/>
      <c r="C296" s="910"/>
      <c r="D296" s="910"/>
      <c r="E296" s="910"/>
      <c r="F296" s="910"/>
      <c r="G296" s="910"/>
      <c r="H296" s="910"/>
      <c r="I296" s="910"/>
      <c r="J296" s="910"/>
      <c r="K296" s="910"/>
      <c r="L296" s="910"/>
      <c r="M296" s="910"/>
      <c r="N296" s="910"/>
    </row>
    <row r="297" spans="1:14" ht="18" customHeight="1">
      <c r="A297" s="111"/>
      <c r="B297" s="111"/>
      <c r="C297" s="910"/>
      <c r="D297" s="910"/>
      <c r="E297" s="910"/>
      <c r="F297" s="910"/>
      <c r="G297" s="910"/>
      <c r="H297" s="910"/>
      <c r="I297" s="910"/>
      <c r="J297" s="910"/>
      <c r="K297" s="910"/>
      <c r="L297" s="910"/>
      <c r="M297" s="910"/>
      <c r="N297" s="910"/>
    </row>
    <row r="298" spans="1:14" ht="18" customHeight="1">
      <c r="A298" s="111"/>
      <c r="B298" s="111"/>
      <c r="C298" s="910"/>
      <c r="D298" s="910"/>
      <c r="E298" s="910"/>
      <c r="F298" s="910"/>
      <c r="G298" s="910"/>
      <c r="H298" s="910"/>
      <c r="I298" s="910"/>
      <c r="J298" s="910"/>
      <c r="K298" s="910"/>
      <c r="L298" s="910"/>
      <c r="M298" s="910"/>
      <c r="N298" s="910"/>
    </row>
    <row r="299" spans="1:14" ht="18" customHeight="1">
      <c r="A299" s="111"/>
      <c r="B299" s="111"/>
      <c r="C299" s="910"/>
      <c r="D299" s="910"/>
      <c r="E299" s="910"/>
      <c r="F299" s="910"/>
      <c r="G299" s="910"/>
      <c r="H299" s="910"/>
      <c r="I299" s="910"/>
      <c r="J299" s="910"/>
      <c r="K299" s="910"/>
      <c r="L299" s="910"/>
      <c r="M299" s="910"/>
      <c r="N299" s="910"/>
    </row>
    <row r="300" spans="1:14" ht="18" customHeight="1">
      <c r="A300" s="111"/>
      <c r="B300" s="111"/>
      <c r="C300" s="910"/>
      <c r="D300" s="910"/>
      <c r="E300" s="910"/>
      <c r="F300" s="910"/>
      <c r="G300" s="910"/>
      <c r="H300" s="910"/>
      <c r="I300" s="910"/>
      <c r="J300" s="910"/>
      <c r="K300" s="910"/>
      <c r="L300" s="910"/>
      <c r="M300" s="910"/>
      <c r="N300" s="910"/>
    </row>
    <row r="301" spans="1:14" ht="18" customHeight="1">
      <c r="A301" s="111"/>
      <c r="B301" s="111"/>
      <c r="C301" s="910"/>
      <c r="D301" s="910"/>
      <c r="E301" s="910"/>
      <c r="F301" s="910"/>
      <c r="G301" s="910"/>
      <c r="H301" s="910"/>
      <c r="I301" s="910"/>
      <c r="J301" s="910"/>
      <c r="K301" s="910"/>
      <c r="L301" s="910"/>
      <c r="M301" s="910"/>
      <c r="N301" s="910"/>
    </row>
    <row r="302" spans="1:14" ht="18" customHeight="1">
      <c r="A302" s="111"/>
      <c r="B302" s="111"/>
      <c r="C302" s="910"/>
      <c r="D302" s="910"/>
      <c r="E302" s="910"/>
      <c r="F302" s="910"/>
      <c r="G302" s="910"/>
      <c r="H302" s="910"/>
      <c r="I302" s="910"/>
      <c r="J302" s="910"/>
      <c r="K302" s="910"/>
      <c r="L302" s="910"/>
      <c r="M302" s="910"/>
      <c r="N302" s="910"/>
    </row>
    <row r="303" spans="1:14" ht="18" customHeight="1">
      <c r="A303" s="111"/>
      <c r="B303" s="111"/>
      <c r="C303" s="910"/>
      <c r="D303" s="910"/>
      <c r="E303" s="910"/>
      <c r="F303" s="910"/>
      <c r="G303" s="910"/>
      <c r="H303" s="910"/>
      <c r="I303" s="910"/>
      <c r="J303" s="910"/>
      <c r="K303" s="910"/>
      <c r="L303" s="910"/>
      <c r="M303" s="910"/>
      <c r="N303" s="910"/>
    </row>
    <row r="304" spans="1:14" ht="18" customHeight="1">
      <c r="A304" s="111"/>
      <c r="B304" s="111"/>
      <c r="C304" s="910"/>
      <c r="D304" s="910"/>
      <c r="E304" s="910"/>
      <c r="F304" s="910"/>
      <c r="G304" s="910"/>
      <c r="H304" s="910"/>
      <c r="I304" s="910"/>
      <c r="J304" s="910"/>
      <c r="K304" s="910"/>
      <c r="L304" s="910"/>
      <c r="M304" s="910"/>
      <c r="N304" s="910"/>
    </row>
    <row r="305" spans="1:19" ht="18" customHeight="1"/>
    <row r="306" spans="1:19" ht="19.5" customHeight="1">
      <c r="A306" s="1448" t="s">
        <v>953</v>
      </c>
      <c r="B306" s="1448"/>
      <c r="C306" s="1448"/>
      <c r="D306" s="1448"/>
      <c r="E306" s="1448"/>
      <c r="F306" s="1448"/>
      <c r="G306" s="1448"/>
      <c r="H306" s="1448"/>
      <c r="I306" s="1448"/>
      <c r="J306" s="1448"/>
      <c r="K306" s="1448"/>
      <c r="L306" s="1448"/>
      <c r="M306" s="1448"/>
      <c r="N306" s="918"/>
    </row>
    <row r="307" spans="1:19" ht="18" customHeight="1">
      <c r="A307" s="110"/>
      <c r="B307" s="110"/>
      <c r="C307" s="917"/>
      <c r="D307" s="917"/>
      <c r="E307" s="111"/>
      <c r="F307" s="111"/>
      <c r="G307" s="111"/>
      <c r="H307" s="111"/>
      <c r="I307" s="111"/>
      <c r="J307" s="111"/>
      <c r="K307" s="112"/>
      <c r="M307" s="114"/>
      <c r="N307" s="114"/>
    </row>
    <row r="308" spans="1:19" ht="18" customHeight="1">
      <c r="A308" s="1538" t="s">
        <v>1663</v>
      </c>
      <c r="B308" s="1538"/>
      <c r="C308" s="1538"/>
      <c r="D308" s="1538"/>
      <c r="E308" s="1538"/>
      <c r="F308" s="1538"/>
      <c r="G308" s="1538"/>
      <c r="H308" s="1538"/>
      <c r="I308" s="1538"/>
      <c r="J308" s="1538"/>
      <c r="K308" s="1538"/>
      <c r="L308" s="1538"/>
      <c r="M308" s="1538"/>
      <c r="N308" s="908"/>
    </row>
    <row r="309" spans="1:19" ht="18" customHeight="1">
      <c r="A309" s="1539" t="s">
        <v>351</v>
      </c>
      <c r="B309" s="1539"/>
      <c r="C309" s="1539"/>
      <c r="D309" s="1539"/>
      <c r="E309" s="1539"/>
      <c r="F309" s="1539"/>
      <c r="G309" s="1539"/>
      <c r="H309" s="1539"/>
      <c r="I309" s="1539"/>
      <c r="J309" s="1539"/>
      <c r="K309" s="1539"/>
      <c r="L309" s="1539"/>
      <c r="M309" s="1539"/>
      <c r="N309" s="909"/>
    </row>
    <row r="310" spans="1:19" ht="18" customHeight="1">
      <c r="A310" s="1540"/>
      <c r="B310" s="1540"/>
      <c r="C310" s="1540"/>
      <c r="D310" s="1540"/>
      <c r="E310" s="1540"/>
      <c r="F310" s="1540"/>
      <c r="G310" s="1540"/>
      <c r="H310" s="1540"/>
      <c r="I310" s="1540"/>
      <c r="J310" s="1540"/>
      <c r="K310" s="1540"/>
      <c r="L310" s="1540"/>
      <c r="M310" s="1540"/>
      <c r="N310" s="910"/>
    </row>
    <row r="311" spans="1:19" ht="18" customHeight="1">
      <c r="A311" s="910"/>
      <c r="B311" s="910"/>
      <c r="C311" s="910"/>
      <c r="D311" s="910"/>
      <c r="E311" s="910"/>
      <c r="F311" s="910"/>
      <c r="G311" s="910"/>
      <c r="H311" s="910"/>
      <c r="I311" s="910"/>
      <c r="J311" s="910"/>
      <c r="K311" s="910"/>
      <c r="L311" s="910"/>
      <c r="M311" s="910"/>
      <c r="N311" s="910"/>
    </row>
    <row r="312" spans="1:19" ht="18" customHeight="1">
      <c r="A312" s="111" t="s">
        <v>441</v>
      </c>
      <c r="B312" s="111"/>
      <c r="C312" s="111" t="s">
        <v>439</v>
      </c>
      <c r="D312" s="111" t="s">
        <v>447</v>
      </c>
      <c r="E312" s="111"/>
      <c r="F312" s="111"/>
      <c r="G312" s="111"/>
      <c r="H312" s="910"/>
      <c r="I312" s="910"/>
      <c r="J312" s="910"/>
      <c r="K312" s="910"/>
      <c r="L312" s="910"/>
      <c r="M312" s="910"/>
      <c r="N312" s="910"/>
    </row>
    <row r="313" spans="1:19" ht="18" customHeight="1">
      <c r="A313" s="111" t="s">
        <v>442</v>
      </c>
      <c r="B313" s="111"/>
      <c r="C313" s="111" t="s">
        <v>439</v>
      </c>
      <c r="D313" s="111" t="s">
        <v>448</v>
      </c>
      <c r="E313" s="111"/>
      <c r="F313" s="111"/>
      <c r="G313" s="111"/>
      <c r="H313" s="910"/>
      <c r="I313" s="910"/>
      <c r="J313" s="910"/>
      <c r="K313" s="910"/>
      <c r="L313" s="910"/>
      <c r="M313" s="910"/>
      <c r="N313" s="910"/>
    </row>
    <row r="314" spans="1:19" ht="18" customHeight="1" thickBot="1">
      <c r="A314" s="111" t="s">
        <v>446</v>
      </c>
      <c r="B314" s="111"/>
      <c r="C314" s="111" t="s">
        <v>439</v>
      </c>
      <c r="D314" s="111" t="s">
        <v>659</v>
      </c>
      <c r="E314" s="111"/>
      <c r="F314" s="111"/>
      <c r="G314" s="111"/>
      <c r="H314" s="910"/>
      <c r="I314" s="910"/>
      <c r="J314" s="910"/>
      <c r="K314" s="910"/>
      <c r="L314" s="910"/>
      <c r="M314" s="910"/>
      <c r="N314" s="910"/>
    </row>
    <row r="315" spans="1:19" ht="18" customHeight="1">
      <c r="A315" s="1532" t="s">
        <v>619</v>
      </c>
      <c r="B315" s="1533"/>
      <c r="C315" s="1533"/>
      <c r="D315" s="1533"/>
      <c r="E315" s="1534"/>
      <c r="F315" s="1533"/>
      <c r="G315" s="1535"/>
      <c r="H315" s="121"/>
      <c r="I315" s="1536" t="s">
        <v>623</v>
      </c>
      <c r="J315" s="1537"/>
      <c r="K315" s="1536" t="s">
        <v>623</v>
      </c>
      <c r="L315" s="1537"/>
      <c r="M315" s="122"/>
      <c r="N315" s="876"/>
      <c r="O315" s="180"/>
    </row>
    <row r="316" spans="1:19" ht="18" customHeight="1">
      <c r="A316" s="123" t="s">
        <v>620</v>
      </c>
      <c r="B316" s="1544" t="s">
        <v>621</v>
      </c>
      <c r="C316" s="1545"/>
      <c r="D316" s="1546"/>
      <c r="E316" s="1547" t="s">
        <v>43</v>
      </c>
      <c r="F316" s="1548"/>
      <c r="G316" s="1549"/>
      <c r="H316" s="914" t="s">
        <v>44</v>
      </c>
      <c r="I316" s="1547" t="s">
        <v>1613</v>
      </c>
      <c r="J316" s="1549"/>
      <c r="K316" s="1548" t="s">
        <v>1660</v>
      </c>
      <c r="L316" s="1549"/>
      <c r="M316" s="124" t="s">
        <v>45</v>
      </c>
      <c r="N316" s="877"/>
      <c r="O316" s="180"/>
    </row>
    <row r="317" spans="1:19" ht="18" customHeight="1">
      <c r="A317" s="125"/>
      <c r="B317" s="914"/>
      <c r="C317" s="915"/>
      <c r="D317" s="915"/>
      <c r="E317" s="914"/>
      <c r="F317" s="915"/>
      <c r="G317" s="916"/>
      <c r="H317" s="914" t="s">
        <v>46</v>
      </c>
      <c r="I317" s="1550"/>
      <c r="J317" s="1551"/>
      <c r="K317" s="1550"/>
      <c r="L317" s="1551"/>
      <c r="M317" s="124" t="s">
        <v>47</v>
      </c>
      <c r="N317" s="877"/>
      <c r="O317" s="180"/>
    </row>
    <row r="318" spans="1:19" ht="18" customHeight="1">
      <c r="A318" s="125"/>
      <c r="B318" s="914"/>
      <c r="C318" s="915"/>
      <c r="D318" s="915"/>
      <c r="E318" s="914"/>
      <c r="F318" s="915"/>
      <c r="G318" s="126"/>
      <c r="H318" s="127"/>
      <c r="I318" s="128" t="s">
        <v>622</v>
      </c>
      <c r="J318" s="129" t="s">
        <v>48</v>
      </c>
      <c r="K318" s="128" t="s">
        <v>622</v>
      </c>
      <c r="L318" s="129" t="s">
        <v>48</v>
      </c>
      <c r="M318" s="124"/>
      <c r="N318" s="120"/>
      <c r="O318" s="180"/>
    </row>
    <row r="319" spans="1:19" ht="18" customHeight="1" thickBot="1">
      <c r="A319" s="130"/>
      <c r="B319" s="1541"/>
      <c r="C319" s="1542"/>
      <c r="D319" s="1543"/>
      <c r="E319" s="1541"/>
      <c r="F319" s="1542"/>
      <c r="G319" s="1543"/>
      <c r="H319" s="131"/>
      <c r="I319" s="131"/>
      <c r="J319" s="131"/>
      <c r="K319" s="131"/>
      <c r="L319" s="131"/>
      <c r="M319" s="132"/>
      <c r="N319" s="883"/>
    </row>
    <row r="320" spans="1:19" s="146" customFormat="1" ht="18" customHeight="1">
      <c r="A320" s="183"/>
      <c r="B320" s="920"/>
      <c r="C320" s="920"/>
      <c r="D320" s="920"/>
      <c r="E320" s="919"/>
      <c r="F320" s="920"/>
      <c r="G320" s="140"/>
      <c r="H320" s="141"/>
      <c r="I320" s="210"/>
      <c r="J320" s="211"/>
      <c r="K320" s="210"/>
      <c r="L320" s="211"/>
      <c r="M320" s="143"/>
      <c r="N320" s="170"/>
      <c r="O320" s="115"/>
      <c r="P320" s="115"/>
      <c r="Q320" s="116"/>
      <c r="R320" s="116"/>
      <c r="S320" s="117"/>
    </row>
    <row r="321" spans="1:19" s="146" customFormat="1" ht="18" customHeight="1">
      <c r="A321" s="183">
        <v>1</v>
      </c>
      <c r="B321" s="920"/>
      <c r="C321" s="920"/>
      <c r="D321" s="920"/>
      <c r="E321" s="154" t="s">
        <v>76</v>
      </c>
      <c r="F321" s="920"/>
      <c r="G321" s="140"/>
      <c r="H321" s="141" t="s">
        <v>51</v>
      </c>
      <c r="I321" s="184" t="s">
        <v>243</v>
      </c>
      <c r="J321" s="211">
        <v>931464</v>
      </c>
      <c r="K321" s="184" t="s">
        <v>243</v>
      </c>
      <c r="L321" s="211">
        <v>949044</v>
      </c>
      <c r="M321" s="144">
        <f>L321-J321</f>
        <v>17580</v>
      </c>
      <c r="N321" s="879"/>
      <c r="O321" s="115">
        <f>L322+M321+M322</f>
        <v>996317</v>
      </c>
      <c r="P321" s="115"/>
      <c r="Q321" s="116"/>
      <c r="R321" s="116"/>
      <c r="S321" s="145"/>
    </row>
    <row r="322" spans="1:19" s="146" customFormat="1" ht="18" customHeight="1">
      <c r="A322" s="183"/>
      <c r="B322" s="920"/>
      <c r="C322" s="920"/>
      <c r="D322" s="920"/>
      <c r="E322" s="154" t="s">
        <v>1534</v>
      </c>
      <c r="F322" s="920"/>
      <c r="G322" s="140"/>
      <c r="H322" s="141"/>
      <c r="I322" s="184"/>
      <c r="J322" s="211"/>
      <c r="K322" s="184" t="s">
        <v>867</v>
      </c>
      <c r="L322" s="211">
        <v>964536</v>
      </c>
      <c r="M322" s="144">
        <v>14201</v>
      </c>
      <c r="N322" s="879">
        <f>(L322-L321)*11/12</f>
        <v>14201</v>
      </c>
      <c r="O322" s="115"/>
      <c r="P322" s="115"/>
      <c r="Q322" s="116"/>
      <c r="R322" s="116"/>
      <c r="S322" s="145"/>
    </row>
    <row r="323" spans="1:19" s="146" customFormat="1" ht="18" customHeight="1">
      <c r="A323" s="183"/>
      <c r="B323" s="957"/>
      <c r="C323" s="957"/>
      <c r="D323" s="957"/>
      <c r="E323" s="154"/>
      <c r="F323" s="957"/>
      <c r="G323" s="140"/>
      <c r="H323" s="141"/>
      <c r="I323" s="184"/>
      <c r="J323" s="211"/>
      <c r="K323" s="184"/>
      <c r="L323" s="212">
        <v>44971</v>
      </c>
      <c r="M323" s="144"/>
      <c r="N323" s="879"/>
      <c r="O323" s="115"/>
      <c r="P323" s="115"/>
      <c r="Q323" s="116"/>
      <c r="R323" s="116"/>
      <c r="S323" s="145"/>
    </row>
    <row r="324" spans="1:19" s="146" customFormat="1" ht="18" customHeight="1">
      <c r="A324" s="183"/>
      <c r="B324" s="957"/>
      <c r="C324" s="957"/>
      <c r="D324" s="957"/>
      <c r="E324" s="154"/>
      <c r="F324" s="957"/>
      <c r="G324" s="140"/>
      <c r="H324" s="141"/>
      <c r="I324" s="184"/>
      <c r="J324" s="211"/>
      <c r="K324" s="184"/>
      <c r="L324" s="212"/>
      <c r="M324" s="144"/>
      <c r="N324" s="879"/>
      <c r="O324" s="115"/>
      <c r="P324" s="115"/>
      <c r="Q324" s="116"/>
      <c r="R324" s="116"/>
      <c r="S324" s="145"/>
    </row>
    <row r="325" spans="1:19" s="146" customFormat="1" ht="18" customHeight="1">
      <c r="A325" s="183"/>
      <c r="B325" s="920"/>
      <c r="C325" s="920"/>
      <c r="D325" s="920"/>
      <c r="E325" s="154"/>
      <c r="F325" s="920"/>
      <c r="G325" s="140"/>
      <c r="H325" s="141"/>
      <c r="I325" s="184"/>
      <c r="J325" s="212"/>
      <c r="K325" s="184"/>
      <c r="L325" s="212"/>
      <c r="M325" s="144"/>
      <c r="N325" s="879"/>
      <c r="O325" s="115"/>
      <c r="P325" s="115"/>
      <c r="Q325" s="116"/>
      <c r="R325" s="116"/>
      <c r="S325" s="117"/>
    </row>
    <row r="326" spans="1:19" s="146" customFormat="1" ht="18" customHeight="1">
      <c r="A326" s="183"/>
      <c r="B326" s="920"/>
      <c r="C326" s="920"/>
      <c r="D326" s="920"/>
      <c r="E326" s="154"/>
      <c r="F326" s="920"/>
      <c r="G326" s="140"/>
      <c r="H326" s="141"/>
      <c r="I326" s="184"/>
      <c r="J326" s="212"/>
      <c r="K326" s="184"/>
      <c r="L326" s="212"/>
      <c r="M326" s="144"/>
      <c r="N326" s="879"/>
      <c r="O326" s="115"/>
      <c r="P326" s="115"/>
      <c r="Q326" s="116"/>
      <c r="R326" s="116"/>
      <c r="S326" s="117"/>
    </row>
    <row r="327" spans="1:19" s="146" customFormat="1" ht="18" customHeight="1">
      <c r="A327" s="183">
        <v>2</v>
      </c>
      <c r="B327" s="1552"/>
      <c r="C327" s="1553"/>
      <c r="D327" s="1554"/>
      <c r="E327" s="154" t="s">
        <v>1533</v>
      </c>
      <c r="F327" s="920"/>
      <c r="G327" s="140"/>
      <c r="H327" s="141" t="s">
        <v>969</v>
      </c>
      <c r="I327" s="184" t="s">
        <v>384</v>
      </c>
      <c r="J327" s="211">
        <v>259476</v>
      </c>
      <c r="K327" s="184" t="s">
        <v>384</v>
      </c>
      <c r="L327" s="211">
        <v>275400</v>
      </c>
      <c r="M327" s="144">
        <f>L327-J327</f>
        <v>15924</v>
      </c>
      <c r="N327" s="879"/>
      <c r="O327" s="115">
        <f>M327+L327</f>
        <v>291324</v>
      </c>
      <c r="P327" s="115"/>
      <c r="Q327" s="116"/>
      <c r="R327" s="116"/>
      <c r="S327" s="145"/>
    </row>
    <row r="328" spans="1:19" s="146" customFormat="1" ht="18" customHeight="1">
      <c r="A328" s="183"/>
      <c r="B328" s="957"/>
      <c r="C328" s="957"/>
      <c r="D328" s="957"/>
      <c r="E328" s="154"/>
      <c r="F328" s="957"/>
      <c r="G328" s="140"/>
      <c r="H328" s="141"/>
      <c r="I328" s="185"/>
      <c r="J328" s="211"/>
      <c r="K328" s="185"/>
      <c r="L328" s="211"/>
      <c r="M328" s="143"/>
      <c r="N328" s="170"/>
      <c r="O328" s="115"/>
      <c r="P328" s="115"/>
      <c r="Q328" s="116"/>
      <c r="R328" s="116"/>
      <c r="S328" s="117"/>
    </row>
    <row r="329" spans="1:19" s="146" customFormat="1" ht="18" customHeight="1">
      <c r="A329" s="183"/>
      <c r="B329" s="957"/>
      <c r="C329" s="957"/>
      <c r="D329" s="957"/>
      <c r="E329" s="154"/>
      <c r="F329" s="957"/>
      <c r="G329" s="140"/>
      <c r="H329" s="141"/>
      <c r="I329" s="185"/>
      <c r="J329" s="211"/>
      <c r="K329" s="185"/>
      <c r="L329" s="211"/>
      <c r="M329" s="143"/>
      <c r="N329" s="170"/>
      <c r="O329" s="115"/>
      <c r="P329" s="115"/>
      <c r="Q329" s="116"/>
      <c r="R329" s="116"/>
      <c r="S329" s="117"/>
    </row>
    <row r="330" spans="1:19" s="146" customFormat="1" ht="18" customHeight="1">
      <c r="A330" s="183"/>
      <c r="B330" s="957"/>
      <c r="C330" s="957"/>
      <c r="D330" s="957"/>
      <c r="E330" s="154"/>
      <c r="F330" s="957"/>
      <c r="G330" s="140"/>
      <c r="H330" s="141"/>
      <c r="I330" s="185"/>
      <c r="J330" s="211"/>
      <c r="K330" s="185"/>
      <c r="L330" s="211"/>
      <c r="M330" s="143"/>
      <c r="N330" s="170"/>
      <c r="O330" s="115"/>
      <c r="P330" s="115"/>
      <c r="Q330" s="116"/>
      <c r="R330" s="116"/>
      <c r="S330" s="117"/>
    </row>
    <row r="331" spans="1:19" s="146" customFormat="1" ht="18" customHeight="1">
      <c r="A331" s="183">
        <v>3</v>
      </c>
      <c r="B331" s="920"/>
      <c r="C331" s="920"/>
      <c r="D331" s="920"/>
      <c r="E331" s="154" t="s">
        <v>53</v>
      </c>
      <c r="F331" s="920"/>
      <c r="G331" s="140"/>
      <c r="H331" s="141" t="s">
        <v>1668</v>
      </c>
      <c r="I331" s="184" t="s">
        <v>55</v>
      </c>
      <c r="J331" s="211">
        <v>152928</v>
      </c>
      <c r="K331" s="184" t="s">
        <v>55</v>
      </c>
      <c r="L331" s="211">
        <v>158976</v>
      </c>
      <c r="M331" s="144">
        <f>L331-J331</f>
        <v>6048</v>
      </c>
      <c r="N331" s="879"/>
      <c r="O331" s="115">
        <f>M331+L331</f>
        <v>165024</v>
      </c>
      <c r="P331" s="115"/>
      <c r="Q331" s="116"/>
      <c r="R331" s="116"/>
      <c r="S331" s="145"/>
    </row>
    <row r="332" spans="1:19" s="146" customFormat="1" ht="18" customHeight="1">
      <c r="A332" s="183"/>
      <c r="B332" s="920"/>
      <c r="C332" s="920"/>
      <c r="D332" s="920"/>
      <c r="E332" s="154"/>
      <c r="F332" s="920"/>
      <c r="G332" s="140"/>
      <c r="H332" s="141"/>
      <c r="I332" s="184"/>
      <c r="J332" s="211"/>
      <c r="K332" s="184"/>
      <c r="L332" s="211"/>
      <c r="M332" s="144"/>
      <c r="N332" s="879"/>
      <c r="O332" s="115"/>
      <c r="P332" s="115"/>
      <c r="Q332" s="116"/>
      <c r="R332" s="116"/>
      <c r="S332" s="145"/>
    </row>
    <row r="333" spans="1:19" s="146" customFormat="1" ht="18" customHeight="1">
      <c r="A333" s="183"/>
      <c r="B333" s="920"/>
      <c r="C333" s="920"/>
      <c r="D333" s="920"/>
      <c r="E333" s="919"/>
      <c r="F333" s="920"/>
      <c r="G333" s="140"/>
      <c r="H333" s="141"/>
      <c r="I333" s="185"/>
      <c r="J333" s="212"/>
      <c r="K333" s="185"/>
      <c r="L333" s="212"/>
      <c r="M333" s="143"/>
      <c r="N333" s="170"/>
      <c r="O333" s="115"/>
      <c r="P333" s="115"/>
      <c r="Q333" s="116"/>
      <c r="R333" s="116"/>
      <c r="S333" s="117"/>
    </row>
    <row r="334" spans="1:19" s="146" customFormat="1" ht="18" customHeight="1">
      <c r="A334" s="183"/>
      <c r="B334" s="920"/>
      <c r="C334" s="920"/>
      <c r="D334" s="920"/>
      <c r="E334" s="919"/>
      <c r="F334" s="920"/>
      <c r="G334" s="140"/>
      <c r="H334" s="141"/>
      <c r="I334" s="142"/>
      <c r="J334" s="143"/>
      <c r="K334" s="142"/>
      <c r="L334" s="143"/>
      <c r="M334" s="143"/>
      <c r="N334" s="170"/>
      <c r="O334" s="115"/>
      <c r="P334" s="115"/>
      <c r="Q334" s="116"/>
      <c r="R334" s="116"/>
      <c r="S334" s="117"/>
    </row>
    <row r="335" spans="1:19" s="146" customFormat="1" ht="18" customHeight="1">
      <c r="A335" s="183"/>
      <c r="B335" s="920"/>
      <c r="C335" s="920"/>
      <c r="D335" s="920"/>
      <c r="E335" s="919"/>
      <c r="F335" s="920"/>
      <c r="G335" s="140"/>
      <c r="H335" s="141"/>
      <c r="I335" s="142"/>
      <c r="J335" s="143"/>
      <c r="K335" s="142"/>
      <c r="L335" s="143"/>
      <c r="M335" s="143"/>
      <c r="N335" s="170"/>
      <c r="O335" s="115"/>
      <c r="P335" s="115"/>
      <c r="Q335" s="116"/>
      <c r="R335" s="116"/>
      <c r="S335" s="117"/>
    </row>
    <row r="336" spans="1:19" s="146" customFormat="1" ht="18" customHeight="1">
      <c r="A336" s="183"/>
      <c r="B336" s="920"/>
      <c r="C336" s="920"/>
      <c r="D336" s="920"/>
      <c r="E336" s="919"/>
      <c r="F336" s="920"/>
      <c r="G336" s="140"/>
      <c r="H336" s="141"/>
      <c r="I336" s="142"/>
      <c r="J336" s="143"/>
      <c r="K336" s="142"/>
      <c r="L336" s="143"/>
      <c r="M336" s="143"/>
      <c r="N336" s="170"/>
      <c r="O336" s="115"/>
      <c r="P336" s="115"/>
      <c r="Q336" s="116"/>
      <c r="R336" s="116"/>
      <c r="S336" s="117"/>
    </row>
    <row r="337" spans="1:19" s="146" customFormat="1" ht="18" customHeight="1">
      <c r="A337" s="183"/>
      <c r="B337" s="920"/>
      <c r="C337" s="920"/>
      <c r="D337" s="920"/>
      <c r="E337" s="919"/>
      <c r="F337" s="920"/>
      <c r="G337" s="140"/>
      <c r="H337" s="141"/>
      <c r="I337" s="142"/>
      <c r="J337" s="143"/>
      <c r="K337" s="142"/>
      <c r="L337" s="143"/>
      <c r="M337" s="143"/>
      <c r="N337" s="170"/>
      <c r="O337" s="115"/>
      <c r="P337" s="115"/>
      <c r="Q337" s="116"/>
      <c r="R337" s="116"/>
      <c r="S337" s="117"/>
    </row>
    <row r="338" spans="1:19" s="146" customFormat="1" ht="18" customHeight="1">
      <c r="A338" s="183"/>
      <c r="B338" s="920"/>
      <c r="C338" s="920"/>
      <c r="D338" s="920"/>
      <c r="E338" s="919"/>
      <c r="F338" s="920"/>
      <c r="G338" s="140"/>
      <c r="H338" s="141"/>
      <c r="I338" s="142"/>
      <c r="J338" s="143"/>
      <c r="K338" s="142"/>
      <c r="L338" s="143"/>
      <c r="M338" s="143"/>
      <c r="N338" s="170"/>
      <c r="O338" s="115"/>
      <c r="P338" s="115"/>
      <c r="Q338" s="116"/>
      <c r="R338" s="116"/>
      <c r="S338" s="117"/>
    </row>
    <row r="339" spans="1:19" s="146" customFormat="1" ht="18" customHeight="1">
      <c r="A339" s="183"/>
      <c r="B339" s="920"/>
      <c r="C339" s="920"/>
      <c r="D339" s="920"/>
      <c r="E339" s="919"/>
      <c r="F339" s="920"/>
      <c r="G339" s="140"/>
      <c r="H339" s="141"/>
      <c r="I339" s="142"/>
      <c r="J339" s="143"/>
      <c r="K339" s="142"/>
      <c r="L339" s="143"/>
      <c r="M339" s="143"/>
      <c r="N339" s="170"/>
      <c r="O339" s="115"/>
      <c r="P339" s="115"/>
      <c r="Q339" s="116"/>
      <c r="R339" s="116"/>
      <c r="S339" s="117"/>
    </row>
    <row r="340" spans="1:19" s="146" customFormat="1" ht="18" customHeight="1">
      <c r="A340" s="183"/>
      <c r="B340" s="920"/>
      <c r="C340" s="920"/>
      <c r="D340" s="920"/>
      <c r="E340" s="919"/>
      <c r="F340" s="920"/>
      <c r="G340" s="140"/>
      <c r="H340" s="141"/>
      <c r="I340" s="210"/>
      <c r="J340" s="143"/>
      <c r="K340" s="210"/>
      <c r="L340" s="143"/>
      <c r="M340" s="143"/>
      <c r="N340" s="170"/>
      <c r="O340" s="115"/>
      <c r="P340" s="115"/>
      <c r="Q340" s="116"/>
      <c r="R340" s="116"/>
      <c r="S340" s="117"/>
    </row>
    <row r="341" spans="1:19" s="146" customFormat="1" ht="18" customHeight="1">
      <c r="A341" s="183"/>
      <c r="B341" s="920"/>
      <c r="C341" s="920"/>
      <c r="D341" s="920"/>
      <c r="E341" s="919"/>
      <c r="F341" s="920"/>
      <c r="G341" s="140"/>
      <c r="H341" s="141"/>
      <c r="I341" s="210"/>
      <c r="J341" s="143"/>
      <c r="K341" s="210"/>
      <c r="L341" s="143"/>
      <c r="M341" s="143"/>
      <c r="N341" s="170"/>
      <c r="O341" s="115"/>
      <c r="P341" s="115"/>
      <c r="Q341" s="116"/>
      <c r="R341" s="116"/>
      <c r="S341" s="117"/>
    </row>
    <row r="342" spans="1:19" s="146" customFormat="1" ht="18" customHeight="1">
      <c r="A342" s="183"/>
      <c r="B342" s="920"/>
      <c r="C342" s="920"/>
      <c r="D342" s="920"/>
      <c r="E342" s="919"/>
      <c r="F342" s="920"/>
      <c r="G342" s="140"/>
      <c r="H342" s="141"/>
      <c r="I342" s="210"/>
      <c r="J342" s="143"/>
      <c r="K342" s="210"/>
      <c r="L342" s="143"/>
      <c r="M342" s="143"/>
      <c r="N342" s="170"/>
      <c r="O342" s="115"/>
      <c r="P342" s="115"/>
      <c r="Q342" s="116"/>
      <c r="R342" s="116"/>
      <c r="S342" s="117"/>
    </row>
    <row r="343" spans="1:19" s="146" customFormat="1" ht="18" customHeight="1">
      <c r="A343" s="183"/>
      <c r="B343" s="920"/>
      <c r="C343" s="920"/>
      <c r="D343" s="920"/>
      <c r="E343" s="919"/>
      <c r="F343" s="920"/>
      <c r="G343" s="140"/>
      <c r="H343" s="141"/>
      <c r="I343" s="210"/>
      <c r="J343" s="143"/>
      <c r="K343" s="210"/>
      <c r="L343" s="143"/>
      <c r="M343" s="143"/>
      <c r="N343" s="170"/>
      <c r="O343" s="115"/>
      <c r="P343" s="115"/>
      <c r="Q343" s="116"/>
      <c r="R343" s="116"/>
      <c r="S343" s="117"/>
    </row>
    <row r="344" spans="1:19" s="146" customFormat="1" ht="18" customHeight="1">
      <c r="A344" s="183"/>
      <c r="B344" s="920"/>
      <c r="C344" s="920"/>
      <c r="D344" s="920"/>
      <c r="E344" s="919"/>
      <c r="F344" s="920"/>
      <c r="G344" s="140"/>
      <c r="H344" s="141"/>
      <c r="I344" s="210"/>
      <c r="J344" s="143"/>
      <c r="K344" s="210"/>
      <c r="L344" s="143"/>
      <c r="M344" s="143"/>
      <c r="N344" s="170"/>
      <c r="O344" s="115"/>
      <c r="P344" s="115"/>
      <c r="Q344" s="116"/>
      <c r="R344" s="116"/>
      <c r="S344" s="117"/>
    </row>
    <row r="345" spans="1:19" s="146" customFormat="1" ht="18" customHeight="1">
      <c r="A345" s="183"/>
      <c r="B345" s="920"/>
      <c r="C345" s="920"/>
      <c r="D345" s="920"/>
      <c r="E345" s="919"/>
      <c r="F345" s="920"/>
      <c r="G345" s="140"/>
      <c r="H345" s="141"/>
      <c r="I345" s="210"/>
      <c r="J345" s="143"/>
      <c r="K345" s="210"/>
      <c r="L345" s="143"/>
      <c r="M345" s="143"/>
      <c r="N345" s="170"/>
      <c r="O345" s="115"/>
      <c r="P345" s="115"/>
      <c r="Q345" s="116"/>
      <c r="R345" s="116"/>
      <c r="S345" s="117"/>
    </row>
    <row r="346" spans="1:19" s="146" customFormat="1" ht="18" customHeight="1">
      <c r="A346" s="183"/>
      <c r="B346" s="920"/>
      <c r="C346" s="920"/>
      <c r="D346" s="920"/>
      <c r="E346" s="919"/>
      <c r="F346" s="920"/>
      <c r="G346" s="140"/>
      <c r="H346" s="141"/>
      <c r="I346" s="210"/>
      <c r="J346" s="143"/>
      <c r="K346" s="210"/>
      <c r="L346" s="143"/>
      <c r="M346" s="143"/>
      <c r="N346" s="170"/>
      <c r="O346" s="115"/>
      <c r="P346" s="115"/>
      <c r="Q346" s="116"/>
      <c r="R346" s="116"/>
      <c r="S346" s="117"/>
    </row>
    <row r="347" spans="1:19" s="146" customFormat="1" ht="18" customHeight="1">
      <c r="A347" s="183"/>
      <c r="B347" s="920"/>
      <c r="C347" s="920"/>
      <c r="D347" s="920"/>
      <c r="E347" s="919"/>
      <c r="F347" s="920"/>
      <c r="G347" s="140"/>
      <c r="H347" s="141"/>
      <c r="I347" s="210"/>
      <c r="J347" s="143"/>
      <c r="K347" s="210"/>
      <c r="L347" s="143"/>
      <c r="M347" s="143"/>
      <c r="N347" s="170"/>
      <c r="O347" s="115"/>
      <c r="P347" s="115"/>
      <c r="Q347" s="116"/>
      <c r="R347" s="116"/>
      <c r="S347" s="117"/>
    </row>
    <row r="348" spans="1:19" s="146" customFormat="1" ht="18" customHeight="1">
      <c r="A348" s="183"/>
      <c r="B348" s="920"/>
      <c r="C348" s="920"/>
      <c r="D348" s="920"/>
      <c r="E348" s="919"/>
      <c r="F348" s="920"/>
      <c r="G348" s="140"/>
      <c r="H348" s="141"/>
      <c r="I348" s="210"/>
      <c r="J348" s="143"/>
      <c r="K348" s="210"/>
      <c r="L348" s="143"/>
      <c r="M348" s="143"/>
      <c r="N348" s="170"/>
      <c r="O348" s="115"/>
      <c r="P348" s="115"/>
      <c r="Q348" s="116"/>
      <c r="R348" s="116"/>
      <c r="S348" s="117"/>
    </row>
    <row r="349" spans="1:19" s="146" customFormat="1" ht="18" customHeight="1">
      <c r="A349" s="183"/>
      <c r="B349" s="920"/>
      <c r="C349" s="920"/>
      <c r="D349" s="920"/>
      <c r="E349" s="919"/>
      <c r="F349" s="920"/>
      <c r="G349" s="140"/>
      <c r="H349" s="141"/>
      <c r="I349" s="210"/>
      <c r="J349" s="143"/>
      <c r="K349" s="210"/>
      <c r="L349" s="143"/>
      <c r="M349" s="143"/>
      <c r="N349" s="170"/>
      <c r="O349" s="115"/>
      <c r="P349" s="115"/>
      <c r="Q349" s="116"/>
      <c r="R349" s="116"/>
      <c r="S349" s="117"/>
    </row>
    <row r="350" spans="1:19" s="146" customFormat="1" ht="18" customHeight="1">
      <c r="A350" s="183"/>
      <c r="B350" s="920"/>
      <c r="C350" s="920"/>
      <c r="D350" s="920"/>
      <c r="E350" s="919"/>
      <c r="F350" s="920"/>
      <c r="G350" s="140"/>
      <c r="H350" s="141"/>
      <c r="I350" s="210"/>
      <c r="J350" s="143"/>
      <c r="K350" s="210"/>
      <c r="L350" s="143"/>
      <c r="M350" s="143"/>
      <c r="N350" s="170"/>
      <c r="O350" s="115"/>
      <c r="P350" s="115"/>
      <c r="Q350" s="116"/>
      <c r="R350" s="116"/>
      <c r="S350" s="117"/>
    </row>
    <row r="351" spans="1:19" s="146" customFormat="1" ht="18" customHeight="1">
      <c r="A351" s="141"/>
      <c r="B351" s="155"/>
      <c r="C351" s="920"/>
      <c r="D351" s="920"/>
      <c r="E351" s="154"/>
      <c r="F351" s="155"/>
      <c r="G351" s="140"/>
      <c r="H351" s="141"/>
      <c r="I351" s="210"/>
      <c r="J351" s="143"/>
      <c r="K351" s="210"/>
      <c r="L351" s="143"/>
      <c r="M351" s="143"/>
      <c r="N351" s="170"/>
      <c r="O351" s="115"/>
      <c r="P351" s="115"/>
      <c r="Q351" s="116"/>
      <c r="R351" s="116"/>
      <c r="S351" s="117"/>
    </row>
    <row r="352" spans="1:19" s="146" customFormat="1" ht="18" customHeight="1">
      <c r="A352" s="141"/>
      <c r="B352" s="155"/>
      <c r="C352" s="920"/>
      <c r="D352" s="920"/>
      <c r="E352" s="154"/>
      <c r="F352" s="155"/>
      <c r="G352" s="140"/>
      <c r="H352" s="141"/>
      <c r="I352" s="210"/>
      <c r="J352" s="143"/>
      <c r="K352" s="210"/>
      <c r="L352" s="143"/>
      <c r="M352" s="143"/>
      <c r="N352" s="170"/>
      <c r="O352" s="115"/>
      <c r="P352" s="115"/>
      <c r="Q352" s="116"/>
      <c r="R352" s="116"/>
      <c r="S352" s="117"/>
    </row>
    <row r="353" spans="1:19" s="146" customFormat="1" ht="18" customHeight="1">
      <c r="A353" s="141"/>
      <c r="B353" s="155"/>
      <c r="C353" s="920"/>
      <c r="D353" s="920"/>
      <c r="E353" s="154"/>
      <c r="F353" s="155"/>
      <c r="G353" s="140"/>
      <c r="H353" s="141"/>
      <c r="I353" s="210"/>
      <c r="J353" s="143"/>
      <c r="K353" s="210"/>
      <c r="L353" s="143"/>
      <c r="M353" s="143"/>
      <c r="N353" s="170"/>
      <c r="O353" s="115"/>
      <c r="P353" s="115"/>
      <c r="Q353" s="116"/>
      <c r="R353" s="116"/>
      <c r="S353" s="117"/>
    </row>
    <row r="354" spans="1:19" s="146" customFormat="1" ht="18" customHeight="1">
      <c r="A354" s="141"/>
      <c r="B354" s="155"/>
      <c r="C354" s="920"/>
      <c r="D354" s="920"/>
      <c r="E354" s="154"/>
      <c r="F354" s="155"/>
      <c r="G354" s="140"/>
      <c r="H354" s="141"/>
      <c r="I354" s="210"/>
      <c r="J354" s="143"/>
      <c r="K354" s="210"/>
      <c r="L354" s="143"/>
      <c r="M354" s="143"/>
      <c r="N354" s="170"/>
      <c r="O354" s="115"/>
      <c r="P354" s="115"/>
      <c r="Q354" s="116"/>
      <c r="R354" s="116"/>
      <c r="S354" s="117"/>
    </row>
    <row r="355" spans="1:19" s="146" customFormat="1" ht="18" customHeight="1">
      <c r="A355" s="141"/>
      <c r="B355" s="155"/>
      <c r="C355" s="920"/>
      <c r="D355" s="920"/>
      <c r="E355" s="154"/>
      <c r="F355" s="155"/>
      <c r="G355" s="140"/>
      <c r="H355" s="141"/>
      <c r="I355" s="210"/>
      <c r="J355" s="143"/>
      <c r="K355" s="210"/>
      <c r="L355" s="143"/>
      <c r="M355" s="143"/>
      <c r="N355" s="170"/>
      <c r="O355" s="115"/>
      <c r="P355" s="115"/>
      <c r="Q355" s="116"/>
      <c r="R355" s="116"/>
      <c r="S355" s="117"/>
    </row>
    <row r="356" spans="1:19" s="146" customFormat="1" ht="18" customHeight="1">
      <c r="A356" s="141"/>
      <c r="B356" s="155"/>
      <c r="C356" s="920"/>
      <c r="D356" s="920"/>
      <c r="E356" s="154"/>
      <c r="F356" s="155"/>
      <c r="G356" s="140"/>
      <c r="H356" s="141"/>
      <c r="I356" s="210"/>
      <c r="J356" s="143"/>
      <c r="K356" s="210"/>
      <c r="L356" s="143"/>
      <c r="M356" s="143"/>
      <c r="N356" s="170"/>
      <c r="O356" s="115"/>
      <c r="P356" s="115"/>
      <c r="Q356" s="116"/>
      <c r="R356" s="116"/>
      <c r="S356" s="117"/>
    </row>
    <row r="357" spans="1:19" s="146" customFormat="1" ht="18" customHeight="1">
      <c r="A357" s="141"/>
      <c r="B357" s="155"/>
      <c r="C357" s="920"/>
      <c r="D357" s="920"/>
      <c r="E357" s="154"/>
      <c r="F357" s="155"/>
      <c r="G357" s="140"/>
      <c r="H357" s="141"/>
      <c r="I357" s="210"/>
      <c r="J357" s="143"/>
      <c r="K357" s="210"/>
      <c r="L357" s="143"/>
      <c r="M357" s="143"/>
      <c r="N357" s="170"/>
      <c r="O357" s="115"/>
      <c r="P357" s="115"/>
      <c r="Q357" s="116"/>
      <c r="R357" s="116"/>
      <c r="S357" s="117"/>
    </row>
    <row r="358" spans="1:19" s="146" customFormat="1" ht="18" customHeight="1">
      <c r="A358" s="141"/>
      <c r="B358" s="155"/>
      <c r="C358" s="920"/>
      <c r="D358" s="920"/>
      <c r="E358" s="154"/>
      <c r="F358" s="155"/>
      <c r="G358" s="140"/>
      <c r="H358" s="141"/>
      <c r="I358" s="210"/>
      <c r="J358" s="143"/>
      <c r="K358" s="210"/>
      <c r="L358" s="143"/>
      <c r="M358" s="143"/>
      <c r="N358" s="170"/>
      <c r="O358" s="115"/>
      <c r="P358" s="115"/>
      <c r="Q358" s="116"/>
      <c r="R358" s="116"/>
      <c r="S358" s="117"/>
    </row>
    <row r="359" spans="1:19" s="146" customFormat="1" ht="18" customHeight="1">
      <c r="A359" s="141"/>
      <c r="B359" s="155"/>
      <c r="C359" s="920"/>
      <c r="D359" s="920"/>
      <c r="E359" s="154"/>
      <c r="F359" s="155"/>
      <c r="G359" s="140"/>
      <c r="H359" s="141"/>
      <c r="I359" s="210"/>
      <c r="J359" s="143"/>
      <c r="K359" s="210"/>
      <c r="L359" s="143"/>
      <c r="M359" s="143"/>
      <c r="N359" s="170"/>
      <c r="O359" s="115"/>
      <c r="P359" s="115"/>
      <c r="Q359" s="116"/>
      <c r="R359" s="116"/>
      <c r="S359" s="117"/>
    </row>
    <row r="360" spans="1:19" s="168" customFormat="1" ht="18" customHeight="1" thickBot="1">
      <c r="A360" s="162"/>
      <c r="B360" s="159"/>
      <c r="C360" s="158"/>
      <c r="D360" s="158"/>
      <c r="E360" s="157"/>
      <c r="F360" s="159"/>
      <c r="G360" s="213"/>
      <c r="H360" s="161" t="s">
        <v>15</v>
      </c>
      <c r="I360" s="214"/>
      <c r="J360" s="163">
        <f>SUM(J321:J334)</f>
        <v>1343868</v>
      </c>
      <c r="K360" s="214"/>
      <c r="L360" s="163">
        <f>SUM(L321:L334)</f>
        <v>2392927</v>
      </c>
      <c r="M360" s="163">
        <f>SUM(M321:M334)</f>
        <v>53753</v>
      </c>
      <c r="N360" s="169"/>
      <c r="O360" s="165">
        <f>SUM(O321:O331)</f>
        <v>1452665</v>
      </c>
      <c r="P360" s="165"/>
      <c r="Q360" s="166"/>
      <c r="R360" s="166"/>
      <c r="S360" s="167"/>
    </row>
    <row r="361" spans="1:19" s="146" customFormat="1" ht="18" customHeight="1" thickTop="1">
      <c r="A361" s="155"/>
      <c r="B361" s="155"/>
      <c r="C361" s="920"/>
      <c r="D361" s="920"/>
      <c r="E361" s="155"/>
      <c r="F361" s="155"/>
      <c r="G361" s="920"/>
      <c r="H361" s="155"/>
      <c r="I361" s="155"/>
      <c r="J361" s="169"/>
      <c r="K361" s="172"/>
      <c r="L361" s="171"/>
      <c r="M361" s="171"/>
      <c r="N361" s="171"/>
      <c r="O361" s="115"/>
      <c r="P361" s="115"/>
      <c r="Q361" s="116"/>
      <c r="R361" s="116"/>
      <c r="S361" s="117"/>
    </row>
    <row r="362" spans="1:19" s="146" customFormat="1" ht="18" customHeight="1">
      <c r="A362" s="155"/>
      <c r="B362" s="155"/>
      <c r="C362" s="920"/>
      <c r="D362" s="920"/>
      <c r="E362" s="155"/>
      <c r="F362" s="155"/>
      <c r="G362" s="155"/>
      <c r="H362" s="155"/>
      <c r="I362" s="155"/>
      <c r="J362" s="155"/>
      <c r="K362" s="172"/>
      <c r="L362" s="170"/>
      <c r="M362" s="170"/>
      <c r="N362" s="170"/>
      <c r="O362" s="115"/>
      <c r="P362" s="115"/>
      <c r="Q362" s="116"/>
      <c r="R362" s="116"/>
      <c r="S362" s="117"/>
    </row>
    <row r="363" spans="1:19" s="146" customFormat="1" ht="18" customHeight="1">
      <c r="A363" s="155"/>
      <c r="B363" s="155"/>
      <c r="C363" s="920"/>
      <c r="D363" s="920"/>
      <c r="E363" s="155"/>
      <c r="F363" s="155"/>
      <c r="G363" s="155"/>
      <c r="H363" s="155"/>
      <c r="I363" s="155"/>
      <c r="J363" s="155"/>
      <c r="K363" s="172"/>
      <c r="L363" s="170"/>
      <c r="M363" s="170"/>
      <c r="N363" s="170"/>
      <c r="O363" s="115"/>
      <c r="P363" s="115"/>
      <c r="Q363" s="116"/>
      <c r="R363" s="116"/>
      <c r="S363" s="117"/>
    </row>
    <row r="364" spans="1:19" s="146" customFormat="1" ht="18" customHeight="1">
      <c r="A364" s="173" t="s">
        <v>614</v>
      </c>
      <c r="B364" s="173"/>
      <c r="C364" s="912"/>
      <c r="D364" s="912"/>
      <c r="E364" s="174"/>
      <c r="F364" s="174"/>
      <c r="G364" s="174"/>
      <c r="H364" s="173" t="s">
        <v>615</v>
      </c>
      <c r="I364" s="174"/>
      <c r="K364" s="173" t="s">
        <v>253</v>
      </c>
      <c r="L364" s="175"/>
      <c r="M364" s="175"/>
      <c r="N364" s="175"/>
      <c r="O364" s="115"/>
      <c r="P364" s="115"/>
      <c r="Q364" s="116"/>
      <c r="R364" s="116"/>
      <c r="S364" s="117"/>
    </row>
    <row r="365" spans="1:19" s="146" customFormat="1" ht="18" customHeight="1">
      <c r="A365" s="174"/>
      <c r="B365" s="174"/>
      <c r="C365" s="913"/>
      <c r="D365" s="913"/>
      <c r="E365" s="174"/>
      <c r="F365" s="174"/>
      <c r="G365" s="174"/>
      <c r="H365" s="174"/>
      <c r="I365" s="174"/>
      <c r="J365" s="174"/>
      <c r="K365" s="176"/>
      <c r="L365" s="175"/>
      <c r="M365" s="175"/>
      <c r="N365" s="175"/>
      <c r="O365" s="115"/>
      <c r="P365" s="115"/>
      <c r="Q365" s="116"/>
      <c r="R365" s="116"/>
      <c r="S365" s="117"/>
    </row>
    <row r="366" spans="1:19" s="146" customFormat="1" ht="18" customHeight="1">
      <c r="A366" s="1531" t="s">
        <v>242</v>
      </c>
      <c r="B366" s="1531"/>
      <c r="C366" s="1531"/>
      <c r="D366" s="1531"/>
      <c r="E366" s="1531"/>
      <c r="F366" s="1531"/>
      <c r="G366" s="174"/>
      <c r="H366" s="1531" t="s">
        <v>17</v>
      </c>
      <c r="I366" s="1531"/>
      <c r="J366" s="174"/>
      <c r="K366" s="1531" t="s">
        <v>1436</v>
      </c>
      <c r="L366" s="1531"/>
      <c r="M366" s="1531"/>
      <c r="N366" s="912"/>
      <c r="O366" s="115"/>
      <c r="P366" s="115"/>
      <c r="Q366" s="116"/>
      <c r="R366" s="116"/>
      <c r="S366" s="117"/>
    </row>
    <row r="367" spans="1:19" s="146" customFormat="1" ht="18" customHeight="1">
      <c r="A367" s="1520" t="s">
        <v>422</v>
      </c>
      <c r="B367" s="1520"/>
      <c r="C367" s="1520"/>
      <c r="D367" s="1520"/>
      <c r="E367" s="1520"/>
      <c r="F367" s="1520"/>
      <c r="G367" s="177"/>
      <c r="H367" s="1520" t="s">
        <v>18</v>
      </c>
      <c r="I367" s="1520"/>
      <c r="J367" s="912"/>
      <c r="K367" s="1520" t="s">
        <v>14</v>
      </c>
      <c r="L367" s="1520"/>
      <c r="M367" s="1520"/>
      <c r="N367" s="913"/>
      <c r="O367" s="115"/>
      <c r="P367" s="115"/>
      <c r="Q367" s="116"/>
      <c r="R367" s="116"/>
      <c r="S367" s="117"/>
    </row>
    <row r="368" spans="1:19" ht="18" customHeight="1">
      <c r="A368" s="111"/>
      <c r="B368" s="111"/>
      <c r="C368" s="910"/>
      <c r="D368" s="910"/>
      <c r="E368" s="1540"/>
      <c r="F368" s="1540"/>
      <c r="G368" s="1540"/>
      <c r="H368" s="910"/>
      <c r="I368" s="910"/>
      <c r="J368" s="910"/>
      <c r="K368" s="1540"/>
      <c r="L368" s="1540"/>
      <c r="M368" s="1540"/>
      <c r="N368" s="910"/>
    </row>
    <row r="369" spans="1:23" ht="18" customHeight="1">
      <c r="A369" s="111"/>
      <c r="B369" s="111"/>
      <c r="C369" s="910"/>
      <c r="D369" s="910"/>
      <c r="E369" s="111"/>
      <c r="F369" s="111"/>
      <c r="G369" s="111"/>
      <c r="H369" s="111"/>
      <c r="I369" s="111"/>
      <c r="J369" s="111"/>
      <c r="K369" s="112"/>
      <c r="M369" s="113"/>
      <c r="N369" s="113"/>
    </row>
    <row r="370" spans="1:23" ht="18" customHeight="1">
      <c r="A370" s="111"/>
      <c r="B370" s="111"/>
      <c r="C370" s="910"/>
      <c r="D370" s="910"/>
      <c r="E370" s="111"/>
      <c r="F370" s="111"/>
      <c r="G370" s="111"/>
      <c r="H370" s="111"/>
      <c r="I370" s="111"/>
      <c r="J370" s="111"/>
      <c r="K370" s="112"/>
      <c r="M370" s="113"/>
      <c r="N370" s="113"/>
    </row>
    <row r="371" spans="1:23" ht="18" customHeight="1">
      <c r="A371" s="111"/>
      <c r="B371" s="111"/>
      <c r="C371" s="910"/>
      <c r="D371" s="910"/>
      <c r="E371" s="111"/>
      <c r="F371" s="111"/>
      <c r="G371" s="111"/>
      <c r="H371" s="111"/>
      <c r="I371" s="111"/>
      <c r="J371" s="111"/>
      <c r="K371" s="112"/>
      <c r="M371" s="113"/>
      <c r="N371" s="113"/>
    </row>
    <row r="372" spans="1:23" ht="18" customHeight="1">
      <c r="A372" s="111"/>
      <c r="B372" s="111"/>
      <c r="C372" s="910"/>
      <c r="D372" s="910"/>
      <c r="E372" s="111"/>
      <c r="F372" s="111"/>
      <c r="G372" s="111"/>
      <c r="H372" s="111"/>
      <c r="I372" s="111"/>
      <c r="J372" s="111"/>
      <c r="K372" s="112"/>
      <c r="M372" s="113"/>
      <c r="N372" s="113"/>
    </row>
    <row r="373" spans="1:23" ht="18" customHeight="1">
      <c r="A373" s="111"/>
      <c r="B373" s="111"/>
      <c r="C373" s="910"/>
      <c r="D373" s="910"/>
      <c r="E373" s="111"/>
      <c r="F373" s="111"/>
      <c r="G373" s="111"/>
      <c r="H373" s="111"/>
      <c r="I373" s="111"/>
      <c r="J373" s="111"/>
      <c r="K373" s="112"/>
      <c r="M373" s="113"/>
      <c r="N373" s="113"/>
    </row>
    <row r="374" spans="1:23" ht="18" customHeight="1">
      <c r="A374" s="111"/>
      <c r="B374" s="111"/>
      <c r="C374" s="910"/>
      <c r="D374" s="910"/>
      <c r="E374" s="111"/>
      <c r="F374" s="111"/>
      <c r="G374" s="111"/>
      <c r="H374" s="111"/>
      <c r="I374" s="111"/>
      <c r="J374" s="111"/>
      <c r="K374" s="112"/>
      <c r="M374" s="113"/>
      <c r="N374" s="113"/>
    </row>
    <row r="375" spans="1:23" s="115" customFormat="1" ht="18" customHeight="1">
      <c r="A375" s="111"/>
      <c r="B375" s="111"/>
      <c r="C375" s="910"/>
      <c r="D375" s="910"/>
      <c r="E375" s="111"/>
      <c r="F375" s="111"/>
      <c r="G375" s="111"/>
      <c r="H375" s="111"/>
      <c r="I375" s="111"/>
      <c r="J375" s="111"/>
      <c r="K375" s="112"/>
      <c r="L375" s="113"/>
      <c r="M375" s="113"/>
      <c r="N375" s="113"/>
      <c r="Q375" s="116"/>
      <c r="R375" s="116"/>
      <c r="S375" s="117"/>
      <c r="T375" s="118"/>
      <c r="U375" s="118"/>
      <c r="V375" s="118"/>
      <c r="W375" s="118"/>
    </row>
    <row r="376" spans="1:23" s="115" customFormat="1" ht="18" customHeight="1">
      <c r="A376" s="111"/>
      <c r="B376" s="111"/>
      <c r="C376" s="910"/>
      <c r="D376" s="910"/>
      <c r="E376" s="111"/>
      <c r="F376" s="111"/>
      <c r="G376" s="111"/>
      <c r="H376" s="111"/>
      <c r="I376" s="111"/>
      <c r="J376" s="111"/>
      <c r="K376" s="112"/>
      <c r="L376" s="113"/>
      <c r="M376" s="113"/>
      <c r="N376" s="113"/>
      <c r="Q376" s="116"/>
      <c r="R376" s="116"/>
      <c r="S376" s="117"/>
      <c r="T376" s="118"/>
      <c r="U376" s="118"/>
      <c r="V376" s="118"/>
      <c r="W376" s="118"/>
    </row>
    <row r="377" spans="1:23" s="115" customFormat="1" ht="18" customHeight="1">
      <c r="A377" s="111"/>
      <c r="B377" s="111"/>
      <c r="C377" s="910"/>
      <c r="D377" s="910"/>
      <c r="E377" s="111"/>
      <c r="F377" s="111"/>
      <c r="G377" s="111"/>
      <c r="H377" s="111"/>
      <c r="I377" s="111"/>
      <c r="J377" s="111"/>
      <c r="K377" s="112"/>
      <c r="L377" s="113"/>
      <c r="M377" s="113"/>
      <c r="N377" s="113"/>
      <c r="Q377" s="116"/>
      <c r="R377" s="116"/>
      <c r="S377" s="117"/>
      <c r="T377" s="118"/>
      <c r="U377" s="118"/>
      <c r="V377" s="118"/>
      <c r="W377" s="118"/>
    </row>
    <row r="378" spans="1:23" s="115" customFormat="1" ht="18" customHeight="1">
      <c r="A378" s="111"/>
      <c r="B378" s="111"/>
      <c r="C378" s="910"/>
      <c r="D378" s="910"/>
      <c r="E378" s="111"/>
      <c r="F378" s="111"/>
      <c r="G378" s="111"/>
      <c r="H378" s="111"/>
      <c r="I378" s="111"/>
      <c r="J378" s="111"/>
      <c r="K378" s="112"/>
      <c r="L378" s="113"/>
      <c r="M378" s="113"/>
      <c r="N378" s="113"/>
      <c r="Q378" s="116"/>
      <c r="R378" s="116"/>
      <c r="S378" s="117"/>
      <c r="T378" s="118"/>
      <c r="U378" s="118"/>
      <c r="V378" s="118"/>
      <c r="W378" s="118"/>
    </row>
    <row r="379" spans="1:23" s="115" customFormat="1" ht="18" customHeight="1">
      <c r="A379" s="111"/>
      <c r="B379" s="111"/>
      <c r="C379" s="910"/>
      <c r="D379" s="910"/>
      <c r="E379" s="111"/>
      <c r="F379" s="111"/>
      <c r="G379" s="111"/>
      <c r="H379" s="111"/>
      <c r="I379" s="111"/>
      <c r="J379" s="111"/>
      <c r="K379" s="112"/>
      <c r="L379" s="113"/>
      <c r="M379" s="113"/>
      <c r="N379" s="113"/>
      <c r="Q379" s="116"/>
      <c r="R379" s="116"/>
      <c r="S379" s="117"/>
      <c r="T379" s="118"/>
      <c r="U379" s="118"/>
      <c r="V379" s="118"/>
      <c r="W379" s="118"/>
    </row>
    <row r="380" spans="1:23" s="115" customFormat="1" ht="20.100000000000001" customHeight="1">
      <c r="A380" s="1448" t="s">
        <v>954</v>
      </c>
      <c r="B380" s="1448"/>
      <c r="C380" s="1448"/>
      <c r="D380" s="1448"/>
      <c r="E380" s="1448"/>
      <c r="F380" s="1448"/>
      <c r="G380" s="1448"/>
      <c r="H380" s="1448"/>
      <c r="I380" s="1448"/>
      <c r="J380" s="1448"/>
      <c r="K380" s="1448"/>
      <c r="L380" s="1448"/>
      <c r="M380" s="1448"/>
      <c r="N380" s="918"/>
      <c r="Q380" s="116"/>
      <c r="R380" s="116"/>
      <c r="S380" s="117"/>
      <c r="T380" s="118"/>
      <c r="U380" s="118"/>
      <c r="V380" s="118"/>
      <c r="W380" s="118"/>
    </row>
    <row r="381" spans="1:23" s="115" customFormat="1" ht="18" customHeight="1">
      <c r="A381" s="110"/>
      <c r="B381" s="110"/>
      <c r="C381" s="917"/>
      <c r="D381" s="917"/>
      <c r="E381" s="111"/>
      <c r="F381" s="111"/>
      <c r="G381" s="111"/>
      <c r="H381" s="111"/>
      <c r="I381" s="111"/>
      <c r="J381" s="111"/>
      <c r="K381" s="112"/>
      <c r="L381" s="113"/>
      <c r="M381" s="114"/>
      <c r="N381" s="114"/>
      <c r="Q381" s="116"/>
      <c r="R381" s="116"/>
      <c r="S381" s="117"/>
      <c r="T381" s="118"/>
      <c r="U381" s="118"/>
      <c r="V381" s="118"/>
      <c r="W381" s="118"/>
    </row>
    <row r="382" spans="1:23" s="115" customFormat="1" ht="18" customHeight="1">
      <c r="A382" s="1538" t="s">
        <v>1663</v>
      </c>
      <c r="B382" s="1538"/>
      <c r="C382" s="1538"/>
      <c r="D382" s="1538"/>
      <c r="E382" s="1538"/>
      <c r="F382" s="1538"/>
      <c r="G382" s="1538"/>
      <c r="H382" s="1538"/>
      <c r="I382" s="1538"/>
      <c r="J382" s="1538"/>
      <c r="K382" s="1538"/>
      <c r="L382" s="1538"/>
      <c r="M382" s="1538"/>
      <c r="N382" s="908"/>
      <c r="Q382" s="116"/>
      <c r="R382" s="116"/>
      <c r="S382" s="117"/>
      <c r="T382" s="118"/>
      <c r="U382" s="118"/>
      <c r="V382" s="118"/>
      <c r="W382" s="118"/>
    </row>
    <row r="383" spans="1:23" s="115" customFormat="1" ht="18" customHeight="1">
      <c r="A383" s="1539" t="s">
        <v>351</v>
      </c>
      <c r="B383" s="1539"/>
      <c r="C383" s="1539"/>
      <c r="D383" s="1539"/>
      <c r="E383" s="1539"/>
      <c r="F383" s="1539"/>
      <c r="G383" s="1539"/>
      <c r="H383" s="1539"/>
      <c r="I383" s="1539"/>
      <c r="J383" s="1539"/>
      <c r="K383" s="1539"/>
      <c r="L383" s="1539"/>
      <c r="M383" s="1539"/>
      <c r="N383" s="909"/>
      <c r="Q383" s="116"/>
      <c r="R383" s="116"/>
      <c r="S383" s="117"/>
      <c r="T383" s="118"/>
      <c r="U383" s="118"/>
      <c r="V383" s="118"/>
      <c r="W383" s="118"/>
    </row>
    <row r="384" spans="1:23" s="115" customFormat="1" ht="18" customHeight="1">
      <c r="A384" s="1540"/>
      <c r="B384" s="1540"/>
      <c r="C384" s="1540"/>
      <c r="D384" s="1540"/>
      <c r="E384" s="1540"/>
      <c r="F384" s="1540"/>
      <c r="G384" s="1540"/>
      <c r="H384" s="1540"/>
      <c r="I384" s="1540"/>
      <c r="J384" s="1540"/>
      <c r="K384" s="1540"/>
      <c r="L384" s="1540"/>
      <c r="M384" s="1540"/>
      <c r="N384" s="910"/>
      <c r="Q384" s="116"/>
      <c r="R384" s="116"/>
      <c r="S384" s="117"/>
      <c r="T384" s="118"/>
      <c r="U384" s="118"/>
      <c r="V384" s="118"/>
      <c r="W384" s="118"/>
    </row>
    <row r="385" spans="1:23" s="115" customFormat="1" ht="18" customHeight="1">
      <c r="A385" s="910"/>
      <c r="B385" s="910"/>
      <c r="C385" s="910"/>
      <c r="D385" s="910"/>
      <c r="E385" s="910"/>
      <c r="F385" s="910"/>
      <c r="G385" s="910"/>
      <c r="H385" s="910"/>
      <c r="I385" s="910"/>
      <c r="J385" s="910"/>
      <c r="K385" s="910"/>
      <c r="L385" s="910"/>
      <c r="M385" s="910"/>
      <c r="N385" s="910"/>
      <c r="Q385" s="116"/>
      <c r="R385" s="116"/>
      <c r="S385" s="117"/>
      <c r="T385" s="118"/>
      <c r="U385" s="118"/>
      <c r="V385" s="118"/>
      <c r="W385" s="118"/>
    </row>
    <row r="386" spans="1:23" s="115" customFormat="1" ht="18" customHeight="1">
      <c r="A386" s="111" t="s">
        <v>441</v>
      </c>
      <c r="B386" s="111"/>
      <c r="C386" s="111" t="s">
        <v>439</v>
      </c>
      <c r="D386" s="111" t="s">
        <v>451</v>
      </c>
      <c r="E386" s="111"/>
      <c r="F386" s="111"/>
      <c r="G386" s="111"/>
      <c r="H386" s="910"/>
      <c r="I386" s="910"/>
      <c r="J386" s="910"/>
      <c r="K386" s="910"/>
      <c r="L386" s="910"/>
      <c r="M386" s="910"/>
      <c r="N386" s="910"/>
      <c r="Q386" s="116"/>
      <c r="R386" s="116"/>
      <c r="S386" s="117"/>
      <c r="T386" s="118"/>
      <c r="U386" s="118"/>
      <c r="V386" s="118"/>
      <c r="W386" s="118"/>
    </row>
    <row r="387" spans="1:23" s="115" customFormat="1" ht="18" customHeight="1">
      <c r="A387" s="111" t="s">
        <v>449</v>
      </c>
      <c r="B387" s="111"/>
      <c r="C387" s="111" t="s">
        <v>439</v>
      </c>
      <c r="D387" s="111" t="s">
        <v>452</v>
      </c>
      <c r="E387" s="111"/>
      <c r="F387" s="111"/>
      <c r="G387" s="111"/>
      <c r="H387" s="910"/>
      <c r="I387" s="910"/>
      <c r="J387" s="910"/>
      <c r="K387" s="910"/>
      <c r="L387" s="910"/>
      <c r="M387" s="910"/>
      <c r="N387" s="910"/>
      <c r="O387" s="180"/>
      <c r="Q387" s="116"/>
      <c r="R387" s="116"/>
      <c r="S387" s="117"/>
      <c r="T387" s="118"/>
      <c r="U387" s="118"/>
      <c r="V387" s="118"/>
      <c r="W387" s="118"/>
    </row>
    <row r="388" spans="1:23" s="115" customFormat="1" ht="18" customHeight="1" thickBot="1">
      <c r="A388" s="111" t="s">
        <v>450</v>
      </c>
      <c r="B388" s="111"/>
      <c r="C388" s="111" t="s">
        <v>439</v>
      </c>
      <c r="D388" s="111" t="s">
        <v>453</v>
      </c>
      <c r="E388" s="111"/>
      <c r="F388" s="111"/>
      <c r="G388" s="111"/>
      <c r="H388" s="910"/>
      <c r="I388" s="910"/>
      <c r="J388" s="910"/>
      <c r="K388" s="910"/>
      <c r="L388" s="910"/>
      <c r="M388" s="910"/>
      <c r="N388" s="910"/>
      <c r="O388" s="180"/>
      <c r="Q388" s="116"/>
      <c r="R388" s="116"/>
      <c r="S388" s="117"/>
      <c r="T388" s="118"/>
      <c r="U388" s="118"/>
      <c r="V388" s="118"/>
      <c r="W388" s="118"/>
    </row>
    <row r="389" spans="1:23" ht="18" customHeight="1">
      <c r="A389" s="1532" t="s">
        <v>619</v>
      </c>
      <c r="B389" s="1533"/>
      <c r="C389" s="1533"/>
      <c r="D389" s="1533"/>
      <c r="E389" s="1534"/>
      <c r="F389" s="1533"/>
      <c r="G389" s="1535"/>
      <c r="H389" s="121"/>
      <c r="I389" s="1536" t="s">
        <v>623</v>
      </c>
      <c r="J389" s="1537"/>
      <c r="K389" s="1536" t="s">
        <v>623</v>
      </c>
      <c r="L389" s="1537"/>
      <c r="M389" s="122"/>
      <c r="N389" s="876"/>
      <c r="O389" s="180"/>
    </row>
    <row r="390" spans="1:23" ht="18" customHeight="1">
      <c r="A390" s="123" t="s">
        <v>620</v>
      </c>
      <c r="B390" s="1544" t="s">
        <v>621</v>
      </c>
      <c r="C390" s="1545"/>
      <c r="D390" s="1546"/>
      <c r="E390" s="1547" t="s">
        <v>43</v>
      </c>
      <c r="F390" s="1548"/>
      <c r="G390" s="1549"/>
      <c r="H390" s="914" t="s">
        <v>44</v>
      </c>
      <c r="I390" s="1547" t="s">
        <v>1613</v>
      </c>
      <c r="J390" s="1549"/>
      <c r="K390" s="1548" t="s">
        <v>1660</v>
      </c>
      <c r="L390" s="1549"/>
      <c r="M390" s="124" t="s">
        <v>45</v>
      </c>
      <c r="N390" s="877"/>
    </row>
    <row r="391" spans="1:23" ht="18" customHeight="1">
      <c r="A391" s="125"/>
      <c r="B391" s="914"/>
      <c r="C391" s="915"/>
      <c r="D391" s="915"/>
      <c r="E391" s="914"/>
      <c r="F391" s="915"/>
      <c r="G391" s="916"/>
      <c r="H391" s="914" t="s">
        <v>46</v>
      </c>
      <c r="I391" s="1550"/>
      <c r="J391" s="1551"/>
      <c r="K391" s="1550"/>
      <c r="L391" s="1551"/>
      <c r="M391" s="124" t="s">
        <v>47</v>
      </c>
      <c r="N391" s="877"/>
    </row>
    <row r="392" spans="1:23" ht="18" customHeight="1">
      <c r="A392" s="125"/>
      <c r="B392" s="914"/>
      <c r="C392" s="915"/>
      <c r="D392" s="915"/>
      <c r="E392" s="914"/>
      <c r="F392" s="915"/>
      <c r="G392" s="126"/>
      <c r="H392" s="127"/>
      <c r="I392" s="128" t="s">
        <v>622</v>
      </c>
      <c r="J392" s="129" t="s">
        <v>48</v>
      </c>
      <c r="K392" s="128" t="s">
        <v>622</v>
      </c>
      <c r="L392" s="129" t="s">
        <v>48</v>
      </c>
      <c r="M392" s="124"/>
      <c r="N392" s="120"/>
    </row>
    <row r="393" spans="1:23" ht="18" customHeight="1" thickBot="1">
      <c r="A393" s="130"/>
      <c r="B393" s="1541"/>
      <c r="C393" s="1542"/>
      <c r="D393" s="1543"/>
      <c r="E393" s="1541"/>
      <c r="F393" s="1542"/>
      <c r="G393" s="1543"/>
      <c r="H393" s="131"/>
      <c r="I393" s="131"/>
      <c r="J393" s="131"/>
      <c r="K393" s="131"/>
      <c r="L393" s="131"/>
      <c r="M393" s="132"/>
      <c r="N393" s="883"/>
    </row>
    <row r="394" spans="1:23" ht="18" customHeight="1">
      <c r="A394" s="181"/>
      <c r="B394" s="119"/>
      <c r="C394" s="119"/>
      <c r="D394" s="119"/>
      <c r="E394" s="133"/>
      <c r="F394" s="119"/>
      <c r="G394" s="134"/>
      <c r="H394" s="135"/>
      <c r="I394" s="182"/>
      <c r="J394" s="137"/>
      <c r="K394" s="182"/>
      <c r="L394" s="137"/>
      <c r="M394" s="137"/>
      <c r="N394" s="880"/>
    </row>
    <row r="395" spans="1:23" s="146" customFormat="1" ht="18" customHeight="1">
      <c r="A395" s="183">
        <v>1</v>
      </c>
      <c r="B395" s="920"/>
      <c r="C395" s="920"/>
      <c r="D395" s="920"/>
      <c r="E395" s="154" t="s">
        <v>76</v>
      </c>
      <c r="F395" s="920"/>
      <c r="G395" s="140"/>
      <c r="H395" s="141" t="s">
        <v>23</v>
      </c>
      <c r="I395" s="184" t="s">
        <v>77</v>
      </c>
      <c r="J395" s="143">
        <v>1010004</v>
      </c>
      <c r="K395" s="184" t="s">
        <v>77</v>
      </c>
      <c r="L395" s="143">
        <v>1029060</v>
      </c>
      <c r="M395" s="144">
        <f>L395-J395</f>
        <v>19056</v>
      </c>
      <c r="N395" s="879"/>
      <c r="O395" s="115">
        <f>M395+L395</f>
        <v>1048116</v>
      </c>
      <c r="P395" s="115"/>
      <c r="Q395" s="116"/>
      <c r="R395" s="116"/>
      <c r="S395" s="145"/>
    </row>
    <row r="396" spans="1:23" s="146" customFormat="1" ht="18" customHeight="1">
      <c r="A396" s="183"/>
      <c r="B396" s="920"/>
      <c r="C396" s="920"/>
      <c r="D396" s="920"/>
      <c r="E396" s="154" t="s">
        <v>876</v>
      </c>
      <c r="F396" s="920"/>
      <c r="G396" s="140"/>
      <c r="H396" s="141"/>
      <c r="I396" s="184"/>
      <c r="J396" s="143"/>
      <c r="K396" s="184"/>
      <c r="L396" s="143"/>
      <c r="M396" s="143"/>
      <c r="N396" s="170"/>
      <c r="O396" s="115"/>
      <c r="P396" s="115"/>
      <c r="Q396" s="116"/>
      <c r="R396" s="116"/>
      <c r="S396" s="117"/>
    </row>
    <row r="397" spans="1:23" s="146" customFormat="1" ht="18" customHeight="1">
      <c r="A397" s="183"/>
      <c r="B397" s="920"/>
      <c r="C397" s="920"/>
      <c r="D397" s="920"/>
      <c r="E397" s="154"/>
      <c r="F397" s="920"/>
      <c r="G397" s="140"/>
      <c r="H397" s="141"/>
      <c r="I397" s="184"/>
      <c r="J397" s="143"/>
      <c r="K397" s="184"/>
      <c r="L397" s="143"/>
      <c r="M397" s="143"/>
      <c r="N397" s="170"/>
      <c r="O397" s="115"/>
      <c r="P397" s="115"/>
      <c r="Q397" s="116"/>
      <c r="R397" s="116"/>
      <c r="S397" s="117"/>
    </row>
    <row r="398" spans="1:23" s="146" customFormat="1" ht="18" customHeight="1">
      <c r="A398" s="183"/>
      <c r="B398" s="920"/>
      <c r="C398" s="920"/>
      <c r="D398" s="920"/>
      <c r="E398" s="154"/>
      <c r="F398" s="920"/>
      <c r="G398" s="140"/>
      <c r="H398" s="141"/>
      <c r="I398" s="185"/>
      <c r="J398" s="149"/>
      <c r="K398" s="185"/>
      <c r="L398" s="149"/>
      <c r="M398" s="143"/>
      <c r="N398" s="170"/>
      <c r="O398" s="115"/>
      <c r="P398" s="115"/>
      <c r="Q398" s="116"/>
      <c r="R398" s="116"/>
      <c r="S398" s="117"/>
    </row>
    <row r="399" spans="1:23" s="146" customFormat="1" ht="18" customHeight="1">
      <c r="A399" s="183">
        <v>2</v>
      </c>
      <c r="B399" s="920"/>
      <c r="C399" s="920"/>
      <c r="D399" s="920"/>
      <c r="E399" s="154" t="s">
        <v>81</v>
      </c>
      <c r="F399" s="920"/>
      <c r="G399" s="140"/>
      <c r="H399" s="141" t="s">
        <v>85</v>
      </c>
      <c r="I399" s="184" t="s">
        <v>383</v>
      </c>
      <c r="J399" s="143">
        <v>195540</v>
      </c>
      <c r="K399" s="184" t="s">
        <v>383</v>
      </c>
      <c r="L399" s="143">
        <v>203220</v>
      </c>
      <c r="M399" s="144">
        <f>L399-J399</f>
        <v>7680</v>
      </c>
      <c r="N399" s="879"/>
      <c r="O399" s="115">
        <f>L400+M399+M400</f>
        <v>213960</v>
      </c>
      <c r="P399" s="115"/>
      <c r="Q399" s="116"/>
      <c r="R399" s="116"/>
      <c r="S399" s="145"/>
    </row>
    <row r="400" spans="1:23" s="146" customFormat="1" ht="18" customHeight="1">
      <c r="A400" s="183"/>
      <c r="B400" s="920"/>
      <c r="C400" s="920"/>
      <c r="D400" s="920"/>
      <c r="E400" s="154" t="s">
        <v>83</v>
      </c>
      <c r="F400" s="920"/>
      <c r="G400" s="140"/>
      <c r="H400" s="141"/>
      <c r="I400" s="184"/>
      <c r="J400" s="143"/>
      <c r="K400" s="184" t="s">
        <v>1634</v>
      </c>
      <c r="L400" s="143">
        <v>205056</v>
      </c>
      <c r="M400" s="144">
        <v>1224</v>
      </c>
      <c r="N400" s="879">
        <f>(L400-L399)*8/12</f>
        <v>1224</v>
      </c>
      <c r="O400" s="115"/>
      <c r="P400" s="115"/>
      <c r="Q400" s="116"/>
      <c r="R400" s="116"/>
      <c r="S400" s="117"/>
    </row>
    <row r="401" spans="1:19" s="146" customFormat="1" ht="18" customHeight="1">
      <c r="A401" s="183"/>
      <c r="B401" s="957"/>
      <c r="C401" s="957"/>
      <c r="D401" s="957"/>
      <c r="E401" s="154"/>
      <c r="F401" s="957"/>
      <c r="G401" s="140"/>
      <c r="H401" s="141"/>
      <c r="I401" s="184"/>
      <c r="J401" s="143"/>
      <c r="K401" s="184"/>
      <c r="L401" s="149">
        <v>45062</v>
      </c>
      <c r="M401" s="144"/>
      <c r="N401" s="879"/>
      <c r="O401" s="115"/>
      <c r="P401" s="115"/>
      <c r="Q401" s="116"/>
      <c r="R401" s="116"/>
      <c r="S401" s="117"/>
    </row>
    <row r="402" spans="1:19" s="146" customFormat="1" ht="18" customHeight="1">
      <c r="A402" s="183"/>
      <c r="B402" s="957"/>
      <c r="C402" s="957"/>
      <c r="D402" s="957"/>
      <c r="E402" s="154"/>
      <c r="F402" s="957"/>
      <c r="G402" s="140"/>
      <c r="H402" s="141"/>
      <c r="I402" s="184"/>
      <c r="J402" s="143"/>
      <c r="K402" s="184"/>
      <c r="L402" s="143"/>
      <c r="M402" s="144"/>
      <c r="N402" s="879"/>
      <c r="O402" s="115"/>
      <c r="P402" s="115"/>
      <c r="Q402" s="116"/>
      <c r="R402" s="116"/>
      <c r="S402" s="117"/>
    </row>
    <row r="403" spans="1:19" s="146" customFormat="1" ht="18" customHeight="1">
      <c r="A403" s="183"/>
      <c r="B403" s="920"/>
      <c r="C403" s="920"/>
      <c r="D403" s="920"/>
      <c r="E403" s="154"/>
      <c r="F403" s="920"/>
      <c r="G403" s="140"/>
      <c r="H403" s="141"/>
      <c r="I403" s="184"/>
      <c r="J403" s="143"/>
      <c r="K403" s="184"/>
      <c r="L403" s="143"/>
      <c r="M403" s="144"/>
      <c r="N403" s="879"/>
      <c r="O403" s="115"/>
      <c r="P403" s="115"/>
      <c r="Q403" s="116"/>
      <c r="R403" s="116"/>
      <c r="S403" s="117"/>
    </row>
    <row r="404" spans="1:19" s="146" customFormat="1" ht="18" customHeight="1">
      <c r="A404" s="183"/>
      <c r="B404" s="920"/>
      <c r="C404" s="920"/>
      <c r="D404" s="920"/>
      <c r="E404" s="154"/>
      <c r="F404" s="920"/>
      <c r="G404" s="140"/>
      <c r="H404" s="141"/>
      <c r="I404" s="185"/>
      <c r="J404" s="149"/>
      <c r="K404" s="185"/>
      <c r="L404" s="149"/>
      <c r="M404" s="143"/>
      <c r="N404" s="170"/>
      <c r="O404" s="115"/>
      <c r="P404" s="115"/>
      <c r="Q404" s="116"/>
      <c r="R404" s="116"/>
      <c r="S404" s="117"/>
    </row>
    <row r="405" spans="1:19" s="146" customFormat="1" ht="18" customHeight="1">
      <c r="A405" s="183">
        <v>3</v>
      </c>
      <c r="B405" s="920"/>
      <c r="C405" s="920"/>
      <c r="D405" s="920"/>
      <c r="E405" s="154" t="s">
        <v>84</v>
      </c>
      <c r="F405" s="920"/>
      <c r="G405" s="140"/>
      <c r="H405" s="141" t="s">
        <v>278</v>
      </c>
      <c r="I405" s="184" t="s">
        <v>107</v>
      </c>
      <c r="J405" s="143">
        <v>154116</v>
      </c>
      <c r="K405" s="184" t="s">
        <v>107</v>
      </c>
      <c r="L405" s="143">
        <v>160200</v>
      </c>
      <c r="M405" s="144">
        <f>L405-J405</f>
        <v>6084</v>
      </c>
      <c r="N405" s="879"/>
      <c r="O405" s="115">
        <f>L406+M405+M406</f>
        <v>168241</v>
      </c>
      <c r="P405" s="115"/>
      <c r="Q405" s="116"/>
      <c r="R405" s="116"/>
      <c r="S405" s="145"/>
    </row>
    <row r="406" spans="1:19" s="146" customFormat="1" ht="18" customHeight="1">
      <c r="A406" s="183"/>
      <c r="B406" s="920"/>
      <c r="C406" s="920"/>
      <c r="D406" s="920"/>
      <c r="E406" s="919"/>
      <c r="F406" s="920"/>
      <c r="G406" s="140"/>
      <c r="H406" s="141"/>
      <c r="I406" s="185"/>
      <c r="J406" s="149"/>
      <c r="K406" s="184" t="s">
        <v>239</v>
      </c>
      <c r="L406" s="143">
        <v>161436</v>
      </c>
      <c r="M406" s="143">
        <v>721</v>
      </c>
      <c r="N406" s="879">
        <f>(L406-L405)*7/12</f>
        <v>721</v>
      </c>
      <c r="O406" s="115"/>
      <c r="P406" s="115"/>
      <c r="Q406" s="116"/>
      <c r="R406" s="116"/>
      <c r="S406" s="117"/>
    </row>
    <row r="407" spans="1:19" s="146" customFormat="1" ht="18" customHeight="1">
      <c r="A407" s="183"/>
      <c r="B407" s="920"/>
      <c r="C407" s="920"/>
      <c r="D407" s="920"/>
      <c r="E407" s="919"/>
      <c r="F407" s="920"/>
      <c r="G407" s="140"/>
      <c r="H407" s="141"/>
      <c r="I407" s="185"/>
      <c r="J407" s="143"/>
      <c r="K407" s="185"/>
      <c r="L407" s="149">
        <v>45078</v>
      </c>
      <c r="M407" s="143"/>
      <c r="N407" s="170"/>
      <c r="O407" s="115"/>
      <c r="P407" s="115"/>
      <c r="Q407" s="116"/>
      <c r="R407" s="116"/>
      <c r="S407" s="117"/>
    </row>
    <row r="408" spans="1:19" s="146" customFormat="1" ht="18" customHeight="1">
      <c r="A408" s="183"/>
      <c r="B408" s="920"/>
      <c r="C408" s="920"/>
      <c r="D408" s="920"/>
      <c r="E408" s="919"/>
      <c r="F408" s="920"/>
      <c r="G408" s="140"/>
      <c r="H408" s="141"/>
      <c r="I408" s="142"/>
      <c r="J408" s="143"/>
      <c r="K408" s="142"/>
      <c r="L408" s="143"/>
      <c r="M408" s="143"/>
      <c r="N408" s="170"/>
      <c r="O408" s="115"/>
      <c r="P408" s="115"/>
      <c r="Q408" s="116"/>
      <c r="R408" s="116"/>
      <c r="S408" s="117"/>
    </row>
    <row r="409" spans="1:19" s="146" customFormat="1" ht="18" customHeight="1">
      <c r="A409" s="183"/>
      <c r="B409" s="920"/>
      <c r="C409" s="920"/>
      <c r="D409" s="920"/>
      <c r="E409" s="919"/>
      <c r="F409" s="920"/>
      <c r="G409" s="140"/>
      <c r="H409" s="141"/>
      <c r="I409" s="142"/>
      <c r="J409" s="143"/>
      <c r="K409" s="142"/>
      <c r="L409" s="143"/>
      <c r="M409" s="143"/>
      <c r="N409" s="170"/>
      <c r="O409" s="115"/>
      <c r="P409" s="115"/>
      <c r="Q409" s="116"/>
      <c r="R409" s="116"/>
      <c r="S409" s="117"/>
    </row>
    <row r="410" spans="1:19" s="146" customFormat="1" ht="18" customHeight="1">
      <c r="A410" s="183"/>
      <c r="B410" s="920"/>
      <c r="C410" s="920"/>
      <c r="D410" s="920"/>
      <c r="E410" s="919"/>
      <c r="F410" s="920"/>
      <c r="G410" s="140"/>
      <c r="H410" s="141"/>
      <c r="I410" s="142"/>
      <c r="J410" s="143"/>
      <c r="K410" s="142"/>
      <c r="L410" s="143"/>
      <c r="M410" s="143"/>
      <c r="N410" s="170"/>
      <c r="O410" s="115"/>
      <c r="P410" s="115"/>
      <c r="Q410" s="116"/>
      <c r="R410" s="116"/>
      <c r="S410" s="117"/>
    </row>
    <row r="411" spans="1:19" s="146" customFormat="1" ht="18" customHeight="1">
      <c r="A411" s="183"/>
      <c r="B411" s="920"/>
      <c r="C411" s="920"/>
      <c r="D411" s="920"/>
      <c r="E411" s="919"/>
      <c r="F411" s="920"/>
      <c r="G411" s="140"/>
      <c r="H411" s="141"/>
      <c r="I411" s="142"/>
      <c r="J411" s="143"/>
      <c r="K411" s="142"/>
      <c r="L411" s="143"/>
      <c r="M411" s="143"/>
      <c r="N411" s="170"/>
      <c r="O411" s="115"/>
      <c r="P411" s="115"/>
      <c r="Q411" s="116"/>
      <c r="R411" s="116"/>
      <c r="S411" s="117"/>
    </row>
    <row r="412" spans="1:19" s="146" customFormat="1" ht="18" customHeight="1">
      <c r="A412" s="183"/>
      <c r="B412" s="920"/>
      <c r="C412" s="920"/>
      <c r="D412" s="920"/>
      <c r="E412" s="919"/>
      <c r="F412" s="920"/>
      <c r="G412" s="140"/>
      <c r="H412" s="141"/>
      <c r="I412" s="142"/>
      <c r="J412" s="143"/>
      <c r="K412" s="142"/>
      <c r="L412" s="143"/>
      <c r="M412" s="143"/>
      <c r="N412" s="170"/>
      <c r="O412" s="115"/>
      <c r="P412" s="115"/>
      <c r="Q412" s="116"/>
      <c r="R412" s="116"/>
      <c r="S412" s="117"/>
    </row>
    <row r="413" spans="1:19" s="146" customFormat="1" ht="18" customHeight="1">
      <c r="A413" s="183"/>
      <c r="B413" s="920"/>
      <c r="C413" s="920"/>
      <c r="D413" s="920"/>
      <c r="E413" s="919"/>
      <c r="F413" s="920"/>
      <c r="G413" s="140"/>
      <c r="H413" s="141"/>
      <c r="I413" s="142"/>
      <c r="J413" s="143"/>
      <c r="K413" s="142"/>
      <c r="L413" s="143"/>
      <c r="M413" s="143"/>
      <c r="N413" s="170"/>
      <c r="O413" s="115"/>
      <c r="P413" s="115"/>
      <c r="Q413" s="116"/>
      <c r="R413" s="116"/>
      <c r="S413" s="117"/>
    </row>
    <row r="414" spans="1:19" s="146" customFormat="1" ht="18" customHeight="1">
      <c r="A414" s="183"/>
      <c r="B414" s="920"/>
      <c r="C414" s="920"/>
      <c r="D414" s="920"/>
      <c r="E414" s="919"/>
      <c r="F414" s="920"/>
      <c r="G414" s="140"/>
      <c r="H414" s="141"/>
      <c r="I414" s="142"/>
      <c r="J414" s="143"/>
      <c r="K414" s="142"/>
      <c r="L414" s="143"/>
      <c r="M414" s="143"/>
      <c r="N414" s="170"/>
      <c r="O414" s="115"/>
      <c r="P414" s="115"/>
      <c r="Q414" s="116"/>
      <c r="R414" s="116"/>
      <c r="S414" s="117"/>
    </row>
    <row r="415" spans="1:19" s="146" customFormat="1" ht="18" customHeight="1">
      <c r="A415" s="183"/>
      <c r="B415" s="920"/>
      <c r="C415" s="920"/>
      <c r="D415" s="920"/>
      <c r="E415" s="919"/>
      <c r="F415" s="920"/>
      <c r="G415" s="140"/>
      <c r="H415" s="141"/>
      <c r="I415" s="142"/>
      <c r="J415" s="143"/>
      <c r="K415" s="142"/>
      <c r="L415" s="143"/>
      <c r="M415" s="143"/>
      <c r="N415" s="170"/>
      <c r="O415" s="115"/>
      <c r="P415" s="115"/>
      <c r="Q415" s="116"/>
      <c r="R415" s="116"/>
      <c r="S415" s="117"/>
    </row>
    <row r="416" spans="1:19" s="146" customFormat="1" ht="18" customHeight="1">
      <c r="A416" s="183"/>
      <c r="B416" s="920"/>
      <c r="C416" s="920"/>
      <c r="D416" s="920"/>
      <c r="E416" s="919"/>
      <c r="F416" s="920"/>
      <c r="G416" s="140"/>
      <c r="H416" s="141"/>
      <c r="I416" s="142"/>
      <c r="J416" s="143"/>
      <c r="K416" s="142"/>
      <c r="L416" s="143"/>
      <c r="M416" s="143"/>
      <c r="N416" s="170"/>
      <c r="O416" s="115"/>
      <c r="P416" s="115"/>
      <c r="Q416" s="116"/>
      <c r="R416" s="116"/>
      <c r="S416" s="117"/>
    </row>
    <row r="417" spans="1:19" s="146" customFormat="1" ht="18" customHeight="1">
      <c r="A417" s="183"/>
      <c r="B417" s="920"/>
      <c r="C417" s="920"/>
      <c r="D417" s="920"/>
      <c r="E417" s="919"/>
      <c r="F417" s="920"/>
      <c r="G417" s="140"/>
      <c r="H417" s="141"/>
      <c r="I417" s="142"/>
      <c r="J417" s="143"/>
      <c r="K417" s="142"/>
      <c r="L417" s="143"/>
      <c r="M417" s="143"/>
      <c r="N417" s="170"/>
      <c r="O417" s="115"/>
      <c r="P417" s="115"/>
      <c r="Q417" s="116"/>
      <c r="R417" s="116"/>
      <c r="S417" s="117"/>
    </row>
    <row r="418" spans="1:19" s="146" customFormat="1" ht="18" customHeight="1">
      <c r="A418" s="183"/>
      <c r="B418" s="920"/>
      <c r="C418" s="920"/>
      <c r="D418" s="920"/>
      <c r="E418" s="919"/>
      <c r="F418" s="920"/>
      <c r="G418" s="140"/>
      <c r="H418" s="141"/>
      <c r="I418" s="142"/>
      <c r="J418" s="143"/>
      <c r="K418" s="142"/>
      <c r="L418" s="143"/>
      <c r="M418" s="143"/>
      <c r="N418" s="170"/>
      <c r="O418" s="115"/>
      <c r="P418" s="115"/>
      <c r="Q418" s="116"/>
      <c r="R418" s="116"/>
      <c r="S418" s="117"/>
    </row>
    <row r="419" spans="1:19" s="146" customFormat="1" ht="18" customHeight="1">
      <c r="A419" s="183"/>
      <c r="B419" s="920"/>
      <c r="C419" s="920"/>
      <c r="D419" s="920"/>
      <c r="E419" s="919"/>
      <c r="F419" s="920"/>
      <c r="G419" s="140"/>
      <c r="H419" s="141"/>
      <c r="I419" s="142"/>
      <c r="J419" s="143"/>
      <c r="K419" s="142"/>
      <c r="L419" s="143"/>
      <c r="M419" s="143"/>
      <c r="N419" s="170"/>
      <c r="O419" s="115"/>
      <c r="P419" s="115"/>
      <c r="Q419" s="116"/>
      <c r="R419" s="116"/>
      <c r="S419" s="117"/>
    </row>
    <row r="420" spans="1:19" s="146" customFormat="1" ht="18" customHeight="1">
      <c r="A420" s="183"/>
      <c r="B420" s="920"/>
      <c r="C420" s="920"/>
      <c r="D420" s="920"/>
      <c r="E420" s="919"/>
      <c r="F420" s="920"/>
      <c r="G420" s="140"/>
      <c r="H420" s="141"/>
      <c r="I420" s="142"/>
      <c r="J420" s="143"/>
      <c r="K420" s="142"/>
      <c r="L420" s="143"/>
      <c r="M420" s="143"/>
      <c r="N420" s="170"/>
      <c r="O420" s="115"/>
      <c r="P420" s="115"/>
      <c r="Q420" s="116"/>
      <c r="R420" s="116"/>
      <c r="S420" s="117"/>
    </row>
    <row r="421" spans="1:19" s="146" customFormat="1" ht="18" customHeight="1">
      <c r="A421" s="183"/>
      <c r="B421" s="920"/>
      <c r="C421" s="920"/>
      <c r="D421" s="920"/>
      <c r="E421" s="919"/>
      <c r="F421" s="920"/>
      <c r="G421" s="140"/>
      <c r="H421" s="141"/>
      <c r="I421" s="142"/>
      <c r="J421" s="143"/>
      <c r="K421" s="142"/>
      <c r="L421" s="143"/>
      <c r="M421" s="143"/>
      <c r="N421" s="170"/>
      <c r="O421" s="115"/>
      <c r="P421" s="115"/>
      <c r="Q421" s="116"/>
      <c r="R421" s="116"/>
      <c r="S421" s="117"/>
    </row>
    <row r="422" spans="1:19" s="146" customFormat="1" ht="18" customHeight="1">
      <c r="A422" s="183"/>
      <c r="B422" s="920"/>
      <c r="C422" s="920"/>
      <c r="D422" s="920"/>
      <c r="E422" s="919"/>
      <c r="F422" s="920"/>
      <c r="G422" s="140"/>
      <c r="H422" s="141"/>
      <c r="I422" s="142"/>
      <c r="J422" s="143"/>
      <c r="K422" s="142"/>
      <c r="L422" s="143"/>
      <c r="M422" s="143"/>
      <c r="N422" s="170"/>
      <c r="O422" s="115"/>
      <c r="P422" s="115"/>
      <c r="Q422" s="116"/>
      <c r="R422" s="116"/>
      <c r="S422" s="117"/>
    </row>
    <row r="423" spans="1:19" s="146" customFormat="1" ht="18" customHeight="1">
      <c r="A423" s="141"/>
      <c r="B423" s="155"/>
      <c r="C423" s="920"/>
      <c r="D423" s="920"/>
      <c r="E423" s="154"/>
      <c r="F423" s="155"/>
      <c r="G423" s="140"/>
      <c r="H423" s="141"/>
      <c r="I423" s="142"/>
      <c r="J423" s="143"/>
      <c r="K423" s="142"/>
      <c r="L423" s="143"/>
      <c r="M423" s="143"/>
      <c r="N423" s="170"/>
      <c r="O423" s="115"/>
      <c r="P423" s="115"/>
      <c r="Q423" s="116"/>
      <c r="R423" s="116"/>
      <c r="S423" s="117"/>
    </row>
    <row r="424" spans="1:19" s="146" customFormat="1" ht="18" customHeight="1">
      <c r="A424" s="141"/>
      <c r="B424" s="155"/>
      <c r="C424" s="920"/>
      <c r="D424" s="920"/>
      <c r="E424" s="154"/>
      <c r="F424" s="155"/>
      <c r="G424" s="140"/>
      <c r="H424" s="141"/>
      <c r="I424" s="142"/>
      <c r="J424" s="143"/>
      <c r="K424" s="142"/>
      <c r="L424" s="143"/>
      <c r="M424" s="143"/>
      <c r="N424" s="170"/>
      <c r="O424" s="115"/>
      <c r="P424" s="115"/>
      <c r="Q424" s="116"/>
      <c r="R424" s="116"/>
      <c r="S424" s="117"/>
    </row>
    <row r="425" spans="1:19" s="146" customFormat="1" ht="18" customHeight="1">
      <c r="A425" s="141"/>
      <c r="B425" s="155"/>
      <c r="C425" s="920"/>
      <c r="D425" s="920"/>
      <c r="E425" s="154"/>
      <c r="F425" s="155"/>
      <c r="G425" s="140"/>
      <c r="H425" s="141"/>
      <c r="I425" s="142"/>
      <c r="J425" s="143"/>
      <c r="K425" s="142"/>
      <c r="L425" s="143"/>
      <c r="M425" s="143"/>
      <c r="N425" s="170"/>
      <c r="O425" s="115"/>
      <c r="P425" s="115"/>
      <c r="Q425" s="116"/>
      <c r="R425" s="116"/>
      <c r="S425" s="117"/>
    </row>
    <row r="426" spans="1:19" s="146" customFormat="1" ht="18" customHeight="1">
      <c r="A426" s="141"/>
      <c r="B426" s="155"/>
      <c r="C426" s="920"/>
      <c r="D426" s="920"/>
      <c r="E426" s="154"/>
      <c r="F426" s="155"/>
      <c r="G426" s="140"/>
      <c r="H426" s="141"/>
      <c r="I426" s="142"/>
      <c r="J426" s="143"/>
      <c r="K426" s="142"/>
      <c r="L426" s="143"/>
      <c r="M426" s="143"/>
      <c r="N426" s="170"/>
      <c r="O426" s="115"/>
      <c r="P426" s="115"/>
      <c r="Q426" s="116"/>
      <c r="R426" s="116"/>
      <c r="S426" s="117"/>
    </row>
    <row r="427" spans="1:19" s="146" customFormat="1" ht="18" customHeight="1">
      <c r="A427" s="141"/>
      <c r="B427" s="155"/>
      <c r="C427" s="920"/>
      <c r="D427" s="920"/>
      <c r="E427" s="154"/>
      <c r="F427" s="155"/>
      <c r="G427" s="140"/>
      <c r="H427" s="141"/>
      <c r="I427" s="142"/>
      <c r="J427" s="143"/>
      <c r="K427" s="142"/>
      <c r="L427" s="143"/>
      <c r="M427" s="143"/>
      <c r="N427" s="170"/>
      <c r="O427" s="115"/>
      <c r="P427" s="115"/>
      <c r="Q427" s="116"/>
      <c r="R427" s="116"/>
      <c r="S427" s="117"/>
    </row>
    <row r="428" spans="1:19" s="146" customFormat="1" ht="18" customHeight="1">
      <c r="A428" s="141"/>
      <c r="B428" s="155"/>
      <c r="C428" s="920"/>
      <c r="D428" s="920"/>
      <c r="E428" s="154"/>
      <c r="F428" s="155"/>
      <c r="G428" s="140"/>
      <c r="H428" s="141"/>
      <c r="I428" s="210"/>
      <c r="J428" s="143"/>
      <c r="K428" s="210"/>
      <c r="L428" s="143"/>
      <c r="M428" s="143"/>
      <c r="N428" s="170"/>
      <c r="O428" s="115"/>
      <c r="P428" s="115"/>
      <c r="Q428" s="116"/>
      <c r="R428" s="116"/>
      <c r="S428" s="117"/>
    </row>
    <row r="429" spans="1:19" s="146" customFormat="1" ht="18" customHeight="1">
      <c r="A429" s="141"/>
      <c r="B429" s="155"/>
      <c r="C429" s="920"/>
      <c r="D429" s="920"/>
      <c r="E429" s="154"/>
      <c r="F429" s="155"/>
      <c r="G429" s="140"/>
      <c r="H429" s="141"/>
      <c r="I429" s="210"/>
      <c r="J429" s="143"/>
      <c r="K429" s="210"/>
      <c r="L429" s="143"/>
      <c r="M429" s="143"/>
      <c r="N429" s="170"/>
      <c r="O429" s="115"/>
      <c r="P429" s="115"/>
      <c r="Q429" s="116"/>
      <c r="R429" s="116"/>
      <c r="S429" s="117"/>
    </row>
    <row r="430" spans="1:19" s="146" customFormat="1" ht="18" customHeight="1">
      <c r="A430" s="141"/>
      <c r="B430" s="155"/>
      <c r="C430" s="920"/>
      <c r="D430" s="920"/>
      <c r="E430" s="154"/>
      <c r="F430" s="155"/>
      <c r="G430" s="140"/>
      <c r="H430" s="141"/>
      <c r="I430" s="210"/>
      <c r="J430" s="143"/>
      <c r="K430" s="210"/>
      <c r="L430" s="143"/>
      <c r="M430" s="143"/>
      <c r="N430" s="170"/>
      <c r="O430" s="115"/>
      <c r="P430" s="115"/>
      <c r="Q430" s="116"/>
      <c r="R430" s="116"/>
      <c r="S430" s="117"/>
    </row>
    <row r="431" spans="1:19" s="146" customFormat="1" ht="18" customHeight="1">
      <c r="A431" s="141"/>
      <c r="B431" s="155"/>
      <c r="C431" s="920"/>
      <c r="D431" s="920"/>
      <c r="E431" s="154"/>
      <c r="F431" s="155"/>
      <c r="G431" s="140"/>
      <c r="H431" s="141"/>
      <c r="I431" s="210"/>
      <c r="J431" s="143"/>
      <c r="K431" s="210"/>
      <c r="L431" s="143"/>
      <c r="M431" s="143"/>
      <c r="N431" s="170"/>
      <c r="O431" s="115"/>
      <c r="P431" s="115"/>
      <c r="Q431" s="116"/>
      <c r="R431" s="116"/>
      <c r="S431" s="117"/>
    </row>
    <row r="432" spans="1:19" s="146" customFormat="1" ht="18" customHeight="1">
      <c r="A432" s="141"/>
      <c r="B432" s="155"/>
      <c r="C432" s="920"/>
      <c r="D432" s="920"/>
      <c r="E432" s="154"/>
      <c r="F432" s="155"/>
      <c r="G432" s="140"/>
      <c r="H432" s="141"/>
      <c r="I432" s="210"/>
      <c r="J432" s="143"/>
      <c r="K432" s="210"/>
      <c r="L432" s="143"/>
      <c r="M432" s="143"/>
      <c r="N432" s="170"/>
      <c r="O432" s="115"/>
      <c r="P432" s="115"/>
      <c r="Q432" s="116"/>
      <c r="R432" s="116"/>
      <c r="S432" s="117"/>
    </row>
    <row r="433" spans="1:19" s="146" customFormat="1" ht="18" customHeight="1">
      <c r="A433" s="141"/>
      <c r="B433" s="155"/>
      <c r="C433" s="920"/>
      <c r="D433" s="920"/>
      <c r="E433" s="154"/>
      <c r="F433" s="155"/>
      <c r="G433" s="140"/>
      <c r="H433" s="141"/>
      <c r="I433" s="210"/>
      <c r="J433" s="143"/>
      <c r="K433" s="210"/>
      <c r="L433" s="143"/>
      <c r="M433" s="215"/>
      <c r="N433" s="171"/>
      <c r="O433" s="115"/>
      <c r="P433" s="115"/>
      <c r="Q433" s="116"/>
      <c r="R433" s="116"/>
      <c r="S433" s="117"/>
    </row>
    <row r="434" spans="1:19" s="146" customFormat="1" ht="18" customHeight="1">
      <c r="A434" s="141"/>
      <c r="B434" s="155"/>
      <c r="C434" s="920"/>
      <c r="D434" s="920"/>
      <c r="E434" s="154"/>
      <c r="F434" s="155"/>
      <c r="G434" s="140"/>
      <c r="H434" s="141"/>
      <c r="I434" s="210"/>
      <c r="J434" s="143"/>
      <c r="K434" s="210"/>
      <c r="L434" s="143"/>
      <c r="M434" s="143"/>
      <c r="N434" s="170"/>
      <c r="O434" s="115"/>
      <c r="P434" s="115"/>
      <c r="Q434" s="116"/>
      <c r="R434" s="116"/>
      <c r="S434" s="117"/>
    </row>
    <row r="435" spans="1:19" s="146" customFormat="1" ht="18" customHeight="1">
      <c r="A435" s="141"/>
      <c r="B435" s="155"/>
      <c r="C435" s="920"/>
      <c r="D435" s="920"/>
      <c r="E435" s="154"/>
      <c r="F435" s="155"/>
      <c r="G435" s="140"/>
      <c r="H435" s="141"/>
      <c r="I435" s="210"/>
      <c r="J435" s="143"/>
      <c r="K435" s="210"/>
      <c r="L435" s="143"/>
      <c r="M435" s="143"/>
      <c r="N435" s="170"/>
      <c r="O435" s="115"/>
      <c r="P435" s="115"/>
      <c r="Q435" s="116"/>
      <c r="R435" s="116"/>
      <c r="S435" s="117"/>
    </row>
    <row r="436" spans="1:19" s="146" customFormat="1" ht="18" customHeight="1">
      <c r="A436" s="141"/>
      <c r="B436" s="155"/>
      <c r="C436" s="920"/>
      <c r="D436" s="920"/>
      <c r="E436" s="154"/>
      <c r="F436" s="155"/>
      <c r="G436" s="140"/>
      <c r="H436" s="141"/>
      <c r="I436" s="210"/>
      <c r="J436" s="143"/>
      <c r="K436" s="210"/>
      <c r="L436" s="143"/>
      <c r="M436" s="143"/>
      <c r="N436" s="170"/>
      <c r="O436" s="115"/>
      <c r="P436" s="115"/>
      <c r="Q436" s="116"/>
      <c r="R436" s="116"/>
      <c r="S436" s="117"/>
    </row>
    <row r="437" spans="1:19" s="168" customFormat="1" ht="18" customHeight="1" thickBot="1">
      <c r="A437" s="162"/>
      <c r="B437" s="159"/>
      <c r="C437" s="158"/>
      <c r="D437" s="158"/>
      <c r="E437" s="157"/>
      <c r="F437" s="159"/>
      <c r="G437" s="160"/>
      <c r="H437" s="161" t="s">
        <v>15</v>
      </c>
      <c r="I437" s="214"/>
      <c r="J437" s="163">
        <f>SUM(J395:J436)</f>
        <v>1359660</v>
      </c>
      <c r="K437" s="214"/>
      <c r="L437" s="163"/>
      <c r="M437" s="163">
        <f>SUM(M395:M436)</f>
        <v>34765</v>
      </c>
      <c r="N437" s="169"/>
      <c r="O437" s="165">
        <f>SUM(O395:O406)</f>
        <v>1430317</v>
      </c>
      <c r="P437" s="165"/>
      <c r="Q437" s="166"/>
      <c r="R437" s="166"/>
      <c r="S437" s="167"/>
    </row>
    <row r="438" spans="1:19" s="146" customFormat="1" ht="18" customHeight="1" thickTop="1">
      <c r="A438" s="155"/>
      <c r="B438" s="155"/>
      <c r="C438" s="920"/>
      <c r="D438" s="920"/>
      <c r="E438" s="155"/>
      <c r="F438" s="155"/>
      <c r="G438" s="155"/>
      <c r="H438" s="155"/>
      <c r="I438" s="155"/>
      <c r="J438" s="169"/>
      <c r="K438" s="172"/>
      <c r="L438" s="170"/>
      <c r="M438" s="171"/>
      <c r="N438" s="171"/>
      <c r="O438" s="115"/>
      <c r="P438" s="115"/>
      <c r="Q438" s="116"/>
      <c r="R438" s="116"/>
      <c r="S438" s="117"/>
    </row>
    <row r="439" spans="1:19" s="146" customFormat="1" ht="18" customHeight="1">
      <c r="A439" s="155"/>
      <c r="B439" s="155"/>
      <c r="C439" s="920"/>
      <c r="D439" s="920"/>
      <c r="E439" s="155"/>
      <c r="F439" s="155"/>
      <c r="G439" s="155"/>
      <c r="H439" s="155"/>
      <c r="I439" s="155"/>
      <c r="J439" s="155"/>
      <c r="K439" s="172"/>
      <c r="L439" s="170"/>
      <c r="M439" s="170"/>
      <c r="N439" s="170"/>
      <c r="O439" s="115"/>
      <c r="P439" s="115"/>
      <c r="Q439" s="116"/>
      <c r="R439" s="116"/>
      <c r="S439" s="117"/>
    </row>
    <row r="440" spans="1:19" s="146" customFormat="1" ht="18" customHeight="1">
      <c r="A440" s="155"/>
      <c r="B440" s="155"/>
      <c r="C440" s="920"/>
      <c r="D440" s="920"/>
      <c r="E440" s="155"/>
      <c r="F440" s="155"/>
      <c r="G440" s="155"/>
      <c r="H440" s="155"/>
      <c r="I440" s="155"/>
      <c r="J440" s="155"/>
      <c r="K440" s="172"/>
      <c r="L440" s="170"/>
      <c r="M440" s="170"/>
      <c r="N440" s="170"/>
      <c r="O440" s="115"/>
      <c r="P440" s="115"/>
      <c r="Q440" s="116"/>
      <c r="R440" s="116"/>
      <c r="S440" s="117"/>
    </row>
    <row r="441" spans="1:19" s="146" customFormat="1" ht="18" customHeight="1">
      <c r="A441" s="173" t="s">
        <v>614</v>
      </c>
      <c r="B441" s="173"/>
      <c r="C441" s="912"/>
      <c r="D441" s="912"/>
      <c r="E441" s="174"/>
      <c r="F441" s="174"/>
      <c r="G441" s="174"/>
      <c r="H441" s="173" t="s">
        <v>615</v>
      </c>
      <c r="I441" s="174"/>
      <c r="K441" s="173" t="s">
        <v>253</v>
      </c>
      <c r="L441" s="175"/>
      <c r="M441" s="175"/>
      <c r="N441" s="175"/>
      <c r="O441" s="115"/>
      <c r="P441" s="115"/>
      <c r="Q441" s="116"/>
      <c r="R441" s="116"/>
      <c r="S441" s="117"/>
    </row>
    <row r="442" spans="1:19" s="146" customFormat="1" ht="18" customHeight="1">
      <c r="A442" s="174"/>
      <c r="B442" s="174"/>
      <c r="C442" s="913"/>
      <c r="D442" s="913"/>
      <c r="E442" s="174"/>
      <c r="F442" s="174"/>
      <c r="G442" s="174"/>
      <c r="H442" s="174"/>
      <c r="I442" s="174"/>
      <c r="J442" s="174"/>
      <c r="K442" s="176"/>
      <c r="L442" s="175"/>
      <c r="M442" s="175"/>
      <c r="N442" s="175"/>
      <c r="O442" s="115"/>
      <c r="P442" s="115"/>
      <c r="Q442" s="116"/>
      <c r="R442" s="116"/>
      <c r="S442" s="117"/>
    </row>
    <row r="443" spans="1:19" s="146" customFormat="1" ht="18" customHeight="1">
      <c r="A443" s="1531" t="s">
        <v>242</v>
      </c>
      <c r="B443" s="1531"/>
      <c r="C443" s="1531"/>
      <c r="D443" s="1531"/>
      <c r="E443" s="1531"/>
      <c r="F443" s="1531"/>
      <c r="G443" s="174"/>
      <c r="H443" s="1531" t="s">
        <v>17</v>
      </c>
      <c r="I443" s="1531"/>
      <c r="J443" s="174"/>
      <c r="K443" s="1531" t="s">
        <v>1436</v>
      </c>
      <c r="L443" s="1531"/>
      <c r="M443" s="1531"/>
      <c r="N443" s="912"/>
      <c r="O443" s="115"/>
      <c r="P443" s="115"/>
      <c r="Q443" s="116"/>
      <c r="R443" s="116"/>
      <c r="S443" s="117"/>
    </row>
    <row r="444" spans="1:19" s="146" customFormat="1" ht="18" customHeight="1">
      <c r="A444" s="1520" t="s">
        <v>422</v>
      </c>
      <c r="B444" s="1520"/>
      <c r="C444" s="1520"/>
      <c r="D444" s="1520"/>
      <c r="E444" s="1520"/>
      <c r="F444" s="1520"/>
      <c r="G444" s="177"/>
      <c r="H444" s="1520" t="s">
        <v>18</v>
      </c>
      <c r="I444" s="1520"/>
      <c r="J444" s="912"/>
      <c r="K444" s="1520" t="s">
        <v>14</v>
      </c>
      <c r="L444" s="1520"/>
      <c r="M444" s="1520"/>
      <c r="N444" s="913"/>
      <c r="O444" s="115"/>
      <c r="P444" s="115"/>
      <c r="Q444" s="116"/>
      <c r="R444" s="116"/>
      <c r="S444" s="117"/>
    </row>
    <row r="445" spans="1:19" ht="18" customHeight="1">
      <c r="A445" s="111"/>
      <c r="B445" s="111"/>
      <c r="C445" s="910"/>
      <c r="D445" s="910"/>
      <c r="E445" s="1540"/>
      <c r="F445" s="1540"/>
      <c r="G445" s="1540"/>
      <c r="H445" s="910"/>
      <c r="I445" s="910"/>
      <c r="J445" s="910"/>
      <c r="K445" s="1540"/>
      <c r="L445" s="1540"/>
      <c r="M445" s="1540"/>
      <c r="N445" s="910"/>
    </row>
    <row r="446" spans="1:19" ht="18" customHeight="1">
      <c r="A446" s="111"/>
      <c r="B446" s="111"/>
      <c r="C446" s="910"/>
      <c r="D446" s="910"/>
      <c r="E446" s="910"/>
      <c r="F446" s="910"/>
      <c r="G446" s="910"/>
      <c r="H446" s="910"/>
      <c r="I446" s="910"/>
      <c r="J446" s="910"/>
      <c r="K446" s="910"/>
      <c r="L446" s="910"/>
      <c r="M446" s="910"/>
      <c r="N446" s="910"/>
    </row>
    <row r="447" spans="1:19" ht="18" customHeight="1">
      <c r="A447" s="111"/>
      <c r="B447" s="111"/>
      <c r="C447" s="910"/>
      <c r="D447" s="910"/>
      <c r="E447" s="910"/>
      <c r="F447" s="910"/>
      <c r="G447" s="910"/>
      <c r="H447" s="910"/>
      <c r="I447" s="910"/>
      <c r="J447" s="910"/>
      <c r="K447" s="910"/>
      <c r="L447" s="910"/>
      <c r="M447" s="910"/>
      <c r="N447" s="910"/>
    </row>
    <row r="448" spans="1:19" ht="18" customHeight="1">
      <c r="A448" s="111"/>
      <c r="B448" s="111"/>
      <c r="C448" s="910"/>
      <c r="D448" s="910"/>
      <c r="E448" s="910"/>
      <c r="F448" s="910"/>
      <c r="G448" s="910"/>
      <c r="H448" s="910"/>
      <c r="I448" s="910"/>
      <c r="J448" s="910"/>
      <c r="K448" s="910"/>
      <c r="L448" s="910"/>
      <c r="M448" s="910"/>
      <c r="N448" s="910"/>
    </row>
    <row r="449" spans="1:18" ht="18" customHeight="1">
      <c r="A449" s="111"/>
      <c r="B449" s="111"/>
      <c r="C449" s="910"/>
      <c r="D449" s="910"/>
      <c r="E449" s="910"/>
      <c r="F449" s="910"/>
      <c r="G449" s="910"/>
      <c r="H449" s="910"/>
      <c r="I449" s="910"/>
      <c r="J449" s="910"/>
      <c r="K449" s="910"/>
      <c r="L449" s="910"/>
      <c r="M449" s="910"/>
      <c r="N449" s="910"/>
    </row>
    <row r="450" spans="1:18" ht="18" customHeight="1">
      <c r="A450" s="111"/>
      <c r="B450" s="111"/>
      <c r="C450" s="910"/>
      <c r="D450" s="910"/>
      <c r="E450" s="910"/>
      <c r="F450" s="910"/>
      <c r="G450" s="910"/>
      <c r="H450" s="910"/>
      <c r="I450" s="910"/>
      <c r="J450" s="910"/>
      <c r="K450" s="910"/>
      <c r="L450" s="910"/>
      <c r="M450" s="910"/>
      <c r="N450" s="910"/>
    </row>
    <row r="451" spans="1:18" ht="18" customHeight="1">
      <c r="A451" s="111"/>
      <c r="B451" s="111"/>
      <c r="C451" s="910"/>
      <c r="D451" s="910"/>
      <c r="E451" s="910"/>
      <c r="F451" s="910"/>
      <c r="G451" s="910"/>
      <c r="H451" s="910"/>
      <c r="I451" s="910"/>
      <c r="J451" s="910"/>
      <c r="K451" s="910"/>
      <c r="L451" s="910"/>
      <c r="M451" s="910"/>
      <c r="N451" s="910"/>
    </row>
    <row r="452" spans="1:18" ht="18" customHeight="1">
      <c r="A452" s="111"/>
      <c r="B452" s="111"/>
      <c r="C452" s="910"/>
      <c r="D452" s="910"/>
      <c r="E452" s="910"/>
      <c r="F452" s="910"/>
      <c r="G452" s="910"/>
      <c r="H452" s="910"/>
      <c r="I452" s="910"/>
      <c r="J452" s="910"/>
      <c r="K452" s="910"/>
      <c r="L452" s="910"/>
      <c r="M452" s="910"/>
      <c r="N452" s="910"/>
    </row>
    <row r="453" spans="1:18" ht="18" customHeight="1"/>
    <row r="454" spans="1:18" s="179" customFormat="1" ht="20.100000000000001" customHeight="1">
      <c r="A454" s="1448" t="s">
        <v>955</v>
      </c>
      <c r="B454" s="1448"/>
      <c r="C454" s="1448"/>
      <c r="D454" s="1448"/>
      <c r="E454" s="1448"/>
      <c r="F454" s="1448"/>
      <c r="G454" s="1448"/>
      <c r="H454" s="1448"/>
      <c r="I454" s="1448"/>
      <c r="J454" s="1448"/>
      <c r="K454" s="1448"/>
      <c r="L454" s="1448"/>
      <c r="M454" s="1448"/>
      <c r="N454" s="918"/>
      <c r="O454" s="262"/>
      <c r="P454" s="262"/>
      <c r="Q454" s="262"/>
      <c r="R454" s="262"/>
    </row>
    <row r="455" spans="1:18" ht="18" customHeight="1">
      <c r="A455" s="110"/>
      <c r="B455" s="110"/>
      <c r="C455" s="917"/>
      <c r="D455" s="917"/>
      <c r="E455" s="111"/>
      <c r="F455" s="111"/>
      <c r="G455" s="111"/>
      <c r="H455" s="111"/>
      <c r="I455" s="111"/>
      <c r="J455" s="111"/>
      <c r="K455" s="112"/>
      <c r="M455" s="114"/>
      <c r="N455" s="114"/>
    </row>
    <row r="456" spans="1:18" ht="18" customHeight="1">
      <c r="A456" s="1538" t="s">
        <v>1663</v>
      </c>
      <c r="B456" s="1538"/>
      <c r="C456" s="1538"/>
      <c r="D456" s="1538"/>
      <c r="E456" s="1538"/>
      <c r="F456" s="1538"/>
      <c r="G456" s="1538"/>
      <c r="H456" s="1538"/>
      <c r="I456" s="1538"/>
      <c r="J456" s="1538"/>
      <c r="K456" s="1538"/>
      <c r="L456" s="1538"/>
      <c r="M456" s="1538"/>
      <c r="N456" s="908"/>
    </row>
    <row r="457" spans="1:18" ht="18" customHeight="1">
      <c r="A457" s="1539" t="s">
        <v>351</v>
      </c>
      <c r="B457" s="1539"/>
      <c r="C457" s="1539"/>
      <c r="D457" s="1539"/>
      <c r="E457" s="1539"/>
      <c r="F457" s="1539"/>
      <c r="G457" s="1539"/>
      <c r="H457" s="1539"/>
      <c r="I457" s="1539"/>
      <c r="J457" s="1539"/>
      <c r="K457" s="1539"/>
      <c r="L457" s="1539"/>
      <c r="M457" s="1539"/>
      <c r="N457" s="909"/>
    </row>
    <row r="458" spans="1:18" ht="18" customHeight="1">
      <c r="A458" s="1540"/>
      <c r="B458" s="1540"/>
      <c r="C458" s="1540"/>
      <c r="D458" s="1540"/>
      <c r="E458" s="1540"/>
      <c r="F458" s="1540"/>
      <c r="G458" s="1540"/>
      <c r="H458" s="1540"/>
      <c r="I458" s="1540"/>
      <c r="J458" s="1540"/>
      <c r="K458" s="1540"/>
      <c r="L458" s="1540"/>
      <c r="M458" s="1540"/>
      <c r="N458" s="910"/>
    </row>
    <row r="459" spans="1:18" ht="18" customHeight="1">
      <c r="A459" s="910"/>
      <c r="B459" s="910"/>
      <c r="C459" s="910"/>
      <c r="D459" s="910"/>
      <c r="E459" s="910"/>
      <c r="F459" s="910"/>
      <c r="G459" s="910"/>
      <c r="H459" s="910"/>
      <c r="I459" s="910"/>
      <c r="J459" s="910"/>
      <c r="K459" s="910"/>
      <c r="L459" s="910"/>
      <c r="M459" s="910"/>
      <c r="N459" s="910"/>
    </row>
    <row r="460" spans="1:18" ht="18" customHeight="1">
      <c r="A460" s="111" t="s">
        <v>454</v>
      </c>
      <c r="B460" s="111"/>
      <c r="C460" s="111" t="s">
        <v>439</v>
      </c>
      <c r="D460" s="111" t="s">
        <v>306</v>
      </c>
      <c r="E460" s="111"/>
      <c r="F460" s="111"/>
      <c r="G460" s="111"/>
      <c r="H460" s="910"/>
      <c r="I460" s="910"/>
      <c r="J460" s="910"/>
      <c r="K460" s="910"/>
      <c r="L460" s="910"/>
      <c r="M460" s="910"/>
      <c r="N460" s="910"/>
    </row>
    <row r="461" spans="1:18" ht="18" customHeight="1">
      <c r="A461" s="111" t="s">
        <v>449</v>
      </c>
      <c r="B461" s="111"/>
      <c r="C461" s="111" t="s">
        <v>439</v>
      </c>
      <c r="D461" s="111" t="s">
        <v>455</v>
      </c>
      <c r="E461" s="111"/>
      <c r="F461" s="111"/>
      <c r="G461" s="111"/>
      <c r="H461" s="910"/>
      <c r="I461" s="910"/>
      <c r="J461" s="910"/>
      <c r="K461" s="910"/>
      <c r="L461" s="910"/>
      <c r="M461" s="910"/>
      <c r="N461" s="910"/>
      <c r="O461" s="180"/>
    </row>
    <row r="462" spans="1:18" ht="18" customHeight="1" thickBot="1">
      <c r="A462" s="111" t="s">
        <v>446</v>
      </c>
      <c r="B462" s="111"/>
      <c r="C462" s="111" t="s">
        <v>439</v>
      </c>
      <c r="D462" s="111" t="s">
        <v>660</v>
      </c>
      <c r="E462" s="111"/>
      <c r="F462" s="111"/>
      <c r="G462" s="111"/>
      <c r="H462" s="910"/>
      <c r="I462" s="910"/>
      <c r="J462" s="910"/>
      <c r="K462" s="910"/>
      <c r="L462" s="910"/>
      <c r="M462" s="910"/>
      <c r="N462" s="910"/>
      <c r="O462" s="180"/>
    </row>
    <row r="463" spans="1:18" ht="18" customHeight="1">
      <c r="A463" s="1532" t="s">
        <v>619</v>
      </c>
      <c r="B463" s="1533"/>
      <c r="C463" s="1533"/>
      <c r="D463" s="1533"/>
      <c r="E463" s="1534"/>
      <c r="F463" s="1533"/>
      <c r="G463" s="1535"/>
      <c r="H463" s="121"/>
      <c r="I463" s="1536" t="s">
        <v>623</v>
      </c>
      <c r="J463" s="1537"/>
      <c r="K463" s="1536" t="s">
        <v>623</v>
      </c>
      <c r="L463" s="1537"/>
      <c r="M463" s="122"/>
      <c r="N463" s="876"/>
      <c r="O463" s="180"/>
    </row>
    <row r="464" spans="1:18" ht="18" customHeight="1">
      <c r="A464" s="123" t="s">
        <v>620</v>
      </c>
      <c r="B464" s="1544" t="s">
        <v>621</v>
      </c>
      <c r="C464" s="1545"/>
      <c r="D464" s="1546"/>
      <c r="E464" s="1547" t="s">
        <v>43</v>
      </c>
      <c r="F464" s="1548"/>
      <c r="G464" s="1549"/>
      <c r="H464" s="914" t="s">
        <v>44</v>
      </c>
      <c r="I464" s="1547" t="s">
        <v>1613</v>
      </c>
      <c r="J464" s="1549"/>
      <c r="K464" s="1548" t="s">
        <v>1660</v>
      </c>
      <c r="L464" s="1549"/>
      <c r="M464" s="124" t="s">
        <v>45</v>
      </c>
      <c r="N464" s="877"/>
    </row>
    <row r="465" spans="1:19" ht="18" customHeight="1">
      <c r="A465" s="125"/>
      <c r="B465" s="914"/>
      <c r="C465" s="915"/>
      <c r="D465" s="915"/>
      <c r="E465" s="914"/>
      <c r="F465" s="915"/>
      <c r="G465" s="916"/>
      <c r="H465" s="914" t="s">
        <v>46</v>
      </c>
      <c r="I465" s="1550"/>
      <c r="J465" s="1551"/>
      <c r="K465" s="1550"/>
      <c r="L465" s="1551"/>
      <c r="M465" s="124" t="s">
        <v>47</v>
      </c>
      <c r="N465" s="877"/>
    </row>
    <row r="466" spans="1:19" ht="18" customHeight="1">
      <c r="A466" s="125"/>
      <c r="B466" s="914"/>
      <c r="C466" s="915"/>
      <c r="D466" s="915"/>
      <c r="E466" s="914"/>
      <c r="F466" s="915"/>
      <c r="G466" s="126"/>
      <c r="H466" s="127"/>
      <c r="I466" s="128" t="s">
        <v>622</v>
      </c>
      <c r="J466" s="129" t="s">
        <v>48</v>
      </c>
      <c r="K466" s="128" t="s">
        <v>622</v>
      </c>
      <c r="L466" s="129" t="s">
        <v>48</v>
      </c>
      <c r="M466" s="124"/>
      <c r="N466" s="120"/>
    </row>
    <row r="467" spans="1:19" ht="18" customHeight="1" thickBot="1">
      <c r="A467" s="130"/>
      <c r="B467" s="1541"/>
      <c r="C467" s="1542"/>
      <c r="D467" s="1543"/>
      <c r="E467" s="1541"/>
      <c r="F467" s="1542"/>
      <c r="G467" s="1543"/>
      <c r="H467" s="131"/>
      <c r="I467" s="131"/>
      <c r="J467" s="131"/>
      <c r="K467" s="131"/>
      <c r="L467" s="131"/>
      <c r="M467" s="132"/>
      <c r="N467" s="883"/>
    </row>
    <row r="468" spans="1:19" ht="18" customHeight="1">
      <c r="A468" s="181"/>
      <c r="B468" s="119"/>
      <c r="C468" s="119"/>
      <c r="D468" s="119"/>
      <c r="E468" s="133"/>
      <c r="F468" s="119"/>
      <c r="G468" s="134"/>
      <c r="H468" s="135"/>
      <c r="I468" s="182"/>
      <c r="J468" s="137"/>
      <c r="K468" s="182"/>
      <c r="L468" s="137"/>
      <c r="M468" s="137"/>
      <c r="N468" s="880"/>
    </row>
    <row r="469" spans="1:19" s="146" customFormat="1" ht="18" customHeight="1">
      <c r="A469" s="183">
        <v>1</v>
      </c>
      <c r="B469" s="920"/>
      <c r="C469" s="920"/>
      <c r="D469" s="920"/>
      <c r="E469" s="154" t="s">
        <v>76</v>
      </c>
      <c r="F469" s="920"/>
      <c r="G469" s="140"/>
      <c r="H469" s="141" t="s">
        <v>17</v>
      </c>
      <c r="I469" s="184" t="s">
        <v>77</v>
      </c>
      <c r="J469" s="175">
        <v>1010004</v>
      </c>
      <c r="K469" s="184" t="s">
        <v>77</v>
      </c>
      <c r="L469" s="175">
        <v>1029060</v>
      </c>
      <c r="M469" s="144">
        <f>L469-J469</f>
        <v>19056</v>
      </c>
      <c r="N469" s="879"/>
      <c r="O469" s="115">
        <f>M469+L469</f>
        <v>1048116</v>
      </c>
      <c r="P469" s="115"/>
      <c r="Q469" s="116"/>
      <c r="R469" s="116"/>
      <c r="S469" s="145"/>
    </row>
    <row r="470" spans="1:19" s="146" customFormat="1" ht="18" customHeight="1">
      <c r="A470" s="183"/>
      <c r="B470" s="920"/>
      <c r="C470" s="920"/>
      <c r="D470" s="920"/>
      <c r="E470" s="154" t="s">
        <v>877</v>
      </c>
      <c r="F470" s="920"/>
      <c r="G470" s="140"/>
      <c r="H470" s="141"/>
      <c r="I470" s="185"/>
      <c r="J470" s="175"/>
      <c r="K470" s="185"/>
      <c r="L470" s="175"/>
      <c r="M470" s="143"/>
      <c r="N470" s="170"/>
      <c r="O470" s="115"/>
      <c r="P470" s="115"/>
      <c r="Q470" s="116"/>
      <c r="R470" s="116"/>
      <c r="S470" s="117"/>
    </row>
    <row r="471" spans="1:19" s="146" customFormat="1" ht="18" customHeight="1">
      <c r="A471" s="183"/>
      <c r="B471" s="920"/>
      <c r="C471" s="920"/>
      <c r="D471" s="920"/>
      <c r="E471" s="154"/>
      <c r="F471" s="920"/>
      <c r="G471" s="140"/>
      <c r="H471" s="141"/>
      <c r="I471" s="185"/>
      <c r="J471" s="175"/>
      <c r="K471" s="185"/>
      <c r="L471" s="175"/>
      <c r="M471" s="143"/>
      <c r="N471" s="170"/>
      <c r="O471" s="115"/>
      <c r="P471" s="115"/>
      <c r="Q471" s="116"/>
      <c r="R471" s="116"/>
      <c r="S471" s="117"/>
    </row>
    <row r="472" spans="1:19" s="146" customFormat="1" ht="18" customHeight="1">
      <c r="A472" s="183"/>
      <c r="B472" s="920"/>
      <c r="C472" s="920"/>
      <c r="D472" s="920"/>
      <c r="E472" s="154"/>
      <c r="F472" s="920"/>
      <c r="G472" s="140"/>
      <c r="H472" s="141"/>
      <c r="I472" s="185"/>
      <c r="J472" s="175"/>
      <c r="K472" s="185"/>
      <c r="L472" s="175"/>
      <c r="M472" s="143"/>
      <c r="N472" s="170"/>
      <c r="O472" s="115"/>
      <c r="P472" s="115"/>
      <c r="Q472" s="116"/>
      <c r="R472" s="116"/>
      <c r="S472" s="117"/>
    </row>
    <row r="473" spans="1:19" s="146" customFormat="1" ht="18" customHeight="1">
      <c r="A473" s="183">
        <v>2</v>
      </c>
      <c r="B473" s="920"/>
      <c r="C473" s="920"/>
      <c r="D473" s="920"/>
      <c r="E473" s="154" t="s">
        <v>63</v>
      </c>
      <c r="F473" s="920"/>
      <c r="G473" s="140"/>
      <c r="H473" s="141" t="s">
        <v>89</v>
      </c>
      <c r="I473" s="142" t="s">
        <v>130</v>
      </c>
      <c r="J473" s="143">
        <v>262380</v>
      </c>
      <c r="K473" s="142" t="s">
        <v>134</v>
      </c>
      <c r="L473" s="143">
        <v>281244</v>
      </c>
      <c r="M473" s="144">
        <f>L473-J473</f>
        <v>18864</v>
      </c>
      <c r="N473" s="879"/>
      <c r="O473" s="115">
        <f>M473+L473</f>
        <v>300108</v>
      </c>
      <c r="P473" s="115"/>
      <c r="Q473" s="116"/>
      <c r="R473" s="116"/>
      <c r="S473" s="145"/>
    </row>
    <row r="474" spans="1:19" s="146" customFormat="1" ht="18" customHeight="1">
      <c r="A474" s="183"/>
      <c r="B474" s="920"/>
      <c r="C474" s="920"/>
      <c r="D474" s="920"/>
      <c r="E474" s="154"/>
      <c r="F474" s="920"/>
      <c r="G474" s="140"/>
      <c r="H474" s="141"/>
      <c r="I474" s="142"/>
      <c r="J474" s="143"/>
      <c r="K474" s="142"/>
      <c r="L474" s="149">
        <v>44927</v>
      </c>
      <c r="M474" s="144"/>
      <c r="N474" s="879"/>
      <c r="O474" s="115"/>
      <c r="P474" s="115"/>
      <c r="Q474" s="116"/>
      <c r="R474" s="116"/>
      <c r="S474" s="145"/>
    </row>
    <row r="475" spans="1:19" s="146" customFormat="1" ht="18" customHeight="1">
      <c r="A475" s="183"/>
      <c r="B475" s="920"/>
      <c r="C475" s="920"/>
      <c r="D475" s="920"/>
      <c r="E475" s="154"/>
      <c r="F475" s="920"/>
      <c r="G475" s="140"/>
      <c r="H475" s="141"/>
      <c r="I475" s="142"/>
      <c r="J475" s="143"/>
      <c r="K475" s="142"/>
      <c r="L475" s="143"/>
      <c r="M475" s="144"/>
      <c r="N475" s="879"/>
      <c r="O475" s="115"/>
      <c r="P475" s="115"/>
      <c r="Q475" s="116"/>
      <c r="R475" s="116"/>
      <c r="S475" s="145"/>
    </row>
    <row r="476" spans="1:19" s="146" customFormat="1" ht="18" customHeight="1">
      <c r="A476" s="183"/>
      <c r="B476" s="920"/>
      <c r="C476" s="920"/>
      <c r="D476" s="920"/>
      <c r="E476" s="919"/>
      <c r="F476" s="920"/>
      <c r="G476" s="140"/>
      <c r="H476" s="141"/>
      <c r="I476" s="142"/>
      <c r="J476" s="149"/>
      <c r="K476" s="142"/>
      <c r="L476" s="149"/>
      <c r="M476" s="143"/>
      <c r="N476" s="170"/>
      <c r="O476" s="115"/>
      <c r="P476" s="115"/>
      <c r="Q476" s="116"/>
      <c r="R476" s="116"/>
      <c r="S476" s="117"/>
    </row>
    <row r="477" spans="1:19" s="146" customFormat="1" ht="18" customHeight="1">
      <c r="A477" s="183">
        <v>3</v>
      </c>
      <c r="B477" s="920"/>
      <c r="C477" s="920"/>
      <c r="D477" s="920"/>
      <c r="E477" s="154" t="s">
        <v>86</v>
      </c>
      <c r="F477" s="920"/>
      <c r="G477" s="140"/>
      <c r="H477" s="141" t="s">
        <v>274</v>
      </c>
      <c r="I477" s="184" t="s">
        <v>160</v>
      </c>
      <c r="J477" s="175">
        <v>193776</v>
      </c>
      <c r="K477" s="184" t="s">
        <v>160</v>
      </c>
      <c r="L477" s="175">
        <v>201384</v>
      </c>
      <c r="M477" s="144">
        <f>L477-J477</f>
        <v>7608</v>
      </c>
      <c r="N477" s="879"/>
      <c r="O477" s="115">
        <f>L478+M477+M478</f>
        <v>210981</v>
      </c>
      <c r="P477" s="115"/>
      <c r="Q477" s="116"/>
      <c r="R477" s="116"/>
      <c r="S477" s="145"/>
    </row>
    <row r="478" spans="1:19" s="146" customFormat="1" ht="18" customHeight="1">
      <c r="A478" s="183"/>
      <c r="B478" s="920"/>
      <c r="C478" s="920"/>
      <c r="D478" s="920"/>
      <c r="E478" s="919"/>
      <c r="F478" s="920"/>
      <c r="G478" s="140"/>
      <c r="H478" s="141"/>
      <c r="I478" s="142"/>
      <c r="J478" s="143"/>
      <c r="K478" s="184" t="s">
        <v>383</v>
      </c>
      <c r="L478" s="143">
        <v>203220</v>
      </c>
      <c r="M478" s="143">
        <v>153</v>
      </c>
      <c r="N478" s="879">
        <f>(L478-L477)*1/12</f>
        <v>153</v>
      </c>
      <c r="O478" s="115"/>
      <c r="P478" s="115"/>
      <c r="Q478" s="116"/>
      <c r="R478" s="116"/>
      <c r="S478" s="117"/>
    </row>
    <row r="479" spans="1:19" s="146" customFormat="1" ht="18" customHeight="1">
      <c r="A479" s="183"/>
      <c r="B479" s="920"/>
      <c r="C479" s="920"/>
      <c r="D479" s="920"/>
      <c r="E479" s="919"/>
      <c r="F479" s="920"/>
      <c r="G479" s="140"/>
      <c r="H479" s="141"/>
      <c r="I479" s="142"/>
      <c r="J479" s="143"/>
      <c r="K479" s="142"/>
      <c r="L479" s="149">
        <v>45276</v>
      </c>
      <c r="M479" s="143"/>
      <c r="N479" s="170"/>
      <c r="O479" s="115"/>
      <c r="P479" s="115"/>
      <c r="Q479" s="116"/>
      <c r="R479" s="116"/>
      <c r="S479" s="117"/>
    </row>
    <row r="480" spans="1:19" s="146" customFormat="1" ht="18" customHeight="1">
      <c r="A480" s="183"/>
      <c r="B480" s="920"/>
      <c r="C480" s="920"/>
      <c r="D480" s="920"/>
      <c r="E480" s="919"/>
      <c r="F480" s="920"/>
      <c r="G480" s="140"/>
      <c r="H480" s="141"/>
      <c r="I480" s="142"/>
      <c r="J480" s="143"/>
      <c r="K480" s="142"/>
      <c r="L480" s="143"/>
      <c r="M480" s="143"/>
      <c r="N480" s="170"/>
      <c r="O480" s="115"/>
      <c r="P480" s="115"/>
      <c r="Q480" s="116"/>
      <c r="R480" s="116"/>
      <c r="S480" s="117"/>
    </row>
    <row r="481" spans="1:19" s="146" customFormat="1" ht="18" customHeight="1">
      <c r="A481" s="183"/>
      <c r="B481" s="920"/>
      <c r="C481" s="920"/>
      <c r="D481" s="920"/>
      <c r="E481" s="919"/>
      <c r="F481" s="920"/>
      <c r="G481" s="140"/>
      <c r="H481" s="141"/>
      <c r="I481" s="142"/>
      <c r="J481" s="143"/>
      <c r="K481" s="142"/>
      <c r="L481" s="143"/>
      <c r="M481" s="143"/>
      <c r="N481" s="170"/>
      <c r="O481" s="115"/>
      <c r="P481" s="115"/>
      <c r="Q481" s="116"/>
      <c r="R481" s="116"/>
      <c r="S481" s="117"/>
    </row>
    <row r="482" spans="1:19" s="146" customFormat="1" ht="18" customHeight="1">
      <c r="A482" s="183"/>
      <c r="B482" s="920"/>
      <c r="C482" s="920"/>
      <c r="D482" s="920"/>
      <c r="E482" s="919"/>
      <c r="F482" s="920"/>
      <c r="G482" s="140"/>
      <c r="H482" s="141"/>
      <c r="I482" s="142"/>
      <c r="J482" s="143"/>
      <c r="K482" s="142"/>
      <c r="L482" s="143"/>
      <c r="M482" s="143"/>
      <c r="N482" s="170"/>
      <c r="O482" s="115"/>
      <c r="P482" s="115"/>
      <c r="Q482" s="116"/>
      <c r="R482" s="116"/>
      <c r="S482" s="117"/>
    </row>
    <row r="483" spans="1:19" s="146" customFormat="1" ht="18" customHeight="1">
      <c r="A483" s="183"/>
      <c r="B483" s="920"/>
      <c r="C483" s="920"/>
      <c r="D483" s="920"/>
      <c r="E483" s="919"/>
      <c r="F483" s="920"/>
      <c r="G483" s="140"/>
      <c r="H483" s="141"/>
      <c r="I483" s="142"/>
      <c r="J483" s="143"/>
      <c r="K483" s="142"/>
      <c r="L483" s="143"/>
      <c r="M483" s="143"/>
      <c r="N483" s="170"/>
      <c r="O483" s="115"/>
      <c r="P483" s="115"/>
      <c r="Q483" s="116"/>
      <c r="R483" s="116"/>
      <c r="S483" s="117"/>
    </row>
    <row r="484" spans="1:19" s="146" customFormat="1" ht="18" customHeight="1">
      <c r="A484" s="183"/>
      <c r="B484" s="920"/>
      <c r="C484" s="920"/>
      <c r="D484" s="920"/>
      <c r="E484" s="919"/>
      <c r="F484" s="920"/>
      <c r="G484" s="140"/>
      <c r="H484" s="141"/>
      <c r="I484" s="142"/>
      <c r="J484" s="143"/>
      <c r="K484" s="142"/>
      <c r="L484" s="143"/>
      <c r="M484" s="143"/>
      <c r="N484" s="170"/>
      <c r="O484" s="115"/>
      <c r="P484" s="115"/>
      <c r="Q484" s="116"/>
      <c r="R484" s="116"/>
      <c r="S484" s="117"/>
    </row>
    <row r="485" spans="1:19" s="146" customFormat="1" ht="18" customHeight="1">
      <c r="A485" s="183"/>
      <c r="B485" s="920"/>
      <c r="C485" s="920"/>
      <c r="D485" s="920"/>
      <c r="E485" s="919"/>
      <c r="F485" s="920"/>
      <c r="G485" s="140"/>
      <c r="H485" s="141"/>
      <c r="I485" s="142"/>
      <c r="J485" s="143"/>
      <c r="K485" s="142"/>
      <c r="L485" s="143"/>
      <c r="M485" s="143"/>
      <c r="N485" s="170"/>
      <c r="O485" s="115"/>
      <c r="P485" s="115"/>
      <c r="Q485" s="116"/>
      <c r="R485" s="116"/>
      <c r="S485" s="117"/>
    </row>
    <row r="486" spans="1:19" s="146" customFormat="1" ht="18" customHeight="1">
      <c r="A486" s="183"/>
      <c r="B486" s="920"/>
      <c r="C486" s="920"/>
      <c r="D486" s="920"/>
      <c r="E486" s="919"/>
      <c r="F486" s="920"/>
      <c r="G486" s="140"/>
      <c r="H486" s="141"/>
      <c r="I486" s="142"/>
      <c r="J486" s="143"/>
      <c r="K486" s="142"/>
      <c r="L486" s="143"/>
      <c r="M486" s="143"/>
      <c r="N486" s="170"/>
      <c r="O486" s="115"/>
      <c r="P486" s="115"/>
      <c r="Q486" s="116"/>
      <c r="R486" s="116"/>
      <c r="S486" s="117"/>
    </row>
    <row r="487" spans="1:19" s="146" customFormat="1" ht="18" customHeight="1">
      <c r="A487" s="183"/>
      <c r="B487" s="920"/>
      <c r="C487" s="920"/>
      <c r="D487" s="920"/>
      <c r="E487" s="919"/>
      <c r="F487" s="920"/>
      <c r="G487" s="140"/>
      <c r="H487" s="141"/>
      <c r="I487" s="142"/>
      <c r="J487" s="143"/>
      <c r="K487" s="142"/>
      <c r="L487" s="143"/>
      <c r="M487" s="143"/>
      <c r="N487" s="170"/>
      <c r="O487" s="115"/>
      <c r="P487" s="115"/>
      <c r="Q487" s="116"/>
      <c r="R487" s="116"/>
      <c r="S487" s="117"/>
    </row>
    <row r="488" spans="1:19" s="146" customFormat="1" ht="18" customHeight="1">
      <c r="A488" s="183"/>
      <c r="B488" s="920"/>
      <c r="C488" s="920"/>
      <c r="D488" s="920"/>
      <c r="E488" s="919"/>
      <c r="F488" s="920"/>
      <c r="G488" s="140"/>
      <c r="H488" s="141"/>
      <c r="I488" s="142"/>
      <c r="J488" s="143"/>
      <c r="K488" s="142"/>
      <c r="L488" s="143"/>
      <c r="M488" s="143"/>
      <c r="N488" s="170"/>
      <c r="O488" s="115"/>
      <c r="P488" s="115"/>
      <c r="Q488" s="116"/>
      <c r="R488" s="116"/>
      <c r="S488" s="117"/>
    </row>
    <row r="489" spans="1:19" s="146" customFormat="1" ht="18" customHeight="1">
      <c r="A489" s="183"/>
      <c r="B489" s="920"/>
      <c r="C489" s="920"/>
      <c r="D489" s="920"/>
      <c r="E489" s="919"/>
      <c r="F489" s="920"/>
      <c r="G489" s="140"/>
      <c r="H489" s="141"/>
      <c r="I489" s="142"/>
      <c r="J489" s="143"/>
      <c r="K489" s="142"/>
      <c r="L489" s="143"/>
      <c r="M489" s="143"/>
      <c r="N489" s="170"/>
      <c r="O489" s="115"/>
      <c r="P489" s="115"/>
      <c r="Q489" s="116"/>
      <c r="R489" s="116"/>
      <c r="S489" s="117"/>
    </row>
    <row r="490" spans="1:19" s="146" customFormat="1" ht="18" customHeight="1">
      <c r="A490" s="183"/>
      <c r="B490" s="920"/>
      <c r="C490" s="920"/>
      <c r="D490" s="920"/>
      <c r="E490" s="919"/>
      <c r="F490" s="920"/>
      <c r="G490" s="140"/>
      <c r="H490" s="141"/>
      <c r="I490" s="142"/>
      <c r="J490" s="143"/>
      <c r="K490" s="142"/>
      <c r="L490" s="143"/>
      <c r="M490" s="143"/>
      <c r="N490" s="170"/>
      <c r="O490" s="115"/>
      <c r="P490" s="115"/>
      <c r="Q490" s="116"/>
      <c r="R490" s="116"/>
      <c r="S490" s="117"/>
    </row>
    <row r="491" spans="1:19" s="146" customFormat="1" ht="18" customHeight="1">
      <c r="A491" s="183"/>
      <c r="B491" s="920"/>
      <c r="C491" s="920"/>
      <c r="D491" s="920"/>
      <c r="E491" s="919"/>
      <c r="F491" s="920"/>
      <c r="G491" s="140"/>
      <c r="H491" s="141"/>
      <c r="I491" s="142"/>
      <c r="J491" s="143"/>
      <c r="K491" s="142"/>
      <c r="L491" s="143"/>
      <c r="M491" s="143"/>
      <c r="N491" s="170"/>
      <c r="O491" s="115"/>
      <c r="P491" s="115"/>
      <c r="Q491" s="116"/>
      <c r="R491" s="116"/>
      <c r="S491" s="117"/>
    </row>
    <row r="492" spans="1:19" s="146" customFormat="1" ht="18" customHeight="1">
      <c r="A492" s="183"/>
      <c r="B492" s="920"/>
      <c r="C492" s="920"/>
      <c r="D492" s="920"/>
      <c r="E492" s="919"/>
      <c r="F492" s="920"/>
      <c r="G492" s="140"/>
      <c r="H492" s="141"/>
      <c r="I492" s="142"/>
      <c r="J492" s="143"/>
      <c r="K492" s="142"/>
      <c r="L492" s="143"/>
      <c r="M492" s="143"/>
      <c r="N492" s="170"/>
      <c r="O492" s="115"/>
      <c r="P492" s="115"/>
      <c r="Q492" s="116"/>
      <c r="R492" s="116"/>
      <c r="S492" s="117"/>
    </row>
    <row r="493" spans="1:19" s="146" customFormat="1" ht="18" customHeight="1">
      <c r="A493" s="183"/>
      <c r="B493" s="920"/>
      <c r="C493" s="920"/>
      <c r="D493" s="920"/>
      <c r="E493" s="919"/>
      <c r="F493" s="920"/>
      <c r="G493" s="140"/>
      <c r="H493" s="141"/>
      <c r="I493" s="142"/>
      <c r="J493" s="143"/>
      <c r="K493" s="142"/>
      <c r="L493" s="143"/>
      <c r="M493" s="143"/>
      <c r="N493" s="170"/>
      <c r="O493" s="115"/>
      <c r="P493" s="115"/>
      <c r="Q493" s="116"/>
      <c r="R493" s="116"/>
      <c r="S493" s="117"/>
    </row>
    <row r="494" spans="1:19" s="146" customFormat="1" ht="18" customHeight="1">
      <c r="A494" s="183"/>
      <c r="B494" s="920"/>
      <c r="C494" s="920"/>
      <c r="D494" s="920"/>
      <c r="E494" s="919"/>
      <c r="F494" s="920"/>
      <c r="G494" s="140"/>
      <c r="H494" s="141"/>
      <c r="I494" s="142"/>
      <c r="J494" s="143"/>
      <c r="K494" s="142"/>
      <c r="L494" s="143"/>
      <c r="M494" s="143"/>
      <c r="N494" s="170"/>
      <c r="O494" s="115"/>
      <c r="P494" s="115"/>
      <c r="Q494" s="116"/>
      <c r="R494" s="116"/>
      <c r="S494" s="117"/>
    </row>
    <row r="495" spans="1:19" s="146" customFormat="1" ht="18" customHeight="1">
      <c r="A495" s="141"/>
      <c r="B495" s="155"/>
      <c r="C495" s="920"/>
      <c r="D495" s="920"/>
      <c r="E495" s="154"/>
      <c r="F495" s="155"/>
      <c r="G495" s="140"/>
      <c r="H495" s="141"/>
      <c r="I495" s="142"/>
      <c r="J495" s="143"/>
      <c r="K495" s="142"/>
      <c r="L495" s="143"/>
      <c r="M495" s="143"/>
      <c r="N495" s="170"/>
      <c r="O495" s="115"/>
      <c r="P495" s="115"/>
      <c r="Q495" s="116"/>
      <c r="R495" s="116"/>
      <c r="S495" s="117"/>
    </row>
    <row r="496" spans="1:19" s="146" customFormat="1" ht="18" customHeight="1">
      <c r="A496" s="141"/>
      <c r="B496" s="155"/>
      <c r="C496" s="920"/>
      <c r="D496" s="920"/>
      <c r="E496" s="154"/>
      <c r="F496" s="155"/>
      <c r="G496" s="140"/>
      <c r="H496" s="141"/>
      <c r="I496" s="142"/>
      <c r="J496" s="143"/>
      <c r="K496" s="142"/>
      <c r="L496" s="143"/>
      <c r="M496" s="143"/>
      <c r="N496" s="170"/>
      <c r="O496" s="115"/>
      <c r="P496" s="115"/>
      <c r="Q496" s="116"/>
      <c r="R496" s="116"/>
      <c r="S496" s="117"/>
    </row>
    <row r="497" spans="1:19" s="146" customFormat="1" ht="18" customHeight="1">
      <c r="A497" s="141"/>
      <c r="B497" s="155"/>
      <c r="C497" s="920"/>
      <c r="D497" s="920"/>
      <c r="E497" s="154"/>
      <c r="F497" s="155"/>
      <c r="G497" s="140"/>
      <c r="H497" s="141"/>
      <c r="I497" s="210"/>
      <c r="J497" s="143"/>
      <c r="K497" s="210"/>
      <c r="L497" s="143"/>
      <c r="M497" s="143"/>
      <c r="N497" s="170"/>
      <c r="O497" s="115"/>
      <c r="P497" s="115"/>
      <c r="Q497" s="116"/>
      <c r="R497" s="116"/>
      <c r="S497" s="117"/>
    </row>
    <row r="498" spans="1:19" s="146" customFormat="1" ht="18" customHeight="1">
      <c r="A498" s="141"/>
      <c r="B498" s="155"/>
      <c r="C498" s="920"/>
      <c r="D498" s="920"/>
      <c r="E498" s="154"/>
      <c r="F498" s="155"/>
      <c r="G498" s="140"/>
      <c r="H498" s="141"/>
      <c r="I498" s="210"/>
      <c r="J498" s="143"/>
      <c r="K498" s="210"/>
      <c r="L498" s="143"/>
      <c r="M498" s="143"/>
      <c r="N498" s="170"/>
      <c r="O498" s="115"/>
      <c r="P498" s="115"/>
      <c r="Q498" s="116"/>
      <c r="R498" s="116"/>
      <c r="S498" s="117"/>
    </row>
    <row r="499" spans="1:19" s="146" customFormat="1" ht="18" customHeight="1">
      <c r="A499" s="141"/>
      <c r="B499" s="155"/>
      <c r="C499" s="920"/>
      <c r="D499" s="920"/>
      <c r="E499" s="154"/>
      <c r="F499" s="155"/>
      <c r="G499" s="140"/>
      <c r="H499" s="141"/>
      <c r="I499" s="210"/>
      <c r="J499" s="143"/>
      <c r="K499" s="210"/>
      <c r="L499" s="143"/>
      <c r="M499" s="143"/>
      <c r="N499" s="170"/>
      <c r="O499" s="115"/>
      <c r="P499" s="115"/>
      <c r="Q499" s="116"/>
      <c r="R499" s="116"/>
      <c r="S499" s="117"/>
    </row>
    <row r="500" spans="1:19" s="146" customFormat="1" ht="18" customHeight="1">
      <c r="A500" s="141"/>
      <c r="B500" s="155"/>
      <c r="C500" s="920"/>
      <c r="D500" s="920"/>
      <c r="E500" s="154"/>
      <c r="F500" s="155"/>
      <c r="G500" s="140"/>
      <c r="H500" s="141"/>
      <c r="I500" s="210"/>
      <c r="J500" s="143"/>
      <c r="K500" s="210"/>
      <c r="L500" s="143"/>
      <c r="M500" s="143"/>
      <c r="N500" s="170"/>
      <c r="O500" s="115"/>
      <c r="P500" s="115"/>
      <c r="Q500" s="116"/>
      <c r="R500" s="116"/>
      <c r="S500" s="117"/>
    </row>
    <row r="501" spans="1:19" s="146" customFormat="1" ht="18" customHeight="1">
      <c r="A501" s="141"/>
      <c r="B501" s="155"/>
      <c r="C501" s="920"/>
      <c r="D501" s="920"/>
      <c r="E501" s="154"/>
      <c r="F501" s="155"/>
      <c r="G501" s="140"/>
      <c r="H501" s="141"/>
      <c r="I501" s="210"/>
      <c r="J501" s="143"/>
      <c r="K501" s="210"/>
      <c r="L501" s="143"/>
      <c r="M501" s="143"/>
      <c r="N501" s="170"/>
      <c r="O501" s="115"/>
      <c r="P501" s="115"/>
      <c r="Q501" s="116"/>
      <c r="R501" s="116"/>
      <c r="S501" s="117"/>
    </row>
    <row r="502" spans="1:19" s="146" customFormat="1" ht="18" customHeight="1">
      <c r="A502" s="141"/>
      <c r="B502" s="155"/>
      <c r="C502" s="920"/>
      <c r="D502" s="920"/>
      <c r="E502" s="154"/>
      <c r="F502" s="155"/>
      <c r="G502" s="140"/>
      <c r="H502" s="141"/>
      <c r="I502" s="210"/>
      <c r="J502" s="143"/>
      <c r="K502" s="210"/>
      <c r="L502" s="143"/>
      <c r="M502" s="143"/>
      <c r="N502" s="170"/>
      <c r="O502" s="115"/>
      <c r="P502" s="115"/>
      <c r="Q502" s="116"/>
      <c r="R502" s="116"/>
      <c r="S502" s="117"/>
    </row>
    <row r="503" spans="1:19" s="146" customFormat="1" ht="18" customHeight="1">
      <c r="A503" s="141"/>
      <c r="B503" s="155"/>
      <c r="C503" s="920"/>
      <c r="D503" s="920"/>
      <c r="E503" s="154"/>
      <c r="F503" s="155"/>
      <c r="G503" s="140"/>
      <c r="H503" s="141"/>
      <c r="I503" s="210"/>
      <c r="J503" s="143"/>
      <c r="K503" s="210"/>
      <c r="L503" s="143"/>
      <c r="M503" s="143"/>
      <c r="N503" s="170"/>
      <c r="O503" s="115"/>
      <c r="P503" s="115"/>
      <c r="Q503" s="116"/>
      <c r="R503" s="116"/>
      <c r="S503" s="117"/>
    </row>
    <row r="504" spans="1:19" s="146" customFormat="1" ht="18" customHeight="1">
      <c r="A504" s="141"/>
      <c r="B504" s="155"/>
      <c r="C504" s="920"/>
      <c r="D504" s="920"/>
      <c r="E504" s="154"/>
      <c r="F504" s="155"/>
      <c r="G504" s="140"/>
      <c r="H504" s="141"/>
      <c r="I504" s="210"/>
      <c r="J504" s="143"/>
      <c r="K504" s="210"/>
      <c r="L504" s="143"/>
      <c r="M504" s="143"/>
      <c r="N504" s="170"/>
      <c r="O504" s="115"/>
      <c r="P504" s="115"/>
      <c r="Q504" s="116"/>
      <c r="R504" s="116"/>
      <c r="S504" s="117"/>
    </row>
    <row r="505" spans="1:19" s="146" customFormat="1" ht="18" customHeight="1">
      <c r="A505" s="141"/>
      <c r="B505" s="155"/>
      <c r="C505" s="920"/>
      <c r="D505" s="920"/>
      <c r="E505" s="154"/>
      <c r="F505" s="155"/>
      <c r="G505" s="140"/>
      <c r="H505" s="141"/>
      <c r="I505" s="210"/>
      <c r="J505" s="143"/>
      <c r="K505" s="210"/>
      <c r="L505" s="143"/>
      <c r="M505" s="143"/>
      <c r="N505" s="170"/>
      <c r="O505" s="115"/>
      <c r="P505" s="115"/>
      <c r="Q505" s="116"/>
      <c r="R505" s="116"/>
      <c r="S505" s="117"/>
    </row>
    <row r="506" spans="1:19" s="146" customFormat="1" ht="18" customHeight="1">
      <c r="A506" s="141"/>
      <c r="B506" s="155"/>
      <c r="C506" s="920"/>
      <c r="D506" s="920"/>
      <c r="E506" s="154"/>
      <c r="F506" s="155"/>
      <c r="G506" s="921"/>
      <c r="H506" s="141"/>
      <c r="I506" s="210"/>
      <c r="J506" s="215"/>
      <c r="K506" s="210"/>
      <c r="L506" s="215"/>
      <c r="M506" s="215"/>
      <c r="N506" s="171"/>
      <c r="O506" s="115"/>
      <c r="P506" s="115"/>
      <c r="Q506" s="116"/>
      <c r="R506" s="116"/>
      <c r="S506" s="117"/>
    </row>
    <row r="507" spans="1:19" s="146" customFormat="1" ht="18" customHeight="1">
      <c r="A507" s="141"/>
      <c r="B507" s="155"/>
      <c r="C507" s="920"/>
      <c r="D507" s="920"/>
      <c r="E507" s="154"/>
      <c r="F507" s="155"/>
      <c r="G507" s="140"/>
      <c r="H507" s="141"/>
      <c r="I507" s="210"/>
      <c r="J507" s="143"/>
      <c r="K507" s="210"/>
      <c r="L507" s="143"/>
      <c r="M507" s="143"/>
      <c r="N507" s="170"/>
      <c r="O507" s="115"/>
      <c r="P507" s="115"/>
      <c r="Q507" s="116"/>
      <c r="R507" s="116"/>
      <c r="S507" s="117"/>
    </row>
    <row r="508" spans="1:19" s="168" customFormat="1" ht="18" customHeight="1" thickBot="1">
      <c r="A508" s="162"/>
      <c r="B508" s="159"/>
      <c r="C508" s="158"/>
      <c r="D508" s="158"/>
      <c r="E508" s="157"/>
      <c r="F508" s="159"/>
      <c r="G508" s="160"/>
      <c r="H508" s="161" t="s">
        <v>15</v>
      </c>
      <c r="I508" s="214"/>
      <c r="J508" s="163">
        <f>SUM(J469:J507)</f>
        <v>1466160</v>
      </c>
      <c r="K508" s="214"/>
      <c r="L508" s="163"/>
      <c r="M508" s="163">
        <f>SUM(M469:M507)</f>
        <v>45681</v>
      </c>
      <c r="N508" s="169"/>
      <c r="O508" s="165">
        <f>SUM(O469:O478)</f>
        <v>1559205</v>
      </c>
      <c r="P508" s="165"/>
      <c r="Q508" s="166"/>
      <c r="R508" s="166"/>
      <c r="S508" s="167"/>
    </row>
    <row r="509" spans="1:19" s="146" customFormat="1" ht="18" customHeight="1" thickTop="1">
      <c r="A509" s="155"/>
      <c r="B509" s="155"/>
      <c r="C509" s="920"/>
      <c r="D509" s="920"/>
      <c r="E509" s="155"/>
      <c r="F509" s="155"/>
      <c r="G509" s="155"/>
      <c r="H509" s="155"/>
      <c r="I509" s="155"/>
      <c r="J509" s="169"/>
      <c r="K509" s="172"/>
      <c r="L509" s="171"/>
      <c r="M509" s="171"/>
      <c r="N509" s="171"/>
      <c r="O509" s="115"/>
      <c r="P509" s="115"/>
      <c r="Q509" s="116"/>
      <c r="R509" s="116"/>
      <c r="S509" s="117"/>
    </row>
    <row r="510" spans="1:19" s="146" customFormat="1" ht="18" customHeight="1">
      <c r="A510" s="155"/>
      <c r="B510" s="155"/>
      <c r="C510" s="920"/>
      <c r="D510" s="920"/>
      <c r="E510" s="155"/>
      <c r="F510" s="155"/>
      <c r="G510" s="155"/>
      <c r="H510" s="155"/>
      <c r="I510" s="155"/>
      <c r="J510" s="155"/>
      <c r="K510" s="172"/>
      <c r="L510" s="170"/>
      <c r="M510" s="170"/>
      <c r="N510" s="170"/>
      <c r="O510" s="115"/>
      <c r="P510" s="115"/>
      <c r="Q510" s="116"/>
      <c r="R510" s="116"/>
      <c r="S510" s="117"/>
    </row>
    <row r="511" spans="1:19" s="146" customFormat="1" ht="18" customHeight="1">
      <c r="A511" s="155"/>
      <c r="B511" s="155"/>
      <c r="C511" s="920"/>
      <c r="D511" s="920"/>
      <c r="E511" s="155"/>
      <c r="F511" s="155"/>
      <c r="G511" s="155"/>
      <c r="H511" s="155"/>
      <c r="I511" s="155"/>
      <c r="J511" s="155"/>
      <c r="K511" s="172"/>
      <c r="L511" s="170"/>
      <c r="M511" s="170"/>
      <c r="N511" s="170"/>
      <c r="O511" s="115"/>
      <c r="P511" s="115"/>
      <c r="Q511" s="116"/>
      <c r="R511" s="116"/>
      <c r="S511" s="117"/>
    </row>
    <row r="512" spans="1:19" s="146" customFormat="1" ht="18" customHeight="1">
      <c r="A512" s="173" t="s">
        <v>614</v>
      </c>
      <c r="B512" s="173"/>
      <c r="C512" s="912"/>
      <c r="D512" s="912"/>
      <c r="E512" s="174"/>
      <c r="F512" s="174"/>
      <c r="G512" s="174"/>
      <c r="H512" s="173" t="s">
        <v>615</v>
      </c>
      <c r="I512" s="174"/>
      <c r="K512" s="173" t="s">
        <v>253</v>
      </c>
      <c r="L512" s="175"/>
      <c r="M512" s="175"/>
      <c r="N512" s="175"/>
      <c r="O512" s="115"/>
      <c r="P512" s="115"/>
      <c r="Q512" s="116"/>
      <c r="R512" s="116"/>
      <c r="S512" s="117"/>
    </row>
    <row r="513" spans="1:23" s="146" customFormat="1" ht="18" customHeight="1">
      <c r="A513" s="174"/>
      <c r="B513" s="174"/>
      <c r="C513" s="913"/>
      <c r="D513" s="913"/>
      <c r="E513" s="174"/>
      <c r="F513" s="174"/>
      <c r="G513" s="174"/>
      <c r="H513" s="174"/>
      <c r="I513" s="174"/>
      <c r="J513" s="174"/>
      <c r="K513" s="176"/>
      <c r="L513" s="175"/>
      <c r="M513" s="175"/>
      <c r="N513" s="175"/>
      <c r="O513" s="115"/>
      <c r="P513" s="115"/>
      <c r="Q513" s="116"/>
      <c r="R513" s="116"/>
      <c r="S513" s="117"/>
    </row>
    <row r="514" spans="1:23" s="146" customFormat="1" ht="18" customHeight="1">
      <c r="A514" s="1531" t="s">
        <v>242</v>
      </c>
      <c r="B514" s="1531"/>
      <c r="C514" s="1531"/>
      <c r="D514" s="1531"/>
      <c r="E514" s="1531"/>
      <c r="F514" s="1531"/>
      <c r="G514" s="174"/>
      <c r="H514" s="1531" t="s">
        <v>17</v>
      </c>
      <c r="I514" s="1531"/>
      <c r="J514" s="174"/>
      <c r="K514" s="1531" t="s">
        <v>1436</v>
      </c>
      <c r="L514" s="1531"/>
      <c r="M514" s="1531"/>
      <c r="N514" s="912"/>
      <c r="O514" s="115"/>
      <c r="P514" s="115"/>
      <c r="Q514" s="116"/>
      <c r="R514" s="116"/>
      <c r="S514" s="117"/>
    </row>
    <row r="515" spans="1:23" s="146" customFormat="1" ht="18" customHeight="1">
      <c r="A515" s="1520" t="s">
        <v>422</v>
      </c>
      <c r="B515" s="1520"/>
      <c r="C515" s="1520"/>
      <c r="D515" s="1520"/>
      <c r="E515" s="1520"/>
      <c r="F515" s="1520"/>
      <c r="G515" s="177"/>
      <c r="H515" s="1520" t="s">
        <v>18</v>
      </c>
      <c r="I515" s="1520"/>
      <c r="J515" s="912"/>
      <c r="K515" s="1520" t="s">
        <v>14</v>
      </c>
      <c r="L515" s="1520"/>
      <c r="M515" s="1520"/>
      <c r="N515" s="913"/>
      <c r="O515" s="115"/>
      <c r="P515" s="115"/>
      <c r="Q515" s="116"/>
      <c r="R515" s="116"/>
      <c r="S515" s="117"/>
    </row>
    <row r="516" spans="1:23" ht="18" customHeight="1">
      <c r="A516" s="111"/>
      <c r="B516" s="111"/>
      <c r="C516" s="910"/>
      <c r="D516" s="910"/>
      <c r="E516" s="1540"/>
      <c r="F516" s="1540"/>
      <c r="G516" s="1540"/>
      <c r="H516" s="910"/>
      <c r="I516" s="910"/>
      <c r="J516" s="910"/>
      <c r="K516" s="1540"/>
      <c r="L516" s="1540"/>
      <c r="M516" s="1540"/>
      <c r="N516" s="910"/>
    </row>
    <row r="517" spans="1:23" ht="18" customHeight="1">
      <c r="A517" s="111"/>
      <c r="B517" s="111"/>
      <c r="C517" s="910"/>
      <c r="D517" s="910"/>
      <c r="E517" s="111"/>
      <c r="F517" s="111"/>
      <c r="G517" s="111"/>
      <c r="H517" s="111"/>
      <c r="I517" s="111"/>
      <c r="J517" s="111"/>
      <c r="K517" s="112"/>
      <c r="M517" s="113"/>
      <c r="N517" s="113"/>
    </row>
    <row r="518" spans="1:23" ht="18" customHeight="1">
      <c r="A518" s="111"/>
      <c r="B518" s="111"/>
      <c r="C518" s="910"/>
      <c r="D518" s="910"/>
      <c r="E518" s="111"/>
      <c r="F518" s="111"/>
      <c r="G518" s="111"/>
      <c r="H518" s="111"/>
      <c r="I518" s="111"/>
      <c r="J518" s="111"/>
      <c r="K518" s="112"/>
      <c r="M518" s="113"/>
      <c r="N518" s="113"/>
    </row>
    <row r="519" spans="1:23" ht="18" customHeight="1">
      <c r="A519" s="111"/>
      <c r="B519" s="111"/>
      <c r="C519" s="910"/>
      <c r="D519" s="910"/>
      <c r="E519" s="111"/>
      <c r="F519" s="111"/>
      <c r="G519" s="111"/>
      <c r="H519" s="111"/>
      <c r="I519" s="111"/>
      <c r="J519" s="111"/>
      <c r="K519" s="112"/>
      <c r="M519" s="113"/>
      <c r="N519" s="113"/>
    </row>
    <row r="520" spans="1:23" ht="18" customHeight="1">
      <c r="A520" s="111"/>
      <c r="B520" s="111"/>
      <c r="C520" s="910"/>
      <c r="D520" s="910"/>
      <c r="E520" s="111"/>
      <c r="F520" s="111"/>
      <c r="G520" s="111"/>
      <c r="H520" s="111"/>
      <c r="I520" s="111"/>
      <c r="J520" s="111"/>
      <c r="K520" s="112"/>
      <c r="M520" s="113"/>
      <c r="N520" s="113"/>
    </row>
    <row r="521" spans="1:23" ht="18" customHeight="1">
      <c r="A521" s="111"/>
      <c r="B521" s="111"/>
      <c r="C521" s="910"/>
      <c r="D521" s="910"/>
      <c r="E521" s="111"/>
      <c r="F521" s="111"/>
      <c r="G521" s="111"/>
      <c r="H521" s="111"/>
      <c r="I521" s="111"/>
      <c r="J521" s="111"/>
      <c r="K521" s="112"/>
      <c r="M521" s="113"/>
      <c r="N521" s="113"/>
    </row>
    <row r="522" spans="1:23" s="115" customFormat="1" ht="18" customHeight="1">
      <c r="A522" s="111"/>
      <c r="B522" s="111"/>
      <c r="C522" s="910"/>
      <c r="D522" s="910"/>
      <c r="E522" s="111"/>
      <c r="F522" s="111"/>
      <c r="G522" s="111"/>
      <c r="H522" s="111"/>
      <c r="I522" s="111"/>
      <c r="J522" s="111"/>
      <c r="K522" s="112"/>
      <c r="L522" s="113"/>
      <c r="M522" s="113"/>
      <c r="N522" s="113"/>
      <c r="Q522" s="116"/>
      <c r="R522" s="116"/>
      <c r="S522" s="117"/>
      <c r="T522" s="118"/>
      <c r="U522" s="118"/>
      <c r="V522" s="118"/>
      <c r="W522" s="118"/>
    </row>
    <row r="523" spans="1:23" s="115" customFormat="1" ht="18" customHeight="1">
      <c r="A523" s="111"/>
      <c r="B523" s="111"/>
      <c r="C523" s="910"/>
      <c r="D523" s="910"/>
      <c r="E523" s="111"/>
      <c r="F523" s="111"/>
      <c r="G523" s="111"/>
      <c r="H523" s="111"/>
      <c r="I523" s="111"/>
      <c r="J523" s="111"/>
      <c r="K523" s="112"/>
      <c r="L523" s="113"/>
      <c r="M523" s="113"/>
      <c r="N523" s="113"/>
      <c r="Q523" s="116"/>
      <c r="R523" s="116"/>
      <c r="S523" s="117"/>
      <c r="T523" s="118"/>
      <c r="U523" s="118"/>
      <c r="V523" s="118"/>
      <c r="W523" s="118"/>
    </row>
    <row r="524" spans="1:23" s="115" customFormat="1" ht="18" customHeight="1">
      <c r="A524" s="111"/>
      <c r="B524" s="111"/>
      <c r="C524" s="910"/>
      <c r="D524" s="910"/>
      <c r="E524" s="111"/>
      <c r="F524" s="111"/>
      <c r="G524" s="111"/>
      <c r="H524" s="111"/>
      <c r="I524" s="111"/>
      <c r="J524" s="111"/>
      <c r="K524" s="112"/>
      <c r="L524" s="113"/>
      <c r="M524" s="113"/>
      <c r="N524" s="113"/>
      <c r="Q524" s="116"/>
      <c r="R524" s="116"/>
      <c r="S524" s="117"/>
      <c r="T524" s="118"/>
      <c r="U524" s="118"/>
      <c r="V524" s="118"/>
      <c r="W524" s="118"/>
    </row>
    <row r="525" spans="1:23" s="115" customFormat="1" ht="18" customHeight="1">
      <c r="A525" s="111"/>
      <c r="B525" s="111"/>
      <c r="C525" s="910"/>
      <c r="D525" s="910"/>
      <c r="E525" s="111"/>
      <c r="F525" s="111"/>
      <c r="G525" s="111"/>
      <c r="H525" s="111"/>
      <c r="I525" s="111"/>
      <c r="J525" s="111"/>
      <c r="K525" s="112"/>
      <c r="L525" s="113"/>
      <c r="M525" s="113"/>
      <c r="N525" s="113"/>
      <c r="Q525" s="116"/>
      <c r="R525" s="116"/>
      <c r="S525" s="117"/>
      <c r="T525" s="118"/>
      <c r="U525" s="118"/>
      <c r="V525" s="118"/>
      <c r="W525" s="118"/>
    </row>
    <row r="526" spans="1:23" s="115" customFormat="1" ht="20.100000000000001" customHeight="1">
      <c r="A526" s="1448" t="s">
        <v>956</v>
      </c>
      <c r="B526" s="1448"/>
      <c r="C526" s="1448"/>
      <c r="D526" s="1448"/>
      <c r="E526" s="1448"/>
      <c r="F526" s="1448"/>
      <c r="G526" s="1448"/>
      <c r="H526" s="1448"/>
      <c r="I526" s="1448"/>
      <c r="J526" s="1448"/>
      <c r="K526" s="1448"/>
      <c r="L526" s="1448"/>
      <c r="M526" s="1448"/>
      <c r="N526" s="918"/>
      <c r="Q526" s="116"/>
      <c r="R526" s="116"/>
      <c r="S526" s="117"/>
      <c r="T526" s="118"/>
      <c r="U526" s="118"/>
      <c r="V526" s="118"/>
      <c r="W526" s="118"/>
    </row>
    <row r="527" spans="1:23" s="115" customFormat="1" ht="18" customHeight="1">
      <c r="A527" s="110"/>
      <c r="B527" s="110"/>
      <c r="C527" s="917"/>
      <c r="D527" s="917"/>
      <c r="E527" s="111"/>
      <c r="F527" s="111"/>
      <c r="G527" s="111"/>
      <c r="H527" s="111"/>
      <c r="I527" s="111"/>
      <c r="J527" s="111"/>
      <c r="K527" s="112"/>
      <c r="L527" s="113"/>
      <c r="M527" s="114"/>
      <c r="N527" s="114"/>
      <c r="Q527" s="116"/>
      <c r="R527" s="116"/>
      <c r="S527" s="117"/>
      <c r="T527" s="118"/>
      <c r="U527" s="118"/>
      <c r="V527" s="118"/>
      <c r="W527" s="118"/>
    </row>
    <row r="528" spans="1:23" s="115" customFormat="1" ht="18" customHeight="1">
      <c r="A528" s="1538" t="s">
        <v>1663</v>
      </c>
      <c r="B528" s="1538"/>
      <c r="C528" s="1538"/>
      <c r="D528" s="1538"/>
      <c r="E528" s="1538"/>
      <c r="F528" s="1538"/>
      <c r="G528" s="1538"/>
      <c r="H528" s="1538"/>
      <c r="I528" s="1538"/>
      <c r="J528" s="1538"/>
      <c r="K528" s="1538"/>
      <c r="L528" s="1538"/>
      <c r="M528" s="1538"/>
      <c r="N528" s="908"/>
      <c r="Q528" s="116"/>
      <c r="R528" s="116"/>
      <c r="S528" s="117"/>
      <c r="T528" s="118"/>
      <c r="U528" s="118"/>
      <c r="V528" s="118"/>
      <c r="W528" s="118"/>
    </row>
    <row r="529" spans="1:23" s="115" customFormat="1" ht="18" customHeight="1">
      <c r="A529" s="1539" t="s">
        <v>351</v>
      </c>
      <c r="B529" s="1539"/>
      <c r="C529" s="1539"/>
      <c r="D529" s="1539"/>
      <c r="E529" s="1539"/>
      <c r="F529" s="1539"/>
      <c r="G529" s="1539"/>
      <c r="H529" s="1539"/>
      <c r="I529" s="1539"/>
      <c r="J529" s="1539"/>
      <c r="K529" s="1539"/>
      <c r="L529" s="1539"/>
      <c r="M529" s="1539"/>
      <c r="N529" s="909"/>
      <c r="Q529" s="116"/>
      <c r="R529" s="116"/>
      <c r="S529" s="117"/>
      <c r="T529" s="118"/>
      <c r="U529" s="118"/>
      <c r="V529" s="118"/>
      <c r="W529" s="118"/>
    </row>
    <row r="530" spans="1:23" s="115" customFormat="1" ht="18" customHeight="1">
      <c r="A530" s="1540"/>
      <c r="B530" s="1540"/>
      <c r="C530" s="1540"/>
      <c r="D530" s="1540"/>
      <c r="E530" s="1540"/>
      <c r="F530" s="1540"/>
      <c r="G530" s="1540"/>
      <c r="H530" s="1540"/>
      <c r="I530" s="1540"/>
      <c r="J530" s="1540"/>
      <c r="K530" s="1540"/>
      <c r="L530" s="1540"/>
      <c r="M530" s="1540"/>
      <c r="N530" s="910"/>
      <c r="Q530" s="116"/>
      <c r="R530" s="116"/>
      <c r="S530" s="117"/>
      <c r="T530" s="118"/>
      <c r="U530" s="118"/>
      <c r="V530" s="118"/>
      <c r="W530" s="118"/>
    </row>
    <row r="531" spans="1:23" s="115" customFormat="1" ht="18" customHeight="1">
      <c r="A531" s="910"/>
      <c r="B531" s="910"/>
      <c r="C531" s="910"/>
      <c r="D531" s="910"/>
      <c r="E531" s="910"/>
      <c r="F531" s="910"/>
      <c r="G531" s="910"/>
      <c r="H531" s="910"/>
      <c r="I531" s="910"/>
      <c r="J531" s="910"/>
      <c r="K531" s="910"/>
      <c r="L531" s="910"/>
      <c r="M531" s="910"/>
      <c r="N531" s="910"/>
      <c r="Q531" s="116"/>
      <c r="R531" s="116"/>
      <c r="S531" s="117"/>
      <c r="T531" s="118"/>
      <c r="U531" s="118"/>
      <c r="V531" s="118"/>
      <c r="W531" s="118"/>
    </row>
    <row r="532" spans="1:23" s="115" customFormat="1" ht="18" customHeight="1">
      <c r="A532" s="111" t="s">
        <v>437</v>
      </c>
      <c r="B532" s="111"/>
      <c r="C532" s="111" t="s">
        <v>439</v>
      </c>
      <c r="D532" s="111" t="s">
        <v>307</v>
      </c>
      <c r="E532" s="111"/>
      <c r="F532" s="111"/>
      <c r="G532" s="111"/>
      <c r="H532" s="111"/>
      <c r="I532" s="910"/>
      <c r="J532" s="910"/>
      <c r="K532" s="910"/>
      <c r="L532" s="910"/>
      <c r="M532" s="910"/>
      <c r="N532" s="910"/>
      <c r="Q532" s="116"/>
      <c r="R532" s="116"/>
      <c r="S532" s="117"/>
      <c r="T532" s="118"/>
      <c r="U532" s="118"/>
      <c r="V532" s="118"/>
      <c r="W532" s="118"/>
    </row>
    <row r="533" spans="1:23" s="115" customFormat="1" ht="18" customHeight="1">
      <c r="A533" s="111" t="s">
        <v>449</v>
      </c>
      <c r="B533" s="111"/>
      <c r="C533" s="111" t="s">
        <v>439</v>
      </c>
      <c r="D533" s="111" t="s">
        <v>457</v>
      </c>
      <c r="E533" s="111"/>
      <c r="F533" s="111"/>
      <c r="G533" s="111"/>
      <c r="H533" s="111"/>
      <c r="I533" s="910"/>
      <c r="J533" s="910"/>
      <c r="K533" s="910"/>
      <c r="L533" s="910"/>
      <c r="M533" s="910"/>
      <c r="N533" s="910"/>
      <c r="O533" s="180"/>
      <c r="Q533" s="116"/>
      <c r="R533" s="116"/>
      <c r="S533" s="117"/>
      <c r="T533" s="118"/>
      <c r="U533" s="118"/>
      <c r="V533" s="118"/>
      <c r="W533" s="118"/>
    </row>
    <row r="534" spans="1:23" s="115" customFormat="1" ht="18" customHeight="1" thickBot="1">
      <c r="A534" s="111" t="s">
        <v>456</v>
      </c>
      <c r="B534" s="111"/>
      <c r="C534" s="216" t="s">
        <v>439</v>
      </c>
      <c r="D534" s="111" t="s">
        <v>661</v>
      </c>
      <c r="E534" s="111"/>
      <c r="F534" s="111"/>
      <c r="G534" s="111"/>
      <c r="H534" s="111"/>
      <c r="I534" s="910"/>
      <c r="J534" s="910"/>
      <c r="K534" s="910"/>
      <c r="L534" s="910"/>
      <c r="M534" s="910"/>
      <c r="N534" s="910"/>
      <c r="O534" s="180"/>
      <c r="Q534" s="116"/>
      <c r="R534" s="116"/>
      <c r="S534" s="117"/>
      <c r="T534" s="118"/>
      <c r="U534" s="118"/>
      <c r="V534" s="118"/>
      <c r="W534" s="118"/>
    </row>
    <row r="535" spans="1:23" s="115" customFormat="1" ht="18" customHeight="1">
      <c r="A535" s="1532" t="s">
        <v>619</v>
      </c>
      <c r="B535" s="1533"/>
      <c r="C535" s="1533"/>
      <c r="D535" s="1533"/>
      <c r="E535" s="1534"/>
      <c r="F535" s="1533"/>
      <c r="G535" s="1535"/>
      <c r="H535" s="911"/>
      <c r="I535" s="1536" t="s">
        <v>623</v>
      </c>
      <c r="J535" s="1537"/>
      <c r="K535" s="1536" t="s">
        <v>623</v>
      </c>
      <c r="L535" s="1537"/>
      <c r="M535" s="122"/>
      <c r="N535" s="876"/>
      <c r="O535" s="180"/>
      <c r="Q535" s="116"/>
      <c r="R535" s="116"/>
      <c r="S535" s="117"/>
      <c r="T535" s="118"/>
      <c r="U535" s="118"/>
      <c r="V535" s="118"/>
      <c r="W535" s="118"/>
    </row>
    <row r="536" spans="1:23" s="115" customFormat="1" ht="18" customHeight="1">
      <c r="A536" s="123" t="s">
        <v>620</v>
      </c>
      <c r="B536" s="1544" t="s">
        <v>621</v>
      </c>
      <c r="C536" s="1545"/>
      <c r="D536" s="1546"/>
      <c r="E536" s="1547" t="s">
        <v>43</v>
      </c>
      <c r="F536" s="1548"/>
      <c r="G536" s="1549"/>
      <c r="H536" s="914" t="s">
        <v>44</v>
      </c>
      <c r="I536" s="1547" t="s">
        <v>1613</v>
      </c>
      <c r="J536" s="1549"/>
      <c r="K536" s="1548" t="s">
        <v>1660</v>
      </c>
      <c r="L536" s="1549"/>
      <c r="M536" s="124" t="s">
        <v>45</v>
      </c>
      <c r="N536" s="877"/>
      <c r="Q536" s="116"/>
      <c r="R536" s="116"/>
      <c r="S536" s="117"/>
      <c r="T536" s="118"/>
      <c r="U536" s="118"/>
      <c r="V536" s="118"/>
      <c r="W536" s="118"/>
    </row>
    <row r="537" spans="1:23" ht="18" customHeight="1">
      <c r="A537" s="125"/>
      <c r="B537" s="914"/>
      <c r="C537" s="915"/>
      <c r="D537" s="915"/>
      <c r="E537" s="914"/>
      <c r="F537" s="915"/>
      <c r="G537" s="916"/>
      <c r="H537" s="914" t="s">
        <v>46</v>
      </c>
      <c r="I537" s="1550"/>
      <c r="J537" s="1551"/>
      <c r="K537" s="1550"/>
      <c r="L537" s="1551"/>
      <c r="M537" s="124" t="s">
        <v>47</v>
      </c>
      <c r="N537" s="877"/>
    </row>
    <row r="538" spans="1:23" ht="18" customHeight="1">
      <c r="A538" s="125"/>
      <c r="B538" s="914"/>
      <c r="C538" s="915"/>
      <c r="D538" s="915"/>
      <c r="E538" s="914"/>
      <c r="F538" s="915"/>
      <c r="G538" s="126"/>
      <c r="H538" s="127"/>
      <c r="I538" s="128" t="s">
        <v>622</v>
      </c>
      <c r="J538" s="129" t="s">
        <v>48</v>
      </c>
      <c r="K538" s="128" t="s">
        <v>622</v>
      </c>
      <c r="L538" s="129" t="s">
        <v>48</v>
      </c>
      <c r="M538" s="124"/>
      <c r="N538" s="120"/>
    </row>
    <row r="539" spans="1:23" ht="18" customHeight="1" thickBot="1">
      <c r="A539" s="130"/>
      <c r="B539" s="1541"/>
      <c r="C539" s="1542"/>
      <c r="D539" s="1543"/>
      <c r="E539" s="1541"/>
      <c r="F539" s="1542"/>
      <c r="G539" s="1543"/>
      <c r="H539" s="131"/>
      <c r="I539" s="131"/>
      <c r="J539" s="131"/>
      <c r="K539" s="131"/>
      <c r="L539" s="131"/>
      <c r="M539" s="132"/>
      <c r="N539" s="883"/>
    </row>
    <row r="540" spans="1:23" ht="18" customHeight="1">
      <c r="A540" s="181"/>
      <c r="B540" s="119"/>
      <c r="C540" s="119"/>
      <c r="D540" s="217"/>
      <c r="E540" s="119"/>
      <c r="F540" s="119"/>
      <c r="G540" s="134"/>
      <c r="H540" s="135"/>
      <c r="I540" s="182"/>
      <c r="J540" s="137"/>
      <c r="K540" s="182"/>
      <c r="L540" s="137"/>
      <c r="M540" s="137"/>
      <c r="N540" s="880"/>
    </row>
    <row r="541" spans="1:23" s="146" customFormat="1" ht="18" customHeight="1">
      <c r="A541" s="183">
        <v>1</v>
      </c>
      <c r="B541" s="920"/>
      <c r="C541" s="920"/>
      <c r="D541" s="921"/>
      <c r="E541" s="140" t="s">
        <v>76</v>
      </c>
      <c r="F541" s="920"/>
      <c r="G541" s="140"/>
      <c r="H541" s="141" t="s">
        <v>236</v>
      </c>
      <c r="I541" s="184" t="s">
        <v>867</v>
      </c>
      <c r="J541" s="143">
        <v>946668</v>
      </c>
      <c r="K541" s="184" t="s">
        <v>867</v>
      </c>
      <c r="L541" s="143">
        <v>964536</v>
      </c>
      <c r="M541" s="144">
        <f>L541-J541</f>
        <v>17868</v>
      </c>
      <c r="N541" s="879"/>
      <c r="O541" s="115">
        <f>M541+L541</f>
        <v>982404</v>
      </c>
      <c r="P541" s="115"/>
      <c r="Q541" s="116"/>
      <c r="R541" s="116"/>
      <c r="S541" s="145"/>
    </row>
    <row r="542" spans="1:23" s="146" customFormat="1" ht="18" customHeight="1">
      <c r="A542" s="183"/>
      <c r="B542" s="920"/>
      <c r="C542" s="920"/>
      <c r="D542" s="921"/>
      <c r="E542" s="155" t="s">
        <v>880</v>
      </c>
      <c r="F542" s="920"/>
      <c r="G542" s="140"/>
      <c r="H542" s="141"/>
      <c r="I542" s="184"/>
      <c r="J542" s="143"/>
      <c r="K542" s="184"/>
      <c r="L542" s="143"/>
      <c r="M542" s="143"/>
      <c r="N542" s="879"/>
      <c r="O542" s="115"/>
      <c r="P542" s="115"/>
      <c r="Q542" s="116"/>
      <c r="R542" s="116"/>
      <c r="S542" s="145"/>
    </row>
    <row r="543" spans="1:23" s="146" customFormat="1" ht="18" customHeight="1">
      <c r="A543" s="183"/>
      <c r="B543" s="920"/>
      <c r="C543" s="920"/>
      <c r="D543" s="921"/>
      <c r="E543" s="155"/>
      <c r="F543" s="920"/>
      <c r="G543" s="140"/>
      <c r="H543" s="141"/>
      <c r="I543" s="218"/>
      <c r="J543" s="149"/>
      <c r="K543" s="218"/>
      <c r="L543" s="149"/>
      <c r="M543" s="143"/>
      <c r="N543" s="170"/>
      <c r="O543" s="115"/>
      <c r="P543" s="115"/>
      <c r="Q543" s="116"/>
      <c r="R543" s="116"/>
      <c r="S543" s="117"/>
    </row>
    <row r="544" spans="1:23" s="146" customFormat="1" ht="18" customHeight="1">
      <c r="A544" s="183"/>
      <c r="B544" s="957"/>
      <c r="C544" s="957"/>
      <c r="D544" s="958"/>
      <c r="E544" s="155"/>
      <c r="F544" s="957"/>
      <c r="G544" s="140"/>
      <c r="H544" s="141"/>
      <c r="I544" s="218"/>
      <c r="J544" s="149"/>
      <c r="K544" s="218"/>
      <c r="L544" s="149"/>
      <c r="M544" s="143"/>
      <c r="N544" s="170"/>
      <c r="O544" s="115"/>
      <c r="P544" s="115"/>
      <c r="Q544" s="116"/>
      <c r="R544" s="116"/>
      <c r="S544" s="117"/>
    </row>
    <row r="545" spans="1:19" s="146" customFormat="1" ht="18" customHeight="1">
      <c r="A545" s="183">
        <v>2</v>
      </c>
      <c r="B545" s="1552"/>
      <c r="C545" s="1553"/>
      <c r="D545" s="1554"/>
      <c r="E545" s="929" t="s">
        <v>1654</v>
      </c>
      <c r="F545" s="930"/>
      <c r="G545" s="140"/>
      <c r="H545" s="141" t="s">
        <v>1524</v>
      </c>
      <c r="I545" s="142" t="s">
        <v>1655</v>
      </c>
      <c r="J545" s="143">
        <v>389136</v>
      </c>
      <c r="K545" s="142" t="s">
        <v>1655</v>
      </c>
      <c r="L545" s="143">
        <v>404652</v>
      </c>
      <c r="M545" s="144">
        <f>L545-J545</f>
        <v>15516</v>
      </c>
      <c r="N545" s="879"/>
      <c r="O545" s="115">
        <f>M545+L545</f>
        <v>420168</v>
      </c>
      <c r="P545" s="115"/>
      <c r="Q545" s="116"/>
      <c r="R545" s="116"/>
      <c r="S545" s="145"/>
    </row>
    <row r="546" spans="1:19" s="146" customFormat="1" ht="18" customHeight="1">
      <c r="A546" s="183"/>
      <c r="B546" s="957"/>
      <c r="C546" s="957"/>
      <c r="D546" s="958"/>
      <c r="E546" s="155"/>
      <c r="F546" s="957"/>
      <c r="G546" s="140"/>
      <c r="H546" s="141"/>
      <c r="I546" s="218"/>
      <c r="J546" s="149"/>
      <c r="K546" s="218"/>
      <c r="L546" s="149"/>
      <c r="M546" s="143"/>
      <c r="N546" s="170"/>
      <c r="O546" s="115"/>
      <c r="P546" s="115"/>
      <c r="Q546" s="116"/>
      <c r="R546" s="116"/>
      <c r="S546" s="117"/>
    </row>
    <row r="547" spans="1:19" s="146" customFormat="1" ht="18" customHeight="1">
      <c r="A547" s="183"/>
      <c r="B547" s="957"/>
      <c r="C547" s="957"/>
      <c r="D547" s="958"/>
      <c r="E547" s="155"/>
      <c r="F547" s="957"/>
      <c r="G547" s="140"/>
      <c r="H547" s="141"/>
      <c r="I547" s="218"/>
      <c r="J547" s="149"/>
      <c r="K547" s="218"/>
      <c r="L547" s="149"/>
      <c r="M547" s="143"/>
      <c r="N547" s="170"/>
      <c r="O547" s="115"/>
      <c r="P547" s="115"/>
      <c r="Q547" s="116"/>
      <c r="R547" s="116"/>
      <c r="S547" s="117"/>
    </row>
    <row r="548" spans="1:19" s="146" customFormat="1" ht="18" customHeight="1">
      <c r="A548" s="183">
        <v>3</v>
      </c>
      <c r="B548" s="920"/>
      <c r="C548" s="920"/>
      <c r="D548" s="920"/>
      <c r="E548" s="919" t="s">
        <v>946</v>
      </c>
      <c r="F548" s="920"/>
      <c r="G548" s="140"/>
      <c r="H548" s="141" t="s">
        <v>102</v>
      </c>
      <c r="I548" s="142" t="s">
        <v>252</v>
      </c>
      <c r="J548" s="143">
        <v>281604</v>
      </c>
      <c r="K548" s="142" t="s">
        <v>252</v>
      </c>
      <c r="L548" s="143">
        <v>297480</v>
      </c>
      <c r="M548" s="144">
        <f>L548-J548</f>
        <v>15876</v>
      </c>
      <c r="N548" s="879"/>
      <c r="O548" s="115">
        <f>M548+L548</f>
        <v>313356</v>
      </c>
      <c r="P548" s="115"/>
      <c r="Q548" s="116"/>
      <c r="R548" s="116"/>
      <c r="S548" s="145"/>
    </row>
    <row r="549" spans="1:19" s="146" customFormat="1" ht="18" customHeight="1">
      <c r="A549" s="183"/>
      <c r="B549" s="957"/>
      <c r="C549" s="957"/>
      <c r="D549" s="958"/>
      <c r="E549" s="155"/>
      <c r="F549" s="957"/>
      <c r="G549" s="140"/>
      <c r="H549" s="141"/>
      <c r="I549" s="218"/>
      <c r="J549" s="149"/>
      <c r="K549" s="218"/>
      <c r="L549" s="149"/>
      <c r="M549" s="143"/>
      <c r="N549" s="170"/>
      <c r="O549" s="115"/>
      <c r="P549" s="115"/>
      <c r="Q549" s="116"/>
      <c r="R549" s="116"/>
      <c r="S549" s="117"/>
    </row>
    <row r="550" spans="1:19" s="146" customFormat="1" ht="18" customHeight="1">
      <c r="A550" s="183"/>
      <c r="B550" s="920"/>
      <c r="C550" s="920"/>
      <c r="D550" s="921"/>
      <c r="E550" s="155"/>
      <c r="F550" s="920"/>
      <c r="G550" s="140"/>
      <c r="H550" s="141"/>
      <c r="I550" s="218"/>
      <c r="J550" s="143"/>
      <c r="K550" s="218"/>
      <c r="L550" s="143"/>
      <c r="M550" s="143"/>
      <c r="N550" s="170"/>
      <c r="O550" s="115"/>
      <c r="P550" s="115"/>
      <c r="Q550" s="116"/>
      <c r="R550" s="116"/>
      <c r="S550" s="117"/>
    </row>
    <row r="551" spans="1:19" s="146" customFormat="1" ht="18" customHeight="1">
      <c r="A551" s="183">
        <v>4</v>
      </c>
      <c r="B551" s="920"/>
      <c r="C551" s="920"/>
      <c r="D551" s="921"/>
      <c r="E551" s="155" t="s">
        <v>86</v>
      </c>
      <c r="F551" s="920"/>
      <c r="G551" s="140"/>
      <c r="H551" s="141" t="s">
        <v>12</v>
      </c>
      <c r="I551" s="184" t="s">
        <v>88</v>
      </c>
      <c r="J551" s="143">
        <v>206376</v>
      </c>
      <c r="K551" s="184" t="s">
        <v>88</v>
      </c>
      <c r="L551" s="143">
        <v>214500</v>
      </c>
      <c r="M551" s="144">
        <f>L551-J551</f>
        <v>8124</v>
      </c>
      <c r="N551" s="879"/>
      <c r="O551" s="115">
        <f>M551+L551</f>
        <v>222624</v>
      </c>
      <c r="P551" s="115"/>
      <c r="Q551" s="116"/>
      <c r="R551" s="116"/>
      <c r="S551" s="145"/>
    </row>
    <row r="552" spans="1:19" s="146" customFormat="1" ht="18" customHeight="1">
      <c r="A552" s="183"/>
      <c r="B552" s="920"/>
      <c r="C552" s="920"/>
      <c r="D552" s="921"/>
      <c r="E552" s="155"/>
      <c r="F552" s="920"/>
      <c r="G552" s="140"/>
      <c r="H552" s="141"/>
      <c r="I552" s="218"/>
      <c r="J552" s="143"/>
      <c r="K552" s="218"/>
      <c r="L552" s="143"/>
      <c r="M552" s="144"/>
      <c r="N552" s="879"/>
      <c r="O552" s="115"/>
      <c r="P552" s="115"/>
      <c r="Q552" s="116"/>
      <c r="R552" s="116"/>
      <c r="S552" s="117"/>
    </row>
    <row r="553" spans="1:19" s="146" customFormat="1" ht="18" customHeight="1">
      <c r="A553" s="183"/>
      <c r="B553" s="920"/>
      <c r="C553" s="920"/>
      <c r="D553" s="921"/>
      <c r="E553" s="155"/>
      <c r="F553" s="920"/>
      <c r="G553" s="140"/>
      <c r="H553" s="141"/>
      <c r="I553" s="156"/>
      <c r="J553" s="143"/>
      <c r="K553" s="156"/>
      <c r="L553" s="143"/>
      <c r="M553" s="144"/>
      <c r="N553" s="879"/>
      <c r="O553" s="115"/>
      <c r="P553" s="115"/>
      <c r="Q553" s="116"/>
      <c r="R553" s="116"/>
      <c r="S553" s="117"/>
    </row>
    <row r="554" spans="1:19" s="146" customFormat="1" ht="18" customHeight="1">
      <c r="A554" s="183">
        <v>5</v>
      </c>
      <c r="B554" s="920"/>
      <c r="C554" s="920"/>
      <c r="D554" s="921"/>
      <c r="E554" s="155" t="s">
        <v>74</v>
      </c>
      <c r="F554" s="920"/>
      <c r="G554" s="140"/>
      <c r="H554" s="141" t="s">
        <v>1535</v>
      </c>
      <c r="I554" s="194" t="s">
        <v>238</v>
      </c>
      <c r="J554" s="143">
        <v>172140</v>
      </c>
      <c r="K554" s="194" t="s">
        <v>238</v>
      </c>
      <c r="L554" s="143">
        <v>179040</v>
      </c>
      <c r="M554" s="144">
        <f>L554-J554</f>
        <v>6900</v>
      </c>
      <c r="N554" s="879"/>
      <c r="O554" s="115">
        <f>L555+M554+M555</f>
        <v>6900</v>
      </c>
      <c r="P554" s="115"/>
      <c r="Q554" s="116"/>
      <c r="R554" s="116"/>
      <c r="S554" s="145"/>
    </row>
    <row r="555" spans="1:19" s="146" customFormat="1" ht="18" customHeight="1">
      <c r="A555" s="183"/>
      <c r="B555" s="957"/>
      <c r="C555" s="957"/>
      <c r="D555" s="958"/>
      <c r="E555" s="155"/>
      <c r="F555" s="957"/>
      <c r="G555" s="140"/>
      <c r="H555" s="219"/>
      <c r="I555" s="194"/>
      <c r="J555" s="143"/>
      <c r="K555" s="194"/>
      <c r="L555" s="143"/>
      <c r="M555" s="144"/>
      <c r="N555" s="879">
        <f>(L555-L554)*6/12</f>
        <v>-89520</v>
      </c>
      <c r="O555" s="115"/>
      <c r="P555" s="115"/>
      <c r="Q555" s="116"/>
      <c r="R555" s="116"/>
      <c r="S555" s="145"/>
    </row>
    <row r="556" spans="1:19" s="146" customFormat="1" ht="18" customHeight="1">
      <c r="A556" s="183"/>
      <c r="B556" s="920"/>
      <c r="C556" s="920"/>
      <c r="D556" s="921"/>
      <c r="E556" s="155"/>
      <c r="F556" s="920"/>
      <c r="G556" s="140"/>
      <c r="H556" s="141"/>
      <c r="I556" s="194"/>
      <c r="J556" s="149"/>
      <c r="K556" s="194"/>
      <c r="L556" s="149"/>
      <c r="M556" s="144"/>
      <c r="N556" s="879"/>
      <c r="O556" s="115"/>
      <c r="P556" s="115"/>
      <c r="Q556" s="116"/>
      <c r="R556" s="116"/>
      <c r="S556" s="145"/>
    </row>
    <row r="557" spans="1:19" s="146" customFormat="1" ht="18" customHeight="1">
      <c r="A557" s="183"/>
      <c r="B557" s="920"/>
      <c r="C557" s="920"/>
      <c r="D557" s="921"/>
      <c r="E557" s="155"/>
      <c r="F557" s="920"/>
      <c r="G557" s="140"/>
      <c r="H557" s="141"/>
      <c r="I557" s="194"/>
      <c r="J557" s="149"/>
      <c r="K557" s="194"/>
      <c r="L557" s="149"/>
      <c r="M557" s="144"/>
      <c r="N557" s="879"/>
      <c r="O557" s="115"/>
      <c r="P557" s="115"/>
      <c r="Q557" s="116"/>
      <c r="R557" s="116"/>
      <c r="S557" s="117"/>
    </row>
    <row r="558" spans="1:19" s="146" customFormat="1" ht="18" customHeight="1">
      <c r="A558" s="183"/>
      <c r="B558" s="920"/>
      <c r="C558" s="920"/>
      <c r="D558" s="921"/>
      <c r="E558" s="155"/>
      <c r="F558" s="920"/>
      <c r="G558" s="140"/>
      <c r="H558" s="141"/>
      <c r="I558" s="194"/>
      <c r="J558" s="143"/>
      <c r="K558" s="194"/>
      <c r="L558" s="143"/>
      <c r="M558" s="144"/>
      <c r="N558" s="879"/>
      <c r="O558" s="115"/>
      <c r="P558" s="115"/>
      <c r="Q558" s="116"/>
      <c r="R558" s="116"/>
      <c r="S558" s="117"/>
    </row>
    <row r="559" spans="1:19" s="146" customFormat="1" ht="18" customHeight="1">
      <c r="A559" s="220">
        <v>6</v>
      </c>
      <c r="B559" s="221"/>
      <c r="C559" s="221"/>
      <c r="D559" s="222"/>
      <c r="E559" s="223" t="s">
        <v>53</v>
      </c>
      <c r="F559" s="221"/>
      <c r="G559" s="224"/>
      <c r="H559" s="141" t="s">
        <v>102</v>
      </c>
      <c r="I559" s="225" t="s">
        <v>55</v>
      </c>
      <c r="J559" s="226">
        <v>152928</v>
      </c>
      <c r="K559" s="225" t="s">
        <v>55</v>
      </c>
      <c r="L559" s="226">
        <v>158976</v>
      </c>
      <c r="M559" s="144">
        <f>L559-J559</f>
        <v>6048</v>
      </c>
      <c r="N559" s="879"/>
      <c r="O559" s="115">
        <f>L560+M559+M560</f>
        <v>6048</v>
      </c>
      <c r="P559" s="115"/>
      <c r="Q559" s="116"/>
      <c r="R559" s="116"/>
      <c r="S559" s="145"/>
    </row>
    <row r="560" spans="1:19" s="146" customFormat="1" ht="18" customHeight="1">
      <c r="A560" s="220"/>
      <c r="B560" s="221"/>
      <c r="C560" s="221"/>
      <c r="D560" s="222"/>
      <c r="E560" s="223"/>
      <c r="F560" s="221"/>
      <c r="G560" s="224"/>
      <c r="H560" s="141"/>
      <c r="I560" s="225"/>
      <c r="J560" s="226"/>
      <c r="K560" s="225"/>
      <c r="L560" s="226"/>
      <c r="M560" s="144"/>
      <c r="N560" s="879">
        <f>(L560-L559)*3/12</f>
        <v>-39744</v>
      </c>
      <c r="O560" s="115"/>
      <c r="P560" s="115"/>
      <c r="Q560" s="116"/>
      <c r="R560" s="116"/>
      <c r="S560" s="145"/>
    </row>
    <row r="561" spans="1:19" s="146" customFormat="1" ht="18" customHeight="1">
      <c r="A561" s="183"/>
      <c r="B561" s="920"/>
      <c r="C561" s="920"/>
      <c r="D561" s="920"/>
      <c r="E561" s="919"/>
      <c r="F561" s="920"/>
      <c r="G561" s="140"/>
      <c r="H561" s="141"/>
      <c r="I561" s="225"/>
      <c r="J561" s="149"/>
      <c r="K561" s="225"/>
      <c r="L561" s="149"/>
      <c r="M561" s="144"/>
      <c r="N561" s="879"/>
      <c r="O561" s="115"/>
      <c r="P561" s="115"/>
      <c r="Q561" s="116"/>
      <c r="R561" s="116"/>
      <c r="S561" s="145"/>
    </row>
    <row r="562" spans="1:19" s="146" customFormat="1" ht="18" customHeight="1">
      <c r="A562" s="183"/>
      <c r="B562" s="920"/>
      <c r="C562" s="920"/>
      <c r="D562" s="920"/>
      <c r="E562" s="919"/>
      <c r="F562" s="920"/>
      <c r="G562" s="140"/>
      <c r="H562" s="141"/>
      <c r="I562" s="225"/>
      <c r="J562" s="149"/>
      <c r="K562" s="225"/>
      <c r="L562" s="149"/>
      <c r="M562" s="144"/>
      <c r="N562" s="879"/>
      <c r="O562" s="115"/>
      <c r="P562" s="115"/>
      <c r="Q562" s="116"/>
      <c r="R562" s="116"/>
      <c r="S562" s="145"/>
    </row>
    <row r="563" spans="1:19" s="146" customFormat="1" ht="18" customHeight="1">
      <c r="A563" s="183"/>
      <c r="B563" s="920"/>
      <c r="C563" s="920"/>
      <c r="D563" s="920"/>
      <c r="E563" s="919"/>
      <c r="F563" s="920"/>
      <c r="G563" s="140"/>
      <c r="H563" s="141"/>
      <c r="I563" s="142"/>
      <c r="J563" s="227"/>
      <c r="K563" s="142"/>
      <c r="L563" s="227"/>
      <c r="M563" s="143"/>
      <c r="N563" s="170"/>
      <c r="O563" s="115"/>
      <c r="P563" s="115"/>
      <c r="Q563" s="116"/>
      <c r="R563" s="116"/>
      <c r="S563" s="117"/>
    </row>
    <row r="564" spans="1:19" s="146" customFormat="1" ht="18" customHeight="1">
      <c r="A564" s="183"/>
      <c r="B564" s="920"/>
      <c r="C564" s="920"/>
      <c r="D564" s="920"/>
      <c r="E564" s="919"/>
      <c r="F564" s="920"/>
      <c r="G564" s="140"/>
      <c r="H564" s="141"/>
      <c r="I564" s="142"/>
      <c r="J564" s="143"/>
      <c r="K564" s="142"/>
      <c r="L564" s="143"/>
      <c r="M564" s="143"/>
      <c r="N564" s="170"/>
      <c r="O564" s="115"/>
      <c r="P564" s="115"/>
      <c r="Q564" s="116"/>
      <c r="R564" s="116"/>
      <c r="S564" s="117"/>
    </row>
    <row r="565" spans="1:19" s="146" customFormat="1" ht="18" customHeight="1">
      <c r="A565" s="183"/>
      <c r="B565" s="920"/>
      <c r="C565" s="920"/>
      <c r="D565" s="920"/>
      <c r="E565" s="919"/>
      <c r="F565" s="920"/>
      <c r="G565" s="140"/>
      <c r="H565" s="141"/>
      <c r="I565" s="142"/>
      <c r="J565" s="143"/>
      <c r="K565" s="142"/>
      <c r="L565" s="143"/>
      <c r="M565" s="143"/>
      <c r="N565" s="170"/>
      <c r="O565" s="115"/>
      <c r="P565" s="115"/>
      <c r="Q565" s="116"/>
      <c r="R565" s="116"/>
      <c r="S565" s="117"/>
    </row>
    <row r="566" spans="1:19" s="146" customFormat="1" ht="18" customHeight="1">
      <c r="A566" s="183"/>
      <c r="B566" s="920"/>
      <c r="C566" s="920"/>
      <c r="D566" s="920"/>
      <c r="E566" s="919"/>
      <c r="F566" s="920"/>
      <c r="G566" s="140"/>
      <c r="H566" s="141"/>
      <c r="I566" s="142"/>
      <c r="J566" s="143"/>
      <c r="K566" s="142"/>
      <c r="L566" s="143"/>
      <c r="M566" s="143"/>
      <c r="N566" s="170"/>
      <c r="O566" s="115"/>
      <c r="P566" s="115"/>
      <c r="Q566" s="116"/>
      <c r="R566" s="116"/>
      <c r="S566" s="117"/>
    </row>
    <row r="567" spans="1:19" s="146" customFormat="1" ht="18" customHeight="1">
      <c r="A567" s="183"/>
      <c r="B567" s="920"/>
      <c r="C567" s="920"/>
      <c r="D567" s="920"/>
      <c r="E567" s="919"/>
      <c r="F567" s="920"/>
      <c r="G567" s="140"/>
      <c r="H567" s="141"/>
      <c r="I567" s="142"/>
      <c r="J567" s="143"/>
      <c r="K567" s="142"/>
      <c r="L567" s="143"/>
      <c r="M567" s="143"/>
      <c r="N567" s="170"/>
      <c r="O567" s="115"/>
      <c r="P567" s="115"/>
      <c r="Q567" s="116"/>
      <c r="R567" s="116"/>
      <c r="S567" s="117"/>
    </row>
    <row r="568" spans="1:19" s="146" customFormat="1" ht="18" customHeight="1">
      <c r="A568" s="183"/>
      <c r="B568" s="920"/>
      <c r="C568" s="920"/>
      <c r="D568" s="920"/>
      <c r="E568" s="919"/>
      <c r="F568" s="920"/>
      <c r="G568" s="140"/>
      <c r="H568" s="141"/>
      <c r="I568" s="142"/>
      <c r="J568" s="143"/>
      <c r="K568" s="142"/>
      <c r="L568" s="143"/>
      <c r="M568" s="143"/>
      <c r="N568" s="170"/>
      <c r="O568" s="115"/>
      <c r="P568" s="115"/>
      <c r="Q568" s="116"/>
      <c r="R568" s="116"/>
      <c r="S568" s="117"/>
    </row>
    <row r="569" spans="1:19" s="146" customFormat="1" ht="18" customHeight="1">
      <c r="A569" s="183"/>
      <c r="B569" s="920"/>
      <c r="C569" s="920"/>
      <c r="D569" s="920"/>
      <c r="E569" s="919"/>
      <c r="F569" s="920"/>
      <c r="G569" s="140"/>
      <c r="H569" s="141"/>
      <c r="I569" s="142"/>
      <c r="J569" s="143"/>
      <c r="K569" s="142"/>
      <c r="L569" s="143"/>
      <c r="M569" s="143"/>
      <c r="N569" s="170"/>
      <c r="O569" s="115"/>
      <c r="P569" s="115"/>
      <c r="Q569" s="116"/>
      <c r="R569" s="116"/>
      <c r="S569" s="117"/>
    </row>
    <row r="570" spans="1:19" s="146" customFormat="1" ht="18" customHeight="1">
      <c r="A570" s="183"/>
      <c r="B570" s="920"/>
      <c r="C570" s="920"/>
      <c r="D570" s="920"/>
      <c r="E570" s="919"/>
      <c r="F570" s="920"/>
      <c r="G570" s="140"/>
      <c r="H570" s="141"/>
      <c r="I570" s="142"/>
      <c r="J570" s="143"/>
      <c r="K570" s="142"/>
      <c r="L570" s="143"/>
      <c r="M570" s="143"/>
      <c r="N570" s="170"/>
      <c r="O570" s="115"/>
      <c r="P570" s="115"/>
      <c r="Q570" s="116"/>
      <c r="R570" s="116"/>
      <c r="S570" s="117"/>
    </row>
    <row r="571" spans="1:19" s="146" customFormat="1" ht="18" customHeight="1">
      <c r="A571" s="183"/>
      <c r="B571" s="920"/>
      <c r="C571" s="920"/>
      <c r="D571" s="920"/>
      <c r="E571" s="919"/>
      <c r="F571" s="920"/>
      <c r="G571" s="140"/>
      <c r="H571" s="141"/>
      <c r="I571" s="142"/>
      <c r="J571" s="143"/>
      <c r="K571" s="142"/>
      <c r="L571" s="143"/>
      <c r="M571" s="143"/>
      <c r="N571" s="170"/>
      <c r="O571" s="115"/>
      <c r="P571" s="115"/>
      <c r="Q571" s="116"/>
      <c r="R571" s="116"/>
      <c r="S571" s="117"/>
    </row>
    <row r="572" spans="1:19" s="146" customFormat="1" ht="18" customHeight="1">
      <c r="A572" s="183"/>
      <c r="B572" s="920"/>
      <c r="C572" s="920"/>
      <c r="D572" s="920"/>
      <c r="E572" s="919"/>
      <c r="F572" s="920"/>
      <c r="G572" s="140"/>
      <c r="H572" s="141"/>
      <c r="I572" s="142"/>
      <c r="J572" s="143"/>
      <c r="K572" s="142"/>
      <c r="L572" s="143"/>
      <c r="M572" s="143"/>
      <c r="N572" s="170"/>
      <c r="O572" s="115"/>
      <c r="P572" s="115"/>
      <c r="Q572" s="116"/>
      <c r="R572" s="116"/>
      <c r="S572" s="117"/>
    </row>
    <row r="573" spans="1:19" s="146" customFormat="1" ht="18" customHeight="1">
      <c r="A573" s="183"/>
      <c r="B573" s="920"/>
      <c r="C573" s="920"/>
      <c r="D573" s="920"/>
      <c r="E573" s="919"/>
      <c r="F573" s="920"/>
      <c r="G573" s="140"/>
      <c r="H573" s="141"/>
      <c r="I573" s="142"/>
      <c r="J573" s="143"/>
      <c r="K573" s="142"/>
      <c r="L573" s="143"/>
      <c r="M573" s="143"/>
      <c r="N573" s="170"/>
      <c r="O573" s="115"/>
      <c r="P573" s="115"/>
      <c r="Q573" s="116"/>
      <c r="R573" s="116"/>
      <c r="S573" s="117"/>
    </row>
    <row r="574" spans="1:19" s="146" customFormat="1" ht="18" customHeight="1">
      <c r="A574" s="183"/>
      <c r="B574" s="920"/>
      <c r="C574" s="920"/>
      <c r="D574" s="920"/>
      <c r="E574" s="919"/>
      <c r="F574" s="920"/>
      <c r="G574" s="140"/>
      <c r="H574" s="141"/>
      <c r="I574" s="142"/>
      <c r="J574" s="143"/>
      <c r="K574" s="142"/>
      <c r="L574" s="143"/>
      <c r="M574" s="143"/>
      <c r="N574" s="170"/>
      <c r="O574" s="115"/>
      <c r="P574" s="115"/>
      <c r="Q574" s="116"/>
      <c r="R574" s="116"/>
      <c r="S574" s="117"/>
    </row>
    <row r="575" spans="1:19" s="146" customFormat="1" ht="18" customHeight="1">
      <c r="A575" s="183"/>
      <c r="B575" s="920"/>
      <c r="C575" s="920"/>
      <c r="D575" s="920"/>
      <c r="E575" s="919"/>
      <c r="F575" s="920"/>
      <c r="G575" s="140"/>
      <c r="H575" s="141"/>
      <c r="I575" s="142"/>
      <c r="J575" s="143"/>
      <c r="K575" s="142"/>
      <c r="L575" s="143"/>
      <c r="M575" s="143"/>
      <c r="N575" s="170"/>
      <c r="O575" s="115"/>
      <c r="P575" s="115"/>
      <c r="Q575" s="116"/>
      <c r="R575" s="116"/>
      <c r="S575" s="117"/>
    </row>
    <row r="576" spans="1:19" s="146" customFormat="1" ht="18" customHeight="1">
      <c r="A576" s="183"/>
      <c r="B576" s="920"/>
      <c r="C576" s="920"/>
      <c r="D576" s="920"/>
      <c r="E576" s="919"/>
      <c r="F576" s="920"/>
      <c r="G576" s="140"/>
      <c r="H576" s="141"/>
      <c r="I576" s="142"/>
      <c r="J576" s="143"/>
      <c r="K576" s="142"/>
      <c r="L576" s="143"/>
      <c r="M576" s="143"/>
      <c r="N576" s="170"/>
      <c r="O576" s="115"/>
      <c r="P576" s="115"/>
      <c r="Q576" s="116"/>
      <c r="R576" s="116"/>
      <c r="S576" s="117"/>
    </row>
    <row r="577" spans="1:19" s="146" customFormat="1" ht="18" customHeight="1">
      <c r="A577" s="183"/>
      <c r="B577" s="920"/>
      <c r="C577" s="920"/>
      <c r="D577" s="920"/>
      <c r="E577" s="919"/>
      <c r="F577" s="920"/>
      <c r="G577" s="140"/>
      <c r="H577" s="141"/>
      <c r="I577" s="142"/>
      <c r="J577" s="143"/>
      <c r="K577" s="142"/>
      <c r="L577" s="143"/>
      <c r="M577" s="143"/>
      <c r="N577" s="170"/>
      <c r="O577" s="115"/>
      <c r="P577" s="115"/>
      <c r="Q577" s="116"/>
      <c r="R577" s="116"/>
      <c r="S577" s="117"/>
    </row>
    <row r="578" spans="1:19" s="146" customFormat="1" ht="18" customHeight="1">
      <c r="A578" s="141"/>
      <c r="B578" s="155"/>
      <c r="C578" s="920"/>
      <c r="D578" s="920"/>
      <c r="E578" s="154"/>
      <c r="F578" s="155"/>
      <c r="G578" s="140"/>
      <c r="H578" s="141"/>
      <c r="I578" s="210"/>
      <c r="J578" s="143"/>
      <c r="K578" s="210"/>
      <c r="L578" s="143"/>
      <c r="M578" s="143"/>
      <c r="N578" s="170"/>
      <c r="O578" s="115"/>
      <c r="P578" s="115"/>
      <c r="Q578" s="116"/>
      <c r="R578" s="116"/>
      <c r="S578" s="117"/>
    </row>
    <row r="579" spans="1:19" s="146" customFormat="1" ht="18" customHeight="1">
      <c r="A579" s="141"/>
      <c r="B579" s="155"/>
      <c r="C579" s="920"/>
      <c r="D579" s="920"/>
      <c r="E579" s="154"/>
      <c r="F579" s="155"/>
      <c r="G579" s="140"/>
      <c r="H579" s="141"/>
      <c r="I579" s="210"/>
      <c r="J579" s="143"/>
      <c r="K579" s="210"/>
      <c r="L579" s="143"/>
      <c r="M579" s="143"/>
      <c r="N579" s="170"/>
      <c r="O579" s="115"/>
      <c r="P579" s="115"/>
      <c r="Q579" s="116"/>
      <c r="R579" s="116"/>
      <c r="S579" s="117"/>
    </row>
    <row r="580" spans="1:19" s="146" customFormat="1" ht="18" customHeight="1">
      <c r="A580" s="141"/>
      <c r="B580" s="155"/>
      <c r="C580" s="920"/>
      <c r="D580" s="920"/>
      <c r="E580" s="154"/>
      <c r="F580" s="155"/>
      <c r="G580" s="140"/>
      <c r="H580" s="141"/>
      <c r="I580" s="210"/>
      <c r="J580" s="143"/>
      <c r="K580" s="210"/>
      <c r="L580" s="143"/>
      <c r="M580" s="143"/>
      <c r="N580" s="170"/>
      <c r="O580" s="115"/>
      <c r="P580" s="115"/>
      <c r="Q580" s="116"/>
      <c r="R580" s="116"/>
      <c r="S580" s="117"/>
    </row>
    <row r="581" spans="1:19" s="146" customFormat="1" ht="18" customHeight="1">
      <c r="A581" s="141"/>
      <c r="B581" s="155"/>
      <c r="C581" s="920"/>
      <c r="D581" s="920"/>
      <c r="E581" s="154"/>
      <c r="F581" s="155"/>
      <c r="G581" s="140"/>
      <c r="H581" s="141"/>
      <c r="I581" s="210"/>
      <c r="J581" s="143"/>
      <c r="K581" s="210"/>
      <c r="L581" s="143"/>
      <c r="M581" s="143"/>
      <c r="N581" s="170"/>
      <c r="O581" s="115"/>
      <c r="P581" s="115"/>
      <c r="Q581" s="116"/>
      <c r="R581" s="116"/>
      <c r="S581" s="117"/>
    </row>
    <row r="582" spans="1:19" s="146" customFormat="1" ht="18" customHeight="1">
      <c r="A582" s="141"/>
      <c r="B582" s="155"/>
      <c r="C582" s="920"/>
      <c r="D582" s="920"/>
      <c r="E582" s="154"/>
      <c r="F582" s="155"/>
      <c r="G582" s="140"/>
      <c r="H582" s="141"/>
      <c r="I582" s="210"/>
      <c r="J582" s="143"/>
      <c r="K582" s="210"/>
      <c r="L582" s="143"/>
      <c r="M582" s="143"/>
      <c r="N582" s="170"/>
      <c r="O582" s="115"/>
      <c r="P582" s="115"/>
      <c r="Q582" s="116"/>
      <c r="R582" s="116"/>
      <c r="S582" s="117"/>
    </row>
    <row r="583" spans="1:19" s="146" customFormat="1" ht="18" customHeight="1">
      <c r="A583" s="141"/>
      <c r="B583" s="155"/>
      <c r="C583" s="920"/>
      <c r="D583" s="920"/>
      <c r="E583" s="154"/>
      <c r="F583" s="155"/>
      <c r="G583" s="140"/>
      <c r="H583" s="141"/>
      <c r="I583" s="210"/>
      <c r="J583" s="143"/>
      <c r="K583" s="210"/>
      <c r="L583" s="143"/>
      <c r="M583" s="143"/>
      <c r="N583" s="170"/>
      <c r="O583" s="115"/>
      <c r="P583" s="115"/>
      <c r="Q583" s="116"/>
      <c r="R583" s="116"/>
      <c r="S583" s="117"/>
    </row>
    <row r="584" spans="1:19" s="146" customFormat="1" ht="18" customHeight="1">
      <c r="A584" s="141"/>
      <c r="B584" s="155"/>
      <c r="C584" s="920"/>
      <c r="D584" s="920"/>
      <c r="E584" s="154"/>
      <c r="F584" s="155"/>
      <c r="G584" s="140"/>
      <c r="H584" s="141"/>
      <c r="I584" s="210"/>
      <c r="J584" s="143"/>
      <c r="K584" s="210"/>
      <c r="L584" s="143"/>
      <c r="M584" s="143"/>
      <c r="N584" s="170"/>
      <c r="O584" s="115"/>
      <c r="P584" s="115"/>
      <c r="Q584" s="116"/>
      <c r="R584" s="116"/>
      <c r="S584" s="117"/>
    </row>
    <row r="585" spans="1:19" s="168" customFormat="1" ht="18" customHeight="1" thickBot="1">
      <c r="A585" s="162"/>
      <c r="B585" s="159"/>
      <c r="C585" s="158"/>
      <c r="D585" s="158"/>
      <c r="E585" s="157"/>
      <c r="F585" s="159"/>
      <c r="G585" s="160"/>
      <c r="H585" s="161" t="s">
        <v>15</v>
      </c>
      <c r="I585" s="214"/>
      <c r="J585" s="163">
        <f>SUM(J541:J584)</f>
        <v>2148852</v>
      </c>
      <c r="K585" s="214"/>
      <c r="L585" s="163"/>
      <c r="M585" s="163">
        <f>SUM(M541:M584)</f>
        <v>70332</v>
      </c>
      <c r="N585" s="169"/>
      <c r="O585" s="165">
        <f>SUM(O541:O562)</f>
        <v>1951500</v>
      </c>
      <c r="P585" s="165"/>
      <c r="Q585" s="166"/>
      <c r="R585" s="166"/>
      <c r="S585" s="167"/>
    </row>
    <row r="586" spans="1:19" s="146" customFormat="1" ht="18" customHeight="1" thickTop="1">
      <c r="A586" s="155"/>
      <c r="B586" s="155"/>
      <c r="C586" s="920"/>
      <c r="D586" s="920"/>
      <c r="E586" s="155"/>
      <c r="F586" s="155"/>
      <c r="G586" s="155"/>
      <c r="H586" s="155"/>
      <c r="I586" s="155"/>
      <c r="J586" s="169"/>
      <c r="K586" s="228"/>
      <c r="L586" s="171"/>
      <c r="M586" s="171"/>
      <c r="N586" s="171"/>
      <c r="O586" s="115"/>
      <c r="P586" s="115"/>
      <c r="Q586" s="116"/>
      <c r="R586" s="116"/>
      <c r="S586" s="117"/>
    </row>
    <row r="587" spans="1:19" s="146" customFormat="1" ht="18" customHeight="1">
      <c r="A587" s="155"/>
      <c r="B587" s="155"/>
      <c r="C587" s="920"/>
      <c r="D587" s="920"/>
      <c r="E587" s="155"/>
      <c r="F587" s="155"/>
      <c r="G587" s="155"/>
      <c r="H587" s="155"/>
      <c r="I587" s="155"/>
      <c r="J587" s="155"/>
      <c r="K587" s="172"/>
      <c r="L587" s="170"/>
      <c r="M587" s="170"/>
      <c r="N587" s="170"/>
      <c r="O587" s="115"/>
      <c r="P587" s="115"/>
      <c r="Q587" s="116"/>
      <c r="R587" s="116"/>
      <c r="S587" s="117"/>
    </row>
    <row r="588" spans="1:19" s="146" customFormat="1" ht="18" customHeight="1">
      <c r="A588" s="155"/>
      <c r="B588" s="155"/>
      <c r="C588" s="920"/>
      <c r="D588" s="920"/>
      <c r="E588" s="155"/>
      <c r="F588" s="155"/>
      <c r="G588" s="155"/>
      <c r="H588" s="155"/>
      <c r="I588" s="155"/>
      <c r="J588" s="155"/>
      <c r="K588" s="172"/>
      <c r="L588" s="170"/>
      <c r="M588" s="170"/>
      <c r="N588" s="170"/>
      <c r="O588" s="115"/>
      <c r="P588" s="115"/>
      <c r="Q588" s="116"/>
      <c r="R588" s="116"/>
      <c r="S588" s="117"/>
    </row>
    <row r="589" spans="1:19" s="146" customFormat="1" ht="18" customHeight="1">
      <c r="A589" s="173" t="s">
        <v>614</v>
      </c>
      <c r="B589" s="173"/>
      <c r="C589" s="912"/>
      <c r="D589" s="912"/>
      <c r="E589" s="174"/>
      <c r="F589" s="174"/>
      <c r="G589" s="174"/>
      <c r="H589" s="173" t="s">
        <v>615</v>
      </c>
      <c r="I589" s="174"/>
      <c r="K589" s="173" t="s">
        <v>253</v>
      </c>
      <c r="L589" s="175"/>
      <c r="M589" s="175"/>
      <c r="N589" s="175"/>
      <c r="O589" s="115"/>
      <c r="P589" s="115"/>
      <c r="Q589" s="116"/>
      <c r="R589" s="116"/>
      <c r="S589" s="117"/>
    </row>
    <row r="590" spans="1:19" s="146" customFormat="1" ht="18" customHeight="1">
      <c r="A590" s="174"/>
      <c r="B590" s="174"/>
      <c r="C590" s="913"/>
      <c r="D590" s="913"/>
      <c r="E590" s="174"/>
      <c r="F590" s="174"/>
      <c r="G590" s="174"/>
      <c r="H590" s="174"/>
      <c r="I590" s="174"/>
      <c r="J590" s="174"/>
      <c r="K590" s="176"/>
      <c r="L590" s="175"/>
      <c r="M590" s="175"/>
      <c r="N590" s="175"/>
      <c r="O590" s="115"/>
      <c r="P590" s="115"/>
      <c r="Q590" s="116"/>
      <c r="R590" s="116"/>
      <c r="S590" s="117"/>
    </row>
    <row r="591" spans="1:19" s="146" customFormat="1" ht="18" customHeight="1">
      <c r="A591" s="1531" t="s">
        <v>242</v>
      </c>
      <c r="B591" s="1531"/>
      <c r="C591" s="1531"/>
      <c r="D591" s="1531"/>
      <c r="E591" s="1531"/>
      <c r="F591" s="1531"/>
      <c r="G591" s="174"/>
      <c r="H591" s="1531" t="s">
        <v>17</v>
      </c>
      <c r="I591" s="1531"/>
      <c r="J591" s="174"/>
      <c r="K591" s="1531" t="s">
        <v>1436</v>
      </c>
      <c r="L591" s="1531"/>
      <c r="M591" s="1531"/>
      <c r="N591" s="912"/>
      <c r="O591" s="115"/>
      <c r="P591" s="115"/>
      <c r="Q591" s="116"/>
      <c r="R591" s="116"/>
      <c r="S591" s="117"/>
    </row>
    <row r="592" spans="1:19" s="146" customFormat="1" ht="18" customHeight="1">
      <c r="A592" s="1520" t="s">
        <v>422</v>
      </c>
      <c r="B592" s="1520"/>
      <c r="C592" s="1520"/>
      <c r="D592" s="1520"/>
      <c r="E592" s="1520"/>
      <c r="F592" s="1520"/>
      <c r="G592" s="177"/>
      <c r="H592" s="1520" t="s">
        <v>18</v>
      </c>
      <c r="I592" s="1520"/>
      <c r="J592" s="912"/>
      <c r="K592" s="1520" t="s">
        <v>14</v>
      </c>
      <c r="L592" s="1520"/>
      <c r="M592" s="1520"/>
      <c r="N592" s="913"/>
      <c r="O592" s="115"/>
      <c r="P592" s="115"/>
      <c r="Q592" s="116"/>
      <c r="R592" s="116"/>
      <c r="S592" s="117"/>
    </row>
    <row r="593" spans="1:15" ht="18" customHeight="1">
      <c r="A593" s="111"/>
      <c r="B593" s="111"/>
      <c r="C593" s="910"/>
      <c r="D593" s="910"/>
      <c r="E593" s="1540"/>
      <c r="F593" s="1540"/>
      <c r="G593" s="1540"/>
      <c r="H593" s="910"/>
      <c r="I593" s="910"/>
      <c r="J593" s="910"/>
      <c r="K593" s="1540"/>
      <c r="L593" s="1540"/>
      <c r="M593" s="1540"/>
      <c r="N593" s="910"/>
    </row>
    <row r="594" spans="1:15" ht="18" customHeight="1">
      <c r="A594" s="111"/>
      <c r="B594" s="111"/>
      <c r="C594" s="910"/>
      <c r="D594" s="910"/>
      <c r="E594" s="910"/>
      <c r="F594" s="910"/>
      <c r="G594" s="910"/>
      <c r="H594" s="910"/>
      <c r="I594" s="910"/>
      <c r="J594" s="910"/>
      <c r="K594" s="910"/>
      <c r="L594" s="910"/>
      <c r="M594" s="910"/>
      <c r="N594" s="910"/>
    </row>
    <row r="595" spans="1:15" ht="18" customHeight="1">
      <c r="A595" s="111"/>
      <c r="B595" s="111"/>
      <c r="C595" s="910"/>
      <c r="D595" s="910"/>
      <c r="E595" s="910"/>
      <c r="F595" s="910"/>
      <c r="G595" s="910"/>
      <c r="H595" s="910"/>
      <c r="I595" s="910"/>
      <c r="J595" s="910"/>
      <c r="K595" s="910"/>
      <c r="L595" s="910"/>
      <c r="M595" s="910"/>
      <c r="N595" s="910"/>
    </row>
    <row r="596" spans="1:15" ht="18" customHeight="1">
      <c r="A596" s="111"/>
      <c r="B596" s="111"/>
      <c r="C596" s="910"/>
      <c r="D596" s="910"/>
      <c r="E596" s="910"/>
      <c r="F596" s="910"/>
      <c r="G596" s="910"/>
      <c r="H596" s="910"/>
      <c r="I596" s="910"/>
      <c r="J596" s="910"/>
      <c r="K596" s="910"/>
      <c r="L596" s="910"/>
      <c r="M596" s="910"/>
      <c r="N596" s="910"/>
    </row>
    <row r="597" spans="1:15" ht="18" customHeight="1">
      <c r="A597" s="111"/>
      <c r="B597" s="111"/>
      <c r="C597" s="910"/>
      <c r="D597" s="910"/>
      <c r="E597" s="910"/>
      <c r="F597" s="910"/>
      <c r="G597" s="910"/>
      <c r="H597" s="910"/>
      <c r="I597" s="910"/>
      <c r="J597" s="910"/>
      <c r="K597" s="910"/>
      <c r="L597" s="910"/>
      <c r="M597" s="910"/>
      <c r="N597" s="910"/>
    </row>
    <row r="598" spans="1:15" ht="18" customHeight="1">
      <c r="A598" s="111"/>
      <c r="B598" s="111"/>
      <c r="C598" s="910"/>
      <c r="D598" s="910"/>
      <c r="E598" s="910"/>
      <c r="F598" s="910"/>
      <c r="G598" s="910"/>
      <c r="H598" s="910"/>
      <c r="I598" s="910"/>
      <c r="J598" s="910"/>
      <c r="K598" s="910"/>
      <c r="L598" s="910"/>
      <c r="M598" s="910"/>
      <c r="N598" s="910"/>
    </row>
    <row r="599" spans="1:15" ht="18" customHeight="1"/>
    <row r="600" spans="1:15" ht="20.100000000000001" customHeight="1">
      <c r="A600" s="1448" t="s">
        <v>957</v>
      </c>
      <c r="B600" s="1448"/>
      <c r="C600" s="1448"/>
      <c r="D600" s="1448"/>
      <c r="E600" s="1448"/>
      <c r="F600" s="1448"/>
      <c r="G600" s="1448"/>
      <c r="H600" s="1448"/>
      <c r="I600" s="1448"/>
      <c r="J600" s="1448"/>
      <c r="K600" s="1448"/>
      <c r="L600" s="1448"/>
      <c r="M600" s="1448"/>
      <c r="N600" s="918"/>
    </row>
    <row r="601" spans="1:15" ht="18" customHeight="1">
      <c r="A601" s="110"/>
      <c r="B601" s="110"/>
      <c r="C601" s="917"/>
      <c r="D601" s="917"/>
      <c r="E601" s="111"/>
      <c r="F601" s="111"/>
      <c r="G601" s="111"/>
      <c r="H601" s="111"/>
      <c r="I601" s="111"/>
      <c r="J601" s="111"/>
      <c r="K601" s="112"/>
      <c r="M601" s="114"/>
      <c r="N601" s="114"/>
    </row>
    <row r="602" spans="1:15" ht="18" customHeight="1">
      <c r="A602" s="1538" t="s">
        <v>1663</v>
      </c>
      <c r="B602" s="1538"/>
      <c r="C602" s="1538"/>
      <c r="D602" s="1538"/>
      <c r="E602" s="1538"/>
      <c r="F602" s="1538"/>
      <c r="G602" s="1538"/>
      <c r="H602" s="1538"/>
      <c r="I602" s="1538"/>
      <c r="J602" s="1538"/>
      <c r="K602" s="1538"/>
      <c r="L602" s="1538"/>
      <c r="M602" s="1538"/>
      <c r="N602" s="908"/>
    </row>
    <row r="603" spans="1:15" ht="18" customHeight="1">
      <c r="A603" s="1539" t="s">
        <v>351</v>
      </c>
      <c r="B603" s="1539"/>
      <c r="C603" s="1539"/>
      <c r="D603" s="1539"/>
      <c r="E603" s="1539"/>
      <c r="F603" s="1539"/>
      <c r="G603" s="1539"/>
      <c r="H603" s="1539"/>
      <c r="I603" s="1539"/>
      <c r="J603" s="1539"/>
      <c r="K603" s="1539"/>
      <c r="L603" s="1539"/>
      <c r="M603" s="1539"/>
      <c r="N603" s="909"/>
    </row>
    <row r="604" spans="1:15" ht="18" customHeight="1">
      <c r="A604" s="1540"/>
      <c r="B604" s="1540"/>
      <c r="C604" s="1540"/>
      <c r="D604" s="1540"/>
      <c r="E604" s="1540"/>
      <c r="F604" s="1540"/>
      <c r="G604" s="1540"/>
      <c r="H604" s="1540"/>
      <c r="I604" s="1540"/>
      <c r="J604" s="1540"/>
      <c r="K604" s="1540"/>
      <c r="L604" s="1540"/>
      <c r="M604" s="1540"/>
      <c r="N604" s="910"/>
    </row>
    <row r="605" spans="1:15" ht="18" customHeight="1">
      <c r="A605" s="910"/>
      <c r="B605" s="910"/>
      <c r="C605" s="910"/>
      <c r="D605" s="910"/>
      <c r="E605" s="910"/>
      <c r="F605" s="910"/>
      <c r="G605" s="910"/>
      <c r="H605" s="910"/>
      <c r="I605" s="910"/>
      <c r="J605" s="910"/>
      <c r="K605" s="910"/>
      <c r="L605" s="910"/>
      <c r="M605" s="910"/>
      <c r="N605" s="910"/>
    </row>
    <row r="606" spans="1:15" ht="18" customHeight="1">
      <c r="A606" s="111" t="s">
        <v>441</v>
      </c>
      <c r="B606" s="111"/>
      <c r="C606" s="111" t="s">
        <v>439</v>
      </c>
      <c r="D606" s="111" t="s">
        <v>308</v>
      </c>
      <c r="E606" s="111"/>
      <c r="F606" s="111"/>
      <c r="G606" s="111"/>
      <c r="H606" s="910"/>
      <c r="I606" s="910"/>
      <c r="J606" s="910"/>
      <c r="K606" s="910"/>
      <c r="L606" s="910"/>
      <c r="M606" s="910"/>
      <c r="N606" s="910"/>
    </row>
    <row r="607" spans="1:15" ht="18" customHeight="1">
      <c r="A607" s="111" t="s">
        <v>449</v>
      </c>
      <c r="B607" s="111"/>
      <c r="C607" s="111" t="s">
        <v>439</v>
      </c>
      <c r="D607" s="111" t="s">
        <v>458</v>
      </c>
      <c r="E607" s="111"/>
      <c r="F607" s="111"/>
      <c r="G607" s="111"/>
      <c r="H607" s="910"/>
      <c r="I607" s="910"/>
      <c r="J607" s="910"/>
      <c r="K607" s="910"/>
      <c r="L607" s="910"/>
      <c r="M607" s="910"/>
      <c r="N607" s="910"/>
      <c r="O607" s="180"/>
    </row>
    <row r="608" spans="1:15" ht="18" customHeight="1" thickBot="1">
      <c r="A608" s="111" t="s">
        <v>446</v>
      </c>
      <c r="B608" s="111"/>
      <c r="C608" s="216" t="s">
        <v>439</v>
      </c>
      <c r="D608" s="111" t="s">
        <v>459</v>
      </c>
      <c r="E608" s="111"/>
      <c r="F608" s="111"/>
      <c r="G608" s="111"/>
      <c r="H608" s="910"/>
      <c r="I608" s="910"/>
      <c r="J608" s="910"/>
      <c r="K608" s="910"/>
      <c r="L608" s="910"/>
      <c r="M608" s="910"/>
      <c r="N608" s="910"/>
      <c r="O608" s="180"/>
    </row>
    <row r="609" spans="1:19" ht="18" customHeight="1">
      <c r="A609" s="1532" t="s">
        <v>619</v>
      </c>
      <c r="B609" s="1533"/>
      <c r="C609" s="1533"/>
      <c r="D609" s="1533"/>
      <c r="E609" s="1534"/>
      <c r="F609" s="1533"/>
      <c r="G609" s="1535"/>
      <c r="H609" s="121"/>
      <c r="I609" s="1536" t="s">
        <v>623</v>
      </c>
      <c r="J609" s="1537"/>
      <c r="K609" s="1536" t="s">
        <v>623</v>
      </c>
      <c r="L609" s="1537"/>
      <c r="M609" s="122"/>
      <c r="N609" s="876"/>
      <c r="O609" s="180"/>
    </row>
    <row r="610" spans="1:19" ht="18" customHeight="1">
      <c r="A610" s="123" t="s">
        <v>620</v>
      </c>
      <c r="B610" s="1544" t="s">
        <v>621</v>
      </c>
      <c r="C610" s="1545"/>
      <c r="D610" s="1546"/>
      <c r="E610" s="1547" t="s">
        <v>43</v>
      </c>
      <c r="F610" s="1548"/>
      <c r="G610" s="1549"/>
      <c r="H610" s="914" t="s">
        <v>44</v>
      </c>
      <c r="I610" s="1547" t="s">
        <v>1613</v>
      </c>
      <c r="J610" s="1549"/>
      <c r="K610" s="1548" t="s">
        <v>1660</v>
      </c>
      <c r="L610" s="1549"/>
      <c r="M610" s="124" t="s">
        <v>45</v>
      </c>
      <c r="N610" s="877"/>
    </row>
    <row r="611" spans="1:19" ht="18" customHeight="1">
      <c r="A611" s="125"/>
      <c r="B611" s="914"/>
      <c r="C611" s="915"/>
      <c r="D611" s="915"/>
      <c r="E611" s="914"/>
      <c r="F611" s="915"/>
      <c r="G611" s="916"/>
      <c r="H611" s="914" t="s">
        <v>46</v>
      </c>
      <c r="I611" s="1550"/>
      <c r="J611" s="1551"/>
      <c r="K611" s="1550"/>
      <c r="L611" s="1551"/>
      <c r="M611" s="124" t="s">
        <v>47</v>
      </c>
      <c r="N611" s="877"/>
    </row>
    <row r="612" spans="1:19" ht="18" customHeight="1">
      <c r="A612" s="125"/>
      <c r="B612" s="914"/>
      <c r="C612" s="915"/>
      <c r="D612" s="915"/>
      <c r="E612" s="914"/>
      <c r="F612" s="915"/>
      <c r="G612" s="126"/>
      <c r="H612" s="127"/>
      <c r="I612" s="128" t="s">
        <v>622</v>
      </c>
      <c r="J612" s="129" t="s">
        <v>48</v>
      </c>
      <c r="K612" s="128" t="s">
        <v>622</v>
      </c>
      <c r="L612" s="129" t="s">
        <v>48</v>
      </c>
      <c r="M612" s="124"/>
      <c r="N612" s="120"/>
    </row>
    <row r="613" spans="1:19" ht="18" customHeight="1" thickBot="1">
      <c r="A613" s="130"/>
      <c r="B613" s="1541"/>
      <c r="C613" s="1542"/>
      <c r="D613" s="1543"/>
      <c r="E613" s="1541"/>
      <c r="F613" s="1542"/>
      <c r="G613" s="1543"/>
      <c r="H613" s="131"/>
      <c r="I613" s="131"/>
      <c r="J613" s="131"/>
      <c r="K613" s="131"/>
      <c r="L613" s="131"/>
      <c r="M613" s="132"/>
      <c r="N613" s="883"/>
    </row>
    <row r="614" spans="1:19" ht="18" customHeight="1">
      <c r="A614" s="181"/>
      <c r="B614" s="119"/>
      <c r="C614" s="119"/>
      <c r="D614" s="119"/>
      <c r="E614" s="133"/>
      <c r="F614" s="119"/>
      <c r="G614" s="217"/>
      <c r="H614" s="181"/>
      <c r="I614" s="181"/>
      <c r="J614" s="181"/>
      <c r="K614" s="181"/>
      <c r="L614" s="181"/>
      <c r="M614" s="181"/>
      <c r="N614" s="119"/>
    </row>
    <row r="615" spans="1:19" s="146" customFormat="1" ht="18" customHeight="1">
      <c r="A615" s="183">
        <v>1</v>
      </c>
      <c r="B615" s="920"/>
      <c r="C615" s="920"/>
      <c r="D615" s="920"/>
      <c r="E615" s="154" t="s">
        <v>76</v>
      </c>
      <c r="F615" s="920"/>
      <c r="G615" s="140"/>
      <c r="H615" s="141" t="s">
        <v>87</v>
      </c>
      <c r="I615" s="184" t="s">
        <v>216</v>
      </c>
      <c r="J615" s="143">
        <v>916500</v>
      </c>
      <c r="K615" s="184" t="s">
        <v>216</v>
      </c>
      <c r="L615" s="143">
        <v>933792</v>
      </c>
      <c r="M615" s="144">
        <f>L615-J615</f>
        <v>17292</v>
      </c>
      <c r="N615" s="879"/>
      <c r="O615" s="115">
        <f>M615+L615</f>
        <v>951084</v>
      </c>
      <c r="P615" s="115"/>
      <c r="Q615" s="116"/>
      <c r="R615" s="116"/>
      <c r="S615" s="145"/>
    </row>
    <row r="616" spans="1:19" s="146" customFormat="1" ht="18" customHeight="1">
      <c r="A616" s="183"/>
      <c r="B616" s="920"/>
      <c r="C616" s="920"/>
      <c r="D616" s="920"/>
      <c r="E616" s="154" t="s">
        <v>881</v>
      </c>
      <c r="F616" s="920"/>
      <c r="G616" s="140"/>
      <c r="H616" s="141"/>
      <c r="I616" s="184"/>
      <c r="J616" s="143"/>
      <c r="K616" s="184"/>
      <c r="L616" s="143"/>
      <c r="M616" s="144"/>
      <c r="N616" s="879"/>
      <c r="O616" s="115"/>
      <c r="P616" s="115"/>
      <c r="Q616" s="116"/>
      <c r="R616" s="116"/>
      <c r="S616" s="117"/>
    </row>
    <row r="617" spans="1:19" s="146" customFormat="1" ht="18" customHeight="1">
      <c r="A617" s="183"/>
      <c r="B617" s="920"/>
      <c r="C617" s="920"/>
      <c r="D617" s="920"/>
      <c r="E617" s="154"/>
      <c r="F617" s="920"/>
      <c r="G617" s="140"/>
      <c r="H617" s="141"/>
      <c r="I617" s="184"/>
      <c r="J617" s="143"/>
      <c r="K617" s="184"/>
      <c r="L617" s="149"/>
      <c r="M617" s="144"/>
      <c r="N617" s="879"/>
      <c r="O617" s="115"/>
      <c r="P617" s="115"/>
      <c r="Q617" s="116"/>
      <c r="R617" s="116"/>
      <c r="S617" s="117"/>
    </row>
    <row r="618" spans="1:19" s="146" customFormat="1" ht="18" customHeight="1">
      <c r="A618" s="183"/>
      <c r="B618" s="920"/>
      <c r="C618" s="920"/>
      <c r="D618" s="920"/>
      <c r="E618" s="147" t="s">
        <v>91</v>
      </c>
      <c r="F618" s="920"/>
      <c r="G618" s="148"/>
      <c r="H618" s="141"/>
      <c r="I618" s="185"/>
      <c r="J618" s="143"/>
      <c r="K618" s="185"/>
      <c r="L618" s="143"/>
      <c r="M618" s="144"/>
      <c r="N618" s="879"/>
      <c r="O618" s="115"/>
      <c r="P618" s="115"/>
      <c r="Q618" s="116"/>
      <c r="R618" s="116"/>
      <c r="S618" s="117"/>
    </row>
    <row r="619" spans="1:19" s="146" customFormat="1" ht="18" customHeight="1">
      <c r="A619" s="183"/>
      <c r="B619" s="920"/>
      <c r="C619" s="920"/>
      <c r="D619" s="920"/>
      <c r="E619" s="154"/>
      <c r="F619" s="920"/>
      <c r="G619" s="140"/>
      <c r="H619" s="141"/>
      <c r="I619" s="185"/>
      <c r="J619" s="143"/>
      <c r="K619" s="185"/>
      <c r="L619" s="143"/>
      <c r="M619" s="144"/>
      <c r="N619" s="879"/>
      <c r="O619" s="115"/>
      <c r="P619" s="115"/>
      <c r="Q619" s="116"/>
      <c r="R619" s="116"/>
      <c r="S619" s="117"/>
    </row>
    <row r="620" spans="1:19" s="146" customFormat="1" ht="18" customHeight="1">
      <c r="A620" s="183">
        <v>2</v>
      </c>
      <c r="B620" s="920"/>
      <c r="C620" s="920"/>
      <c r="D620" s="920"/>
      <c r="E620" s="154" t="s">
        <v>92</v>
      </c>
      <c r="F620" s="920"/>
      <c r="G620" s="140"/>
      <c r="H620" s="141" t="s">
        <v>102</v>
      </c>
      <c r="I620" s="184" t="s">
        <v>1483</v>
      </c>
      <c r="J620" s="143">
        <v>347652</v>
      </c>
      <c r="K620" s="184" t="s">
        <v>1669</v>
      </c>
      <c r="L620" s="143">
        <v>345204</v>
      </c>
      <c r="M620" s="144">
        <f>L620-J620</f>
        <v>-2448</v>
      </c>
      <c r="N620" s="879"/>
      <c r="O620" s="115">
        <f>28767*12</f>
        <v>345204</v>
      </c>
      <c r="P620" s="115"/>
      <c r="Q620" s="116"/>
      <c r="R620" s="116"/>
      <c r="S620" s="145"/>
    </row>
    <row r="621" spans="1:19" s="146" customFormat="1" ht="18" customHeight="1">
      <c r="A621" s="183"/>
      <c r="B621" s="957"/>
      <c r="C621" s="957"/>
      <c r="D621" s="957"/>
      <c r="E621" s="154"/>
      <c r="F621" s="957"/>
      <c r="G621" s="140"/>
      <c r="H621" s="141"/>
      <c r="I621" s="184"/>
      <c r="J621" s="143"/>
      <c r="K621" s="184"/>
      <c r="L621" s="143"/>
      <c r="M621" s="144"/>
      <c r="N621" s="879"/>
      <c r="O621" s="115"/>
      <c r="P621" s="115"/>
      <c r="Q621" s="116"/>
      <c r="R621" s="116"/>
      <c r="S621" s="145"/>
    </row>
    <row r="622" spans="1:19" s="146" customFormat="1" ht="18" customHeight="1">
      <c r="A622" s="183"/>
      <c r="B622" s="920"/>
      <c r="C622" s="920"/>
      <c r="D622" s="920"/>
      <c r="E622" s="154"/>
      <c r="F622" s="920"/>
      <c r="G622" s="140"/>
      <c r="H622" s="141"/>
      <c r="I622" s="184"/>
      <c r="J622" s="143"/>
      <c r="K622" s="184"/>
      <c r="L622" s="143"/>
      <c r="M622" s="144"/>
      <c r="N622" s="879"/>
      <c r="O622" s="115"/>
      <c r="P622" s="115"/>
      <c r="Q622" s="116"/>
      <c r="R622" s="116"/>
      <c r="S622" s="145"/>
    </row>
    <row r="623" spans="1:19" s="146" customFormat="1" ht="18" customHeight="1">
      <c r="A623" s="183"/>
      <c r="B623" s="920"/>
      <c r="C623" s="920"/>
      <c r="D623" s="920"/>
      <c r="E623" s="147" t="s">
        <v>93</v>
      </c>
      <c r="F623" s="920"/>
      <c r="G623" s="148"/>
      <c r="H623" s="141"/>
      <c r="I623" s="185"/>
      <c r="J623" s="149"/>
      <c r="K623" s="185"/>
      <c r="L623" s="149"/>
      <c r="M623" s="144"/>
      <c r="N623" s="879"/>
      <c r="O623" s="115"/>
      <c r="P623" s="115"/>
      <c r="Q623" s="116"/>
      <c r="R623" s="116"/>
      <c r="S623" s="117"/>
    </row>
    <row r="624" spans="1:19" s="146" customFormat="1" ht="18" customHeight="1">
      <c r="A624" s="183"/>
      <c r="B624" s="920"/>
      <c r="C624" s="920"/>
      <c r="D624" s="920"/>
      <c r="E624" s="154"/>
      <c r="F624" s="920"/>
      <c r="G624" s="140"/>
      <c r="H624" s="141"/>
      <c r="I624" s="185"/>
      <c r="J624" s="143"/>
      <c r="K624" s="185"/>
      <c r="L624" s="143"/>
      <c r="M624" s="144"/>
      <c r="N624" s="879"/>
      <c r="O624" s="115"/>
      <c r="P624" s="115"/>
      <c r="Q624" s="116"/>
      <c r="R624" s="116"/>
      <c r="S624" s="117"/>
    </row>
    <row r="625" spans="1:19" s="146" customFormat="1" ht="18" customHeight="1">
      <c r="A625" s="183">
        <v>3</v>
      </c>
      <c r="B625" s="1552"/>
      <c r="C625" s="1553"/>
      <c r="D625" s="1554"/>
      <c r="E625" s="154" t="s">
        <v>1656</v>
      </c>
      <c r="F625" s="930"/>
      <c r="G625" s="140"/>
      <c r="H625" s="141" t="s">
        <v>275</v>
      </c>
      <c r="I625" s="194" t="s">
        <v>384</v>
      </c>
      <c r="J625" s="143">
        <v>259476</v>
      </c>
      <c r="K625" s="184" t="s">
        <v>384</v>
      </c>
      <c r="L625" s="143">
        <v>275400</v>
      </c>
      <c r="M625" s="144">
        <f>L625-J625</f>
        <v>15924</v>
      </c>
      <c r="N625" s="879"/>
      <c r="O625" s="115">
        <f>M625+L625</f>
        <v>291324</v>
      </c>
      <c r="P625" s="115"/>
      <c r="Q625" s="116"/>
      <c r="R625" s="116"/>
      <c r="S625" s="145"/>
    </row>
    <row r="626" spans="1:19" s="146" customFormat="1" ht="18" customHeight="1">
      <c r="A626" s="183"/>
      <c r="B626" s="957"/>
      <c r="C626" s="957"/>
      <c r="D626" s="957"/>
      <c r="E626" s="154"/>
      <c r="F626" s="957"/>
      <c r="G626" s="140"/>
      <c r="H626" s="141"/>
      <c r="I626" s="194"/>
      <c r="J626" s="143"/>
      <c r="K626" s="184"/>
      <c r="L626" s="143"/>
      <c r="M626" s="144"/>
      <c r="N626" s="879"/>
      <c r="O626" s="115"/>
      <c r="P626" s="115"/>
      <c r="Q626" s="116"/>
      <c r="R626" s="116"/>
      <c r="S626" s="145"/>
    </row>
    <row r="627" spans="1:19" s="146" customFormat="1" ht="18" customHeight="1">
      <c r="A627" s="183"/>
      <c r="B627" s="957"/>
      <c r="C627" s="957"/>
      <c r="D627" s="957"/>
      <c r="E627" s="154"/>
      <c r="F627" s="957"/>
      <c r="G627" s="140"/>
      <c r="H627" s="141"/>
      <c r="I627" s="185"/>
      <c r="J627" s="143"/>
      <c r="K627" s="185"/>
      <c r="L627" s="143"/>
      <c r="M627" s="144"/>
      <c r="N627" s="879"/>
      <c r="O627" s="115"/>
      <c r="P627" s="115"/>
      <c r="Q627" s="116"/>
      <c r="R627" s="116"/>
      <c r="S627" s="117"/>
    </row>
    <row r="628" spans="1:19" s="146" customFormat="1" ht="18" customHeight="1">
      <c r="A628" s="183">
        <v>4</v>
      </c>
      <c r="B628" s="920"/>
      <c r="C628" s="920"/>
      <c r="D628" s="920"/>
      <c r="E628" s="154" t="s">
        <v>94</v>
      </c>
      <c r="F628" s="920"/>
      <c r="G628" s="140"/>
      <c r="H628" s="141" t="s">
        <v>432</v>
      </c>
      <c r="I628" s="184" t="s">
        <v>134</v>
      </c>
      <c r="J628" s="143">
        <v>265320</v>
      </c>
      <c r="K628" s="184" t="s">
        <v>134</v>
      </c>
      <c r="L628" s="143">
        <v>281244</v>
      </c>
      <c r="M628" s="144">
        <f>L628-J628</f>
        <v>15924</v>
      </c>
      <c r="N628" s="879"/>
      <c r="O628" s="115">
        <f>M628+L628</f>
        <v>297168</v>
      </c>
      <c r="P628" s="115"/>
      <c r="Q628" s="116"/>
      <c r="R628" s="116"/>
      <c r="S628" s="145"/>
    </row>
    <row r="629" spans="1:19" s="146" customFormat="1" ht="18" customHeight="1">
      <c r="A629" s="183"/>
      <c r="B629" s="920"/>
      <c r="C629" s="920"/>
      <c r="D629" s="920"/>
      <c r="E629" s="154" t="s">
        <v>83</v>
      </c>
      <c r="F629" s="920"/>
      <c r="G629" s="140"/>
      <c r="H629" s="141"/>
      <c r="I629" s="184"/>
      <c r="J629" s="143"/>
      <c r="K629" s="184"/>
      <c r="L629" s="143"/>
      <c r="M629" s="144"/>
      <c r="N629" s="879"/>
      <c r="O629" s="115"/>
      <c r="P629" s="115"/>
      <c r="Q629" s="116"/>
      <c r="R629" s="116"/>
      <c r="S629" s="117"/>
    </row>
    <row r="630" spans="1:19" s="146" customFormat="1" ht="18" customHeight="1">
      <c r="A630" s="183"/>
      <c r="B630" s="920"/>
      <c r="C630" s="920"/>
      <c r="D630" s="920"/>
      <c r="E630" s="154"/>
      <c r="F630" s="920"/>
      <c r="G630" s="140"/>
      <c r="H630" s="141"/>
      <c r="I630" s="184"/>
      <c r="J630" s="143"/>
      <c r="K630" s="184"/>
      <c r="L630" s="149"/>
      <c r="M630" s="144"/>
      <c r="N630" s="879"/>
      <c r="O630" s="115"/>
      <c r="P630" s="115"/>
      <c r="Q630" s="116"/>
      <c r="R630" s="116"/>
      <c r="S630" s="117"/>
    </row>
    <row r="631" spans="1:19" s="146" customFormat="1" ht="18" customHeight="1">
      <c r="A631" s="183"/>
      <c r="B631" s="920"/>
      <c r="C631" s="920"/>
      <c r="D631" s="920"/>
      <c r="E631" s="154"/>
      <c r="F631" s="920"/>
      <c r="G631" s="140"/>
      <c r="H631" s="141"/>
      <c r="I631" s="194"/>
      <c r="J631" s="149"/>
      <c r="K631" s="194"/>
      <c r="L631" s="149"/>
      <c r="M631" s="144"/>
      <c r="N631" s="879"/>
      <c r="O631" s="115"/>
      <c r="P631" s="115"/>
      <c r="Q631" s="116"/>
      <c r="R631" s="116"/>
      <c r="S631" s="117"/>
    </row>
    <row r="632" spans="1:19" s="146" customFormat="1" ht="18" customHeight="1">
      <c r="A632" s="183">
        <v>5</v>
      </c>
      <c r="B632" s="920"/>
      <c r="C632" s="920"/>
      <c r="D632" s="920"/>
      <c r="E632" s="154" t="s">
        <v>95</v>
      </c>
      <c r="F632" s="920"/>
      <c r="G632" s="140"/>
      <c r="H632" s="141" t="s">
        <v>96</v>
      </c>
      <c r="I632" s="184" t="s">
        <v>1484</v>
      </c>
      <c r="J632" s="143">
        <v>188244</v>
      </c>
      <c r="K632" s="184" t="s">
        <v>1484</v>
      </c>
      <c r="L632" s="143">
        <v>195816</v>
      </c>
      <c r="M632" s="144">
        <f>L632-J632</f>
        <v>7572</v>
      </c>
      <c r="N632" s="879"/>
      <c r="O632" s="115">
        <f>M632+L632</f>
        <v>203388</v>
      </c>
      <c r="P632" s="115"/>
      <c r="Q632" s="116"/>
      <c r="R632" s="116"/>
      <c r="S632" s="145"/>
    </row>
    <row r="633" spans="1:19" s="146" customFormat="1" ht="18" customHeight="1">
      <c r="A633" s="183"/>
      <c r="B633" s="957"/>
      <c r="C633" s="957"/>
      <c r="D633" s="957"/>
      <c r="E633" s="154"/>
      <c r="F633" s="957"/>
      <c r="G633" s="140"/>
      <c r="H633" s="141"/>
      <c r="I633" s="184"/>
      <c r="J633" s="143"/>
      <c r="K633" s="184"/>
      <c r="L633" s="143"/>
      <c r="M633" s="144"/>
      <c r="N633" s="879"/>
      <c r="O633" s="115"/>
      <c r="P633" s="115"/>
      <c r="Q633" s="116"/>
      <c r="R633" s="116"/>
      <c r="S633" s="145"/>
    </row>
    <row r="634" spans="1:19" s="146" customFormat="1" ht="18" customHeight="1">
      <c r="A634" s="183"/>
      <c r="B634" s="920"/>
      <c r="C634" s="920"/>
      <c r="D634" s="920"/>
      <c r="E634" s="154"/>
      <c r="F634" s="920"/>
      <c r="G634" s="140"/>
      <c r="H634" s="141"/>
      <c r="I634" s="184"/>
      <c r="J634" s="143"/>
      <c r="K634" s="184"/>
      <c r="L634" s="143"/>
      <c r="M634" s="144"/>
      <c r="N634" s="879"/>
      <c r="O634" s="115"/>
      <c r="P634" s="115"/>
      <c r="Q634" s="116"/>
      <c r="R634" s="116"/>
      <c r="S634" s="145"/>
    </row>
    <row r="635" spans="1:19" s="146" customFormat="1" ht="18" customHeight="1">
      <c r="A635" s="183">
        <v>6</v>
      </c>
      <c r="B635" s="920"/>
      <c r="C635" s="920"/>
      <c r="D635" s="920"/>
      <c r="E635" s="154" t="s">
        <v>95</v>
      </c>
      <c r="F635" s="920"/>
      <c r="G635" s="140"/>
      <c r="H635" s="141" t="s">
        <v>375</v>
      </c>
      <c r="I635" s="184" t="s">
        <v>1630</v>
      </c>
      <c r="J635" s="143">
        <v>185400</v>
      </c>
      <c r="K635" s="184" t="s">
        <v>1630</v>
      </c>
      <c r="L635" s="143">
        <v>192852</v>
      </c>
      <c r="M635" s="144">
        <f>L635-J635</f>
        <v>7452</v>
      </c>
      <c r="N635" s="879"/>
      <c r="O635" s="115">
        <f>M635+L635</f>
        <v>200304</v>
      </c>
      <c r="P635" s="115"/>
      <c r="Q635" s="116"/>
      <c r="R635" s="116"/>
      <c r="S635" s="145"/>
    </row>
    <row r="636" spans="1:19" s="146" customFormat="1" ht="18" customHeight="1">
      <c r="A636" s="183"/>
      <c r="B636" s="920"/>
      <c r="C636" s="920"/>
      <c r="D636" s="920"/>
      <c r="E636" s="154"/>
      <c r="F636" s="920"/>
      <c r="G636" s="140"/>
      <c r="H636" s="141"/>
      <c r="I636" s="184"/>
      <c r="J636" s="143"/>
      <c r="K636" s="184"/>
      <c r="L636" s="143"/>
      <c r="M636" s="144"/>
      <c r="N636" s="879"/>
      <c r="O636" s="115"/>
      <c r="P636" s="115"/>
      <c r="Q636" s="116"/>
      <c r="R636" s="116"/>
      <c r="S636" s="145"/>
    </row>
    <row r="637" spans="1:19" s="146" customFormat="1" ht="18" customHeight="1">
      <c r="A637" s="183"/>
      <c r="B637" s="920"/>
      <c r="C637" s="920"/>
      <c r="D637" s="920"/>
      <c r="E637" s="154"/>
      <c r="F637" s="920"/>
      <c r="G637" s="140"/>
      <c r="H637" s="141"/>
      <c r="I637" s="184"/>
      <c r="J637" s="143"/>
      <c r="K637" s="184"/>
      <c r="L637" s="143"/>
      <c r="M637" s="144"/>
      <c r="N637" s="879"/>
      <c r="O637" s="115"/>
      <c r="P637" s="115"/>
      <c r="Q637" s="116"/>
      <c r="R637" s="116"/>
      <c r="S637" s="145"/>
    </row>
    <row r="638" spans="1:19" s="146" customFormat="1" ht="18" customHeight="1">
      <c r="A638" s="183">
        <v>7</v>
      </c>
      <c r="B638" s="920"/>
      <c r="C638" s="920"/>
      <c r="D638" s="920"/>
      <c r="E638" s="154" t="s">
        <v>95</v>
      </c>
      <c r="F638" s="920"/>
      <c r="G638" s="140"/>
      <c r="H638" s="141" t="s">
        <v>80</v>
      </c>
      <c r="I638" s="184" t="s">
        <v>1630</v>
      </c>
      <c r="J638" s="143">
        <v>185400</v>
      </c>
      <c r="K638" s="184" t="s">
        <v>1630</v>
      </c>
      <c r="L638" s="143">
        <v>192852</v>
      </c>
      <c r="M638" s="144">
        <f>L638-J638</f>
        <v>7452</v>
      </c>
      <c r="N638" s="879"/>
      <c r="O638" s="115">
        <f>M638+L638</f>
        <v>200304</v>
      </c>
      <c r="P638" s="115"/>
      <c r="Q638" s="116"/>
      <c r="R638" s="116"/>
      <c r="S638" s="145"/>
    </row>
    <row r="639" spans="1:19" s="146" customFormat="1" ht="18" customHeight="1">
      <c r="A639" s="183"/>
      <c r="B639" s="920"/>
      <c r="C639" s="920"/>
      <c r="D639" s="920"/>
      <c r="E639" s="154"/>
      <c r="F639" s="920"/>
      <c r="G639" s="140"/>
      <c r="H639" s="141"/>
      <c r="I639" s="184"/>
      <c r="J639" s="143"/>
      <c r="K639" s="184"/>
      <c r="L639" s="143"/>
      <c r="M639" s="144"/>
      <c r="N639" s="879"/>
      <c r="O639" s="115"/>
      <c r="P639" s="115"/>
      <c r="Q639" s="116"/>
      <c r="R639" s="116"/>
      <c r="S639" s="145"/>
    </row>
    <row r="640" spans="1:19" s="146" customFormat="1" ht="18" customHeight="1">
      <c r="A640" s="183"/>
      <c r="B640" s="920"/>
      <c r="C640" s="920"/>
      <c r="D640" s="920"/>
      <c r="E640" s="154"/>
      <c r="F640" s="920"/>
      <c r="G640" s="140"/>
      <c r="H640" s="141"/>
      <c r="I640" s="185"/>
      <c r="J640" s="143"/>
      <c r="K640" s="185"/>
      <c r="L640" s="143"/>
      <c r="M640" s="144"/>
      <c r="N640" s="879"/>
      <c r="O640" s="115"/>
      <c r="P640" s="115"/>
      <c r="Q640" s="116"/>
      <c r="R640" s="116"/>
      <c r="S640" s="117"/>
    </row>
    <row r="641" spans="1:19" s="146" customFormat="1" ht="18" customHeight="1">
      <c r="A641" s="183">
        <v>8</v>
      </c>
      <c r="B641" s="920"/>
      <c r="C641" s="920"/>
      <c r="D641" s="920"/>
      <c r="E641" s="154" t="s">
        <v>98</v>
      </c>
      <c r="F641" s="920"/>
      <c r="G641" s="140"/>
      <c r="H641" s="141" t="s">
        <v>865</v>
      </c>
      <c r="I641" s="184" t="s">
        <v>1439</v>
      </c>
      <c r="J641" s="143">
        <v>164784</v>
      </c>
      <c r="K641" s="184" t="s">
        <v>1439</v>
      </c>
      <c r="L641" s="143">
        <v>171348</v>
      </c>
      <c r="M641" s="144">
        <f>L641-J641</f>
        <v>6564</v>
      </c>
      <c r="N641" s="879"/>
      <c r="O641" s="115">
        <f>M641+L641</f>
        <v>177912</v>
      </c>
      <c r="P641" s="115"/>
      <c r="Q641" s="116"/>
      <c r="R641" s="116"/>
      <c r="S641" s="145"/>
    </row>
    <row r="642" spans="1:19" s="146" customFormat="1" ht="18" customHeight="1">
      <c r="A642" s="183"/>
      <c r="B642" s="920"/>
      <c r="C642" s="920"/>
      <c r="D642" s="920"/>
      <c r="E642" s="154"/>
      <c r="F642" s="920"/>
      <c r="G642" s="140"/>
      <c r="H642" s="141"/>
      <c r="I642" s="184"/>
      <c r="J642" s="143"/>
      <c r="K642" s="184"/>
      <c r="L642" s="143"/>
      <c r="M642" s="144"/>
      <c r="N642" s="879"/>
      <c r="O642" s="115"/>
      <c r="P642" s="115"/>
      <c r="Q642" s="116"/>
      <c r="R642" s="116"/>
      <c r="S642" s="145"/>
    </row>
    <row r="643" spans="1:19" s="146" customFormat="1" ht="18" customHeight="1">
      <c r="A643" s="183"/>
      <c r="B643" s="920"/>
      <c r="C643" s="920"/>
      <c r="D643" s="920"/>
      <c r="E643" s="154"/>
      <c r="F643" s="920"/>
      <c r="G643" s="140"/>
      <c r="H643" s="141"/>
      <c r="I643" s="184"/>
      <c r="J643" s="143"/>
      <c r="K643" s="184"/>
      <c r="L643" s="143"/>
      <c r="M643" s="144"/>
      <c r="N643" s="879"/>
      <c r="O643" s="115"/>
      <c r="P643" s="115"/>
      <c r="Q643" s="116"/>
      <c r="R643" s="116"/>
      <c r="S643" s="145"/>
    </row>
    <row r="644" spans="1:19" s="146" customFormat="1" ht="18" customHeight="1">
      <c r="A644" s="183">
        <v>9</v>
      </c>
      <c r="B644" s="920"/>
      <c r="C644" s="920"/>
      <c r="D644" s="920"/>
      <c r="E644" s="154" t="s">
        <v>98</v>
      </c>
      <c r="F644" s="920"/>
      <c r="G644" s="140"/>
      <c r="H644" s="141" t="s">
        <v>102</v>
      </c>
      <c r="I644" s="184" t="s">
        <v>1439</v>
      </c>
      <c r="J644" s="143">
        <v>164784</v>
      </c>
      <c r="K644" s="184" t="s">
        <v>1485</v>
      </c>
      <c r="L644" s="143">
        <v>168744</v>
      </c>
      <c r="M644" s="144">
        <f>L644-J644</f>
        <v>3960</v>
      </c>
      <c r="N644" s="879"/>
      <c r="O644" s="115">
        <f>M644+L644</f>
        <v>172704</v>
      </c>
      <c r="P644" s="115"/>
      <c r="Q644" s="116"/>
      <c r="R644" s="116"/>
      <c r="S644" s="145"/>
    </row>
    <row r="645" spans="1:19" s="146" customFormat="1" ht="18" customHeight="1">
      <c r="A645" s="183"/>
      <c r="B645" s="957"/>
      <c r="C645" s="957"/>
      <c r="D645" s="957"/>
      <c r="E645" s="154"/>
      <c r="F645" s="957"/>
      <c r="G645" s="140"/>
      <c r="H645" s="141"/>
      <c r="I645" s="184"/>
      <c r="J645" s="143"/>
      <c r="K645" s="184"/>
      <c r="L645" s="143"/>
      <c r="M645" s="144"/>
      <c r="N645" s="879"/>
      <c r="O645" s="115"/>
      <c r="P645" s="115"/>
      <c r="Q645" s="116"/>
      <c r="R645" s="116"/>
      <c r="S645" s="145"/>
    </row>
    <row r="646" spans="1:19" s="146" customFormat="1" ht="18" customHeight="1">
      <c r="A646" s="183"/>
      <c r="B646" s="920"/>
      <c r="C646" s="920"/>
      <c r="D646" s="920"/>
      <c r="E646" s="154"/>
      <c r="F646" s="920"/>
      <c r="G646" s="140"/>
      <c r="H646" s="141"/>
      <c r="I646" s="184"/>
      <c r="J646" s="149"/>
      <c r="K646" s="184"/>
      <c r="L646" s="149"/>
      <c r="M646" s="144"/>
      <c r="N646" s="879"/>
      <c r="O646" s="115"/>
      <c r="P646" s="115"/>
      <c r="Q646" s="116"/>
      <c r="R646" s="116"/>
      <c r="S646" s="145"/>
    </row>
    <row r="647" spans="1:19" s="146" customFormat="1" ht="18" customHeight="1">
      <c r="A647" s="183">
        <v>10</v>
      </c>
      <c r="B647" s="920"/>
      <c r="C647" s="920"/>
      <c r="D647" s="920"/>
      <c r="E647" s="154" t="s">
        <v>98</v>
      </c>
      <c r="F647" s="920"/>
      <c r="G647" s="140"/>
      <c r="H647" s="150" t="s">
        <v>864</v>
      </c>
      <c r="I647" s="184" t="s">
        <v>1485</v>
      </c>
      <c r="J647" s="143">
        <v>162276</v>
      </c>
      <c r="K647" s="184" t="s">
        <v>1485</v>
      </c>
      <c r="L647" s="143">
        <v>168744</v>
      </c>
      <c r="M647" s="144">
        <f>L647-J647</f>
        <v>6468</v>
      </c>
      <c r="N647" s="879"/>
      <c r="O647" s="115">
        <f>M647+L647</f>
        <v>175212</v>
      </c>
      <c r="P647" s="115"/>
      <c r="Q647" s="116"/>
      <c r="R647" s="116"/>
      <c r="S647" s="145"/>
    </row>
    <row r="648" spans="1:19" s="146" customFormat="1" ht="18" customHeight="1">
      <c r="A648" s="183"/>
      <c r="B648" s="957"/>
      <c r="C648" s="957"/>
      <c r="D648" s="957"/>
      <c r="E648" s="154"/>
      <c r="F648" s="957"/>
      <c r="G648" s="140"/>
      <c r="H648" s="150"/>
      <c r="I648" s="184"/>
      <c r="J648" s="143"/>
      <c r="K648" s="184"/>
      <c r="L648" s="143"/>
      <c r="M648" s="144"/>
      <c r="N648" s="879"/>
      <c r="O648" s="115"/>
      <c r="P648" s="115"/>
      <c r="Q648" s="116"/>
      <c r="R648" s="116"/>
      <c r="S648" s="145"/>
    </row>
    <row r="649" spans="1:19" s="146" customFormat="1" ht="18" customHeight="1">
      <c r="A649" s="183"/>
      <c r="B649" s="920"/>
      <c r="C649" s="920"/>
      <c r="D649" s="920"/>
      <c r="E649" s="154"/>
      <c r="F649" s="920"/>
      <c r="G649" s="140"/>
      <c r="H649" s="141"/>
      <c r="I649" s="184"/>
      <c r="J649" s="149"/>
      <c r="K649" s="184"/>
      <c r="L649" s="149"/>
      <c r="M649" s="144"/>
      <c r="N649" s="879"/>
      <c r="O649" s="115"/>
      <c r="P649" s="115"/>
      <c r="Q649" s="116"/>
      <c r="R649" s="116"/>
      <c r="S649" s="145"/>
    </row>
    <row r="650" spans="1:19" s="146" customFormat="1" ht="18" customHeight="1">
      <c r="A650" s="183">
        <v>11</v>
      </c>
      <c r="B650" s="920"/>
      <c r="C650" s="920"/>
      <c r="D650" s="920"/>
      <c r="E650" s="154" t="s">
        <v>98</v>
      </c>
      <c r="F650" s="920"/>
      <c r="G650" s="140"/>
      <c r="H650" s="141" t="s">
        <v>866</v>
      </c>
      <c r="I650" s="184" t="s">
        <v>1439</v>
      </c>
      <c r="J650" s="143">
        <v>164784</v>
      </c>
      <c r="K650" s="184" t="s">
        <v>1439</v>
      </c>
      <c r="L650" s="143">
        <v>171348</v>
      </c>
      <c r="M650" s="144">
        <f>L650-J650</f>
        <v>6564</v>
      </c>
      <c r="N650" s="879"/>
      <c r="O650" s="115">
        <f>M650+L650</f>
        <v>177912</v>
      </c>
      <c r="P650" s="115"/>
      <c r="Q650" s="116"/>
      <c r="R650" s="116"/>
      <c r="S650" s="145"/>
    </row>
    <row r="651" spans="1:19" s="146" customFormat="1" ht="18" customHeight="1">
      <c r="A651" s="183"/>
      <c r="B651" s="920"/>
      <c r="C651" s="920"/>
      <c r="D651" s="920"/>
      <c r="E651" s="154"/>
      <c r="F651" s="920"/>
      <c r="G651" s="140"/>
      <c r="H651" s="141"/>
      <c r="I651" s="184"/>
      <c r="J651" s="143"/>
      <c r="K651" s="184"/>
      <c r="L651" s="149"/>
      <c r="M651" s="144"/>
      <c r="N651" s="879"/>
      <c r="O651" s="115"/>
      <c r="P651" s="115"/>
      <c r="Q651" s="116"/>
      <c r="R651" s="116"/>
      <c r="S651" s="145"/>
    </row>
    <row r="652" spans="1:19" s="146" customFormat="1" ht="18" customHeight="1">
      <c r="A652" s="183"/>
      <c r="B652" s="920"/>
      <c r="C652" s="920"/>
      <c r="D652" s="920"/>
      <c r="E652" s="154"/>
      <c r="F652" s="920"/>
      <c r="G652" s="140"/>
      <c r="H652" s="141"/>
      <c r="I652" s="184"/>
      <c r="J652" s="143"/>
      <c r="K652" s="184"/>
      <c r="L652" s="143"/>
      <c r="M652" s="144"/>
      <c r="N652" s="879"/>
      <c r="O652" s="115"/>
      <c r="P652" s="115"/>
      <c r="Q652" s="116"/>
      <c r="R652" s="116"/>
      <c r="S652" s="117"/>
    </row>
    <row r="653" spans="1:19" s="146" customFormat="1" ht="18" customHeight="1">
      <c r="A653" s="183">
        <v>12</v>
      </c>
      <c r="B653" s="920"/>
      <c r="C653" s="920"/>
      <c r="D653" s="920"/>
      <c r="E653" s="154" t="s">
        <v>98</v>
      </c>
      <c r="F653" s="920"/>
      <c r="G653" s="140"/>
      <c r="H653" s="141" t="s">
        <v>938</v>
      </c>
      <c r="I653" s="184" t="s">
        <v>433</v>
      </c>
      <c r="J653" s="143">
        <v>163524</v>
      </c>
      <c r="K653" s="184" t="s">
        <v>433</v>
      </c>
      <c r="L653" s="143">
        <v>170040</v>
      </c>
      <c r="M653" s="144">
        <f>L653-J653</f>
        <v>6516</v>
      </c>
      <c r="N653" s="879"/>
      <c r="O653" s="115">
        <f>M653+L653</f>
        <v>176556</v>
      </c>
      <c r="P653" s="115"/>
      <c r="Q653" s="116"/>
      <c r="R653" s="116"/>
      <c r="S653" s="145"/>
    </row>
    <row r="654" spans="1:19" s="146" customFormat="1" ht="18" customHeight="1">
      <c r="A654" s="183"/>
      <c r="B654" s="920"/>
      <c r="C654" s="920"/>
      <c r="D654" s="920"/>
      <c r="E654" s="154"/>
      <c r="F654" s="920"/>
      <c r="G654" s="140"/>
      <c r="H654" s="141"/>
      <c r="I654" s="184"/>
      <c r="J654" s="143"/>
      <c r="K654" s="184"/>
      <c r="L654" s="149"/>
      <c r="M654" s="144"/>
      <c r="N654" s="879"/>
      <c r="O654" s="115"/>
      <c r="P654" s="115"/>
      <c r="Q654" s="116"/>
      <c r="R654" s="116"/>
      <c r="S654" s="145"/>
    </row>
    <row r="655" spans="1:19" s="146" customFormat="1" ht="18" customHeight="1">
      <c r="A655" s="183"/>
      <c r="B655" s="920"/>
      <c r="C655" s="920"/>
      <c r="D655" s="920"/>
      <c r="E655" s="154"/>
      <c r="F655" s="920"/>
      <c r="G655" s="140"/>
      <c r="H655" s="141"/>
      <c r="I655" s="194"/>
      <c r="J655" s="143"/>
      <c r="K655" s="194"/>
      <c r="L655" s="143"/>
      <c r="M655" s="144"/>
      <c r="N655" s="879"/>
      <c r="O655" s="115"/>
      <c r="P655" s="115"/>
      <c r="Q655" s="116"/>
      <c r="R655" s="116"/>
      <c r="S655" s="117"/>
    </row>
    <row r="656" spans="1:19" s="146" customFormat="1" ht="18" customHeight="1">
      <c r="A656" s="183">
        <v>13</v>
      </c>
      <c r="B656" s="920"/>
      <c r="C656" s="920"/>
      <c r="D656" s="920"/>
      <c r="E656" s="154" t="s">
        <v>57</v>
      </c>
      <c r="F656" s="920"/>
      <c r="G656" s="140"/>
      <c r="H656" s="141" t="s">
        <v>1486</v>
      </c>
      <c r="I656" s="184" t="s">
        <v>241</v>
      </c>
      <c r="J656" s="143">
        <v>144072</v>
      </c>
      <c r="K656" s="184" t="s">
        <v>241</v>
      </c>
      <c r="L656" s="143">
        <v>149712</v>
      </c>
      <c r="M656" s="144">
        <f>L656-J656</f>
        <v>5640</v>
      </c>
      <c r="N656" s="879"/>
      <c r="O656" s="115">
        <f>L657+M656+M657</f>
        <v>157583</v>
      </c>
      <c r="P656" s="115"/>
      <c r="Q656" s="116"/>
      <c r="R656" s="116"/>
      <c r="S656" s="145"/>
    </row>
    <row r="657" spans="1:23" s="146" customFormat="1" ht="18" customHeight="1">
      <c r="A657" s="183"/>
      <c r="B657" s="957"/>
      <c r="C657" s="957"/>
      <c r="D657" s="957"/>
      <c r="E657" s="154"/>
      <c r="F657" s="957"/>
      <c r="G657" s="140"/>
      <c r="H657" s="141"/>
      <c r="I657" s="184"/>
      <c r="J657" s="143"/>
      <c r="K657" s="184" t="s">
        <v>427</v>
      </c>
      <c r="L657" s="143">
        <v>150876</v>
      </c>
      <c r="M657" s="144">
        <v>1067</v>
      </c>
      <c r="N657" s="879">
        <f>(L657-L656)*11/12</f>
        <v>1067</v>
      </c>
      <c r="O657" s="115"/>
      <c r="P657" s="115"/>
      <c r="Q657" s="116"/>
      <c r="R657" s="116"/>
      <c r="S657" s="145"/>
    </row>
    <row r="658" spans="1:23" s="146" customFormat="1" ht="18" customHeight="1">
      <c r="A658" s="183"/>
      <c r="B658" s="957"/>
      <c r="C658" s="957"/>
      <c r="D658" s="957"/>
      <c r="E658" s="154"/>
      <c r="F658" s="957"/>
      <c r="G658" s="140"/>
      <c r="H658" s="141"/>
      <c r="I658" s="184"/>
      <c r="J658" s="143"/>
      <c r="K658" s="184"/>
      <c r="L658" s="149">
        <v>44960</v>
      </c>
      <c r="M658" s="144"/>
      <c r="N658" s="879"/>
      <c r="O658" s="115"/>
      <c r="P658" s="115"/>
      <c r="Q658" s="116"/>
      <c r="R658" s="116"/>
      <c r="S658" s="145"/>
    </row>
    <row r="659" spans="1:23" s="146" customFormat="1" ht="18" customHeight="1">
      <c r="A659" s="183"/>
      <c r="B659" s="930"/>
      <c r="C659" s="930"/>
      <c r="D659" s="930"/>
      <c r="E659" s="154"/>
      <c r="F659" s="930"/>
      <c r="G659" s="140"/>
      <c r="H659" s="141"/>
      <c r="I659" s="184"/>
      <c r="J659" s="143"/>
      <c r="K659" s="184"/>
      <c r="L659" s="143"/>
      <c r="M659" s="144"/>
      <c r="N659" s="879"/>
      <c r="O659" s="115"/>
      <c r="P659" s="115"/>
      <c r="Q659" s="116"/>
      <c r="R659" s="116"/>
      <c r="S659" s="145"/>
    </row>
    <row r="660" spans="1:23" s="146" customFormat="1" ht="18" customHeight="1">
      <c r="A660" s="183"/>
      <c r="B660" s="920"/>
      <c r="C660" s="920"/>
      <c r="D660" s="920"/>
      <c r="E660" s="154"/>
      <c r="F660" s="920"/>
      <c r="G660" s="140"/>
      <c r="H660" s="141"/>
      <c r="I660" s="185"/>
      <c r="J660" s="143"/>
      <c r="K660" s="185"/>
      <c r="L660" s="143"/>
      <c r="M660" s="143"/>
      <c r="N660" s="170"/>
      <c r="O660" s="115"/>
      <c r="P660" s="115"/>
      <c r="Q660" s="116"/>
      <c r="R660" s="116"/>
      <c r="S660" s="117"/>
    </row>
    <row r="661" spans="1:23" s="168" customFormat="1" ht="18" customHeight="1" thickBot="1">
      <c r="A661" s="161"/>
      <c r="B661" s="158"/>
      <c r="C661" s="158"/>
      <c r="D661" s="158"/>
      <c r="E661" s="186"/>
      <c r="F661" s="158"/>
      <c r="G661" s="160"/>
      <c r="H661" s="161" t="s">
        <v>15</v>
      </c>
      <c r="I661" s="187"/>
      <c r="J661" s="164">
        <f>SUM(J615:J660)</f>
        <v>3312216</v>
      </c>
      <c r="K661" s="187"/>
      <c r="L661" s="164"/>
      <c r="M661" s="164">
        <f>SUM(M615:M660)</f>
        <v>105947</v>
      </c>
      <c r="N661" s="171"/>
      <c r="O661" s="165">
        <f>SUM(O615:O660)</f>
        <v>3526655</v>
      </c>
      <c r="P661" s="165"/>
      <c r="Q661" s="166"/>
      <c r="R661" s="166"/>
      <c r="S661" s="167"/>
    </row>
    <row r="662" spans="1:23" s="146" customFormat="1" ht="18" customHeight="1" thickTop="1">
      <c r="A662" s="920"/>
      <c r="B662" s="920"/>
      <c r="C662" s="920"/>
      <c r="D662" s="920"/>
      <c r="E662" s="920"/>
      <c r="F662" s="920"/>
      <c r="G662" s="155"/>
      <c r="H662" s="155"/>
      <c r="I662" s="920"/>
      <c r="J662" s="171"/>
      <c r="K662" s="152"/>
      <c r="L662" s="170"/>
      <c r="M662" s="171"/>
      <c r="N662" s="171"/>
      <c r="O662" s="115"/>
      <c r="P662" s="115"/>
      <c r="Q662" s="116"/>
      <c r="R662" s="116"/>
      <c r="S662" s="117"/>
    </row>
    <row r="663" spans="1:23" s="146" customFormat="1" ht="18" customHeight="1">
      <c r="A663" s="920"/>
      <c r="B663" s="920"/>
      <c r="C663" s="920"/>
      <c r="D663" s="920"/>
      <c r="E663" s="920"/>
      <c r="F663" s="920"/>
      <c r="G663" s="155"/>
      <c r="H663" s="155"/>
      <c r="I663" s="920"/>
      <c r="J663" s="171"/>
      <c r="K663" s="152"/>
      <c r="L663" s="170"/>
      <c r="M663" s="171"/>
      <c r="N663" s="171"/>
      <c r="O663" s="115"/>
      <c r="P663" s="115"/>
      <c r="Q663" s="116"/>
      <c r="R663" s="116"/>
      <c r="S663" s="117"/>
    </row>
    <row r="664" spans="1:23" s="146" customFormat="1" ht="18" customHeight="1">
      <c r="A664" s="174"/>
      <c r="B664" s="174"/>
      <c r="C664" s="913"/>
      <c r="D664" s="913"/>
      <c r="E664" s="174"/>
      <c r="F664" s="174"/>
      <c r="G664" s="174"/>
      <c r="H664" s="174"/>
      <c r="I664" s="174"/>
      <c r="J664" s="174"/>
      <c r="K664" s="176"/>
      <c r="L664" s="175"/>
      <c r="M664" s="175"/>
      <c r="N664" s="175"/>
      <c r="O664" s="115"/>
      <c r="P664" s="115"/>
      <c r="Q664" s="116"/>
      <c r="R664" s="116"/>
      <c r="S664" s="117"/>
    </row>
    <row r="665" spans="1:23" s="146" customFormat="1" ht="18" customHeight="1">
      <c r="A665" s="173" t="s">
        <v>614</v>
      </c>
      <c r="B665" s="173"/>
      <c r="C665" s="912"/>
      <c r="D665" s="912"/>
      <c r="E665" s="174"/>
      <c r="F665" s="174"/>
      <c r="G665" s="174"/>
      <c r="H665" s="173" t="s">
        <v>615</v>
      </c>
      <c r="I665" s="174"/>
      <c r="K665" s="173" t="s">
        <v>253</v>
      </c>
      <c r="L665" s="175"/>
      <c r="M665" s="175"/>
      <c r="N665" s="175"/>
      <c r="O665" s="115"/>
      <c r="P665" s="115"/>
      <c r="Q665" s="116"/>
      <c r="R665" s="116"/>
      <c r="S665" s="117"/>
    </row>
    <row r="666" spans="1:23" s="146" customFormat="1" ht="18" customHeight="1">
      <c r="A666" s="174"/>
      <c r="B666" s="174"/>
      <c r="C666" s="913"/>
      <c r="D666" s="913"/>
      <c r="E666" s="174"/>
      <c r="F666" s="174"/>
      <c r="G666" s="174"/>
      <c r="H666" s="174"/>
      <c r="I666" s="174"/>
      <c r="J666" s="174"/>
      <c r="K666" s="176"/>
      <c r="L666" s="175"/>
      <c r="M666" s="175"/>
      <c r="N666" s="175"/>
      <c r="O666" s="115"/>
      <c r="P666" s="115"/>
      <c r="Q666" s="116"/>
      <c r="R666" s="116"/>
      <c r="S666" s="117"/>
    </row>
    <row r="667" spans="1:23" s="146" customFormat="1" ht="18" customHeight="1">
      <c r="A667" s="1531" t="s">
        <v>242</v>
      </c>
      <c r="B667" s="1531"/>
      <c r="C667" s="1531"/>
      <c r="D667" s="1531"/>
      <c r="E667" s="1531"/>
      <c r="F667" s="1531"/>
      <c r="G667" s="174"/>
      <c r="H667" s="1531" t="s">
        <v>17</v>
      </c>
      <c r="I667" s="1531"/>
      <c r="J667" s="174"/>
      <c r="K667" s="1531" t="s">
        <v>1436</v>
      </c>
      <c r="L667" s="1531"/>
      <c r="M667" s="1531"/>
      <c r="N667" s="912"/>
      <c r="O667" s="115"/>
      <c r="P667" s="115"/>
      <c r="Q667" s="116"/>
      <c r="R667" s="116"/>
      <c r="S667" s="117"/>
    </row>
    <row r="668" spans="1:23" s="146" customFormat="1" ht="18" customHeight="1">
      <c r="A668" s="1520" t="s">
        <v>422</v>
      </c>
      <c r="B668" s="1520"/>
      <c r="C668" s="1520"/>
      <c r="D668" s="1520"/>
      <c r="E668" s="1520"/>
      <c r="F668" s="1520"/>
      <c r="G668" s="177"/>
      <c r="H668" s="1520" t="s">
        <v>18</v>
      </c>
      <c r="I668" s="1520"/>
      <c r="J668" s="912"/>
      <c r="K668" s="1520" t="s">
        <v>14</v>
      </c>
      <c r="L668" s="1520"/>
      <c r="M668" s="1520"/>
      <c r="N668" s="913"/>
      <c r="O668" s="115"/>
      <c r="P668" s="115"/>
      <c r="Q668" s="116"/>
      <c r="R668" s="116"/>
      <c r="S668" s="117"/>
    </row>
    <row r="669" spans="1:23" ht="18" customHeight="1">
      <c r="A669" s="111" t="s">
        <v>172</v>
      </c>
      <c r="B669" s="111"/>
      <c r="C669" s="910"/>
      <c r="D669" s="910"/>
      <c r="E669" s="1540"/>
      <c r="F669" s="1540"/>
      <c r="G669" s="1540"/>
      <c r="H669" s="910"/>
      <c r="I669" s="910"/>
      <c r="J669" s="910"/>
      <c r="K669" s="1540"/>
      <c r="L669" s="1540"/>
      <c r="M669" s="1540"/>
      <c r="N669" s="910"/>
    </row>
    <row r="670" spans="1:23" ht="18" customHeight="1">
      <c r="A670" s="111"/>
      <c r="B670" s="111"/>
      <c r="C670" s="910"/>
      <c r="D670" s="910"/>
      <c r="E670" s="910"/>
      <c r="F670" s="910"/>
      <c r="G670" s="910"/>
      <c r="H670" s="910"/>
      <c r="I670" s="910"/>
      <c r="J670" s="910"/>
      <c r="K670" s="910"/>
      <c r="L670" s="910"/>
      <c r="M670" s="910"/>
      <c r="N670" s="910"/>
    </row>
    <row r="671" spans="1:23" s="115" customFormat="1" ht="18" customHeight="1">
      <c r="A671" s="111"/>
      <c r="B671" s="111"/>
      <c r="C671" s="910"/>
      <c r="D671" s="910"/>
      <c r="E671" s="910"/>
      <c r="F671" s="910"/>
      <c r="G671" s="910"/>
      <c r="H671" s="910"/>
      <c r="I671" s="910"/>
      <c r="J671" s="910"/>
      <c r="K671" s="910"/>
      <c r="L671" s="910"/>
      <c r="M671" s="910"/>
      <c r="N671" s="910"/>
      <c r="Q671" s="116"/>
      <c r="R671" s="116"/>
      <c r="S671" s="117"/>
      <c r="T671" s="118"/>
      <c r="U671" s="118"/>
      <c r="V671" s="118"/>
      <c r="W671" s="118"/>
    </row>
    <row r="672" spans="1:23" s="115" customFormat="1" ht="18" customHeight="1">
      <c r="A672" s="111"/>
      <c r="B672" s="111"/>
      <c r="C672" s="910"/>
      <c r="D672" s="910"/>
      <c r="E672" s="111"/>
      <c r="F672" s="111"/>
      <c r="G672" s="111"/>
      <c r="H672" s="111"/>
      <c r="I672" s="111"/>
      <c r="J672" s="111"/>
      <c r="K672" s="112"/>
      <c r="L672" s="113"/>
      <c r="M672" s="113"/>
      <c r="N672" s="113"/>
      <c r="Q672" s="116"/>
      <c r="R672" s="116"/>
      <c r="S672" s="117"/>
      <c r="T672" s="118"/>
      <c r="U672" s="118"/>
      <c r="V672" s="118"/>
      <c r="W672" s="118"/>
    </row>
    <row r="673" spans="1:23" s="115" customFormat="1" ht="18" customHeight="1">
      <c r="A673" s="111"/>
      <c r="B673" s="111"/>
      <c r="C673" s="910"/>
      <c r="D673" s="910"/>
      <c r="E673" s="111"/>
      <c r="F673" s="111"/>
      <c r="G673" s="111"/>
      <c r="H673" s="111"/>
      <c r="I673" s="111"/>
      <c r="J673" s="111"/>
      <c r="K673" s="112"/>
      <c r="L673" s="113"/>
      <c r="M673" s="113"/>
      <c r="N673" s="113"/>
      <c r="Q673" s="116"/>
      <c r="R673" s="116"/>
      <c r="S673" s="117"/>
      <c r="T673" s="118"/>
      <c r="U673" s="118"/>
      <c r="V673" s="118"/>
      <c r="W673" s="118"/>
    </row>
    <row r="674" spans="1:23" s="262" customFormat="1" ht="20.100000000000001" customHeight="1">
      <c r="A674" s="1448" t="s">
        <v>958</v>
      </c>
      <c r="B674" s="1448"/>
      <c r="C674" s="1448"/>
      <c r="D674" s="1448"/>
      <c r="E674" s="1448"/>
      <c r="F674" s="1448"/>
      <c r="G674" s="1448"/>
      <c r="H674" s="1448"/>
      <c r="I674" s="1448"/>
      <c r="J674" s="1448"/>
      <c r="K674" s="1448"/>
      <c r="L674" s="1448"/>
      <c r="M674" s="1448"/>
      <c r="N674" s="918"/>
      <c r="S674" s="179"/>
      <c r="T674" s="179"/>
      <c r="U674" s="179"/>
      <c r="V674" s="179"/>
      <c r="W674" s="179"/>
    </row>
    <row r="675" spans="1:23" s="115" customFormat="1" ht="18" customHeight="1">
      <c r="A675" s="110"/>
      <c r="B675" s="110"/>
      <c r="C675" s="917"/>
      <c r="D675" s="917"/>
      <c r="E675" s="111"/>
      <c r="F675" s="111"/>
      <c r="G675" s="111"/>
      <c r="H675" s="111"/>
      <c r="I675" s="111"/>
      <c r="J675" s="111"/>
      <c r="K675" s="112"/>
      <c r="L675" s="113"/>
      <c r="M675" s="114"/>
      <c r="N675" s="114"/>
      <c r="Q675" s="116"/>
      <c r="R675" s="116"/>
      <c r="S675" s="117"/>
      <c r="T675" s="118"/>
      <c r="U675" s="118"/>
      <c r="V675" s="118"/>
      <c r="W675" s="118"/>
    </row>
    <row r="676" spans="1:23" s="115" customFormat="1" ht="18" customHeight="1">
      <c r="A676" s="1538" t="s">
        <v>1663</v>
      </c>
      <c r="B676" s="1538"/>
      <c r="C676" s="1538"/>
      <c r="D676" s="1538"/>
      <c r="E676" s="1538"/>
      <c r="F676" s="1538"/>
      <c r="G676" s="1538"/>
      <c r="H676" s="1538"/>
      <c r="I676" s="1538"/>
      <c r="J676" s="1538"/>
      <c r="K676" s="1538"/>
      <c r="L676" s="1538"/>
      <c r="M676" s="1538"/>
      <c r="N676" s="908"/>
      <c r="Q676" s="116"/>
      <c r="R676" s="116"/>
      <c r="S676" s="117"/>
      <c r="T676" s="118"/>
      <c r="U676" s="118"/>
      <c r="V676" s="118"/>
      <c r="W676" s="118"/>
    </row>
    <row r="677" spans="1:23" s="115" customFormat="1" ht="18" customHeight="1">
      <c r="A677" s="1539" t="s">
        <v>351</v>
      </c>
      <c r="B677" s="1539"/>
      <c r="C677" s="1539"/>
      <c r="D677" s="1539"/>
      <c r="E677" s="1539"/>
      <c r="F677" s="1539"/>
      <c r="G677" s="1539"/>
      <c r="H677" s="1539"/>
      <c r="I677" s="1539"/>
      <c r="J677" s="1539"/>
      <c r="K677" s="1539"/>
      <c r="L677" s="1539"/>
      <c r="M677" s="1539"/>
      <c r="N677" s="909"/>
      <c r="Q677" s="116"/>
      <c r="R677" s="116"/>
      <c r="S677" s="117"/>
      <c r="T677" s="118"/>
      <c r="U677" s="118"/>
      <c r="V677" s="118"/>
      <c r="W677" s="118"/>
    </row>
    <row r="678" spans="1:23" s="115" customFormat="1" ht="18" customHeight="1">
      <c r="A678" s="1540"/>
      <c r="B678" s="1540"/>
      <c r="C678" s="1540"/>
      <c r="D678" s="1540"/>
      <c r="E678" s="1540"/>
      <c r="F678" s="1540"/>
      <c r="G678" s="1540"/>
      <c r="H678" s="1540"/>
      <c r="I678" s="1540"/>
      <c r="J678" s="1540"/>
      <c r="K678" s="1540"/>
      <c r="L678" s="1540"/>
      <c r="M678" s="1540"/>
      <c r="N678" s="910"/>
      <c r="Q678" s="116"/>
      <c r="R678" s="116"/>
      <c r="S678" s="117"/>
      <c r="T678" s="118"/>
      <c r="U678" s="118"/>
      <c r="V678" s="118"/>
      <c r="W678" s="118"/>
    </row>
    <row r="679" spans="1:23" s="115" customFormat="1" ht="18" customHeight="1">
      <c r="A679" s="910"/>
      <c r="B679" s="910"/>
      <c r="C679" s="910"/>
      <c r="D679" s="910"/>
      <c r="E679" s="910"/>
      <c r="F679" s="910"/>
      <c r="G679" s="910"/>
      <c r="H679" s="910"/>
      <c r="I679" s="910"/>
      <c r="J679" s="910"/>
      <c r="K679" s="910"/>
      <c r="L679" s="910"/>
      <c r="M679" s="910"/>
      <c r="N679" s="910"/>
      <c r="Q679" s="116"/>
      <c r="R679" s="116"/>
      <c r="S679" s="117"/>
      <c r="T679" s="118"/>
      <c r="U679" s="118"/>
      <c r="V679" s="118"/>
      <c r="W679" s="118"/>
    </row>
    <row r="680" spans="1:23" s="115" customFormat="1" ht="18" customHeight="1">
      <c r="A680" s="111" t="s">
        <v>454</v>
      </c>
      <c r="B680" s="111"/>
      <c r="C680" s="111" t="s">
        <v>439</v>
      </c>
      <c r="D680" s="111" t="s">
        <v>309</v>
      </c>
      <c r="E680" s="111"/>
      <c r="F680" s="111"/>
      <c r="G680" s="111"/>
      <c r="H680" s="111"/>
      <c r="I680" s="910"/>
      <c r="J680" s="910"/>
      <c r="K680" s="910"/>
      <c r="L680" s="910"/>
      <c r="M680" s="910"/>
      <c r="N680" s="910"/>
      <c r="Q680" s="116"/>
      <c r="R680" s="116"/>
      <c r="S680" s="117"/>
      <c r="T680" s="118"/>
      <c r="U680" s="118"/>
      <c r="V680" s="118"/>
      <c r="W680" s="118"/>
    </row>
    <row r="681" spans="1:23" s="115" customFormat="1" ht="18" customHeight="1">
      <c r="A681" s="111" t="s">
        <v>442</v>
      </c>
      <c r="B681" s="111"/>
      <c r="C681" s="111" t="s">
        <v>439</v>
      </c>
      <c r="D681" s="111" t="s">
        <v>460</v>
      </c>
      <c r="E681" s="111"/>
      <c r="F681" s="111"/>
      <c r="G681" s="111"/>
      <c r="H681" s="111"/>
      <c r="I681" s="910"/>
      <c r="J681" s="910"/>
      <c r="K681" s="910"/>
      <c r="L681" s="910"/>
      <c r="M681" s="910"/>
      <c r="N681" s="910"/>
      <c r="O681" s="180"/>
      <c r="Q681" s="116"/>
      <c r="R681" s="116"/>
      <c r="S681" s="117"/>
      <c r="T681" s="118"/>
      <c r="U681" s="118"/>
      <c r="V681" s="118"/>
      <c r="W681" s="118"/>
    </row>
    <row r="682" spans="1:23" s="115" customFormat="1" ht="18" customHeight="1" thickBot="1">
      <c r="A682" s="111" t="s">
        <v>446</v>
      </c>
      <c r="B682" s="111"/>
      <c r="C682" s="216" t="s">
        <v>439</v>
      </c>
      <c r="D682" s="111" t="s">
        <v>662</v>
      </c>
      <c r="E682" s="111"/>
      <c r="F682" s="111"/>
      <c r="G682" s="111"/>
      <c r="H682" s="111"/>
      <c r="I682" s="910"/>
      <c r="J682" s="910"/>
      <c r="K682" s="910"/>
      <c r="L682" s="910"/>
      <c r="M682" s="910"/>
      <c r="N682" s="910"/>
      <c r="O682" s="180"/>
      <c r="Q682" s="116"/>
      <c r="R682" s="116"/>
      <c r="S682" s="117"/>
      <c r="T682" s="118"/>
      <c r="U682" s="118"/>
      <c r="V682" s="118"/>
      <c r="W682" s="118"/>
    </row>
    <row r="683" spans="1:23" s="115" customFormat="1" ht="18" customHeight="1">
      <c r="A683" s="1532" t="s">
        <v>619</v>
      </c>
      <c r="B683" s="1533"/>
      <c r="C683" s="1533"/>
      <c r="D683" s="1533"/>
      <c r="E683" s="1534"/>
      <c r="F683" s="1533"/>
      <c r="G683" s="1535"/>
      <c r="H683" s="121"/>
      <c r="I683" s="1536" t="s">
        <v>623</v>
      </c>
      <c r="J683" s="1537"/>
      <c r="K683" s="1536" t="s">
        <v>623</v>
      </c>
      <c r="L683" s="1537"/>
      <c r="M683" s="122"/>
      <c r="N683" s="876"/>
      <c r="O683" s="180"/>
      <c r="Q683" s="116"/>
      <c r="R683" s="116"/>
      <c r="S683" s="117"/>
      <c r="T683" s="118"/>
      <c r="U683" s="118"/>
      <c r="V683" s="118"/>
      <c r="W683" s="118"/>
    </row>
    <row r="684" spans="1:23" s="115" customFormat="1" ht="18" customHeight="1">
      <c r="A684" s="123" t="s">
        <v>620</v>
      </c>
      <c r="B684" s="1544" t="s">
        <v>621</v>
      </c>
      <c r="C684" s="1545"/>
      <c r="D684" s="1546"/>
      <c r="E684" s="1547" t="s">
        <v>43</v>
      </c>
      <c r="F684" s="1548"/>
      <c r="G684" s="1549"/>
      <c r="H684" s="914" t="s">
        <v>44</v>
      </c>
      <c r="I684" s="1547" t="s">
        <v>1613</v>
      </c>
      <c r="J684" s="1549"/>
      <c r="K684" s="1548" t="s">
        <v>1660</v>
      </c>
      <c r="L684" s="1549"/>
      <c r="M684" s="124" t="s">
        <v>45</v>
      </c>
      <c r="N684" s="877"/>
      <c r="Q684" s="116"/>
      <c r="R684" s="116"/>
      <c r="S684" s="117"/>
      <c r="T684" s="118"/>
      <c r="U684" s="118"/>
      <c r="V684" s="118"/>
      <c r="W684" s="118"/>
    </row>
    <row r="685" spans="1:23" s="115" customFormat="1" ht="18" customHeight="1">
      <c r="A685" s="125"/>
      <c r="B685" s="914"/>
      <c r="C685" s="915"/>
      <c r="D685" s="915"/>
      <c r="E685" s="914"/>
      <c r="F685" s="915"/>
      <c r="G685" s="916"/>
      <c r="H685" s="914" t="s">
        <v>46</v>
      </c>
      <c r="I685" s="1550"/>
      <c r="J685" s="1551"/>
      <c r="K685" s="1550"/>
      <c r="L685" s="1551"/>
      <c r="M685" s="124" t="s">
        <v>47</v>
      </c>
      <c r="N685" s="877"/>
      <c r="Q685" s="116"/>
      <c r="R685" s="116"/>
      <c r="S685" s="117"/>
      <c r="T685" s="118"/>
      <c r="U685" s="118"/>
      <c r="V685" s="118"/>
      <c r="W685" s="118"/>
    </row>
    <row r="686" spans="1:23" s="115" customFormat="1" ht="18" customHeight="1">
      <c r="A686" s="125"/>
      <c r="B686" s="914"/>
      <c r="C686" s="915"/>
      <c r="D686" s="915"/>
      <c r="E686" s="914"/>
      <c r="F686" s="915"/>
      <c r="G686" s="126"/>
      <c r="H686" s="127"/>
      <c r="I686" s="128" t="s">
        <v>622</v>
      </c>
      <c r="J686" s="129" t="s">
        <v>48</v>
      </c>
      <c r="K686" s="128" t="s">
        <v>622</v>
      </c>
      <c r="L686" s="129" t="s">
        <v>48</v>
      </c>
      <c r="M686" s="124"/>
      <c r="N686" s="120"/>
      <c r="Q686" s="116"/>
      <c r="R686" s="116"/>
      <c r="S686" s="117"/>
      <c r="T686" s="118"/>
      <c r="U686" s="118"/>
      <c r="V686" s="118"/>
      <c r="W686" s="118"/>
    </row>
    <row r="687" spans="1:23" ht="18" customHeight="1" thickBot="1">
      <c r="A687" s="130"/>
      <c r="B687" s="1541"/>
      <c r="C687" s="1542"/>
      <c r="D687" s="1543"/>
      <c r="E687" s="1541"/>
      <c r="F687" s="1542"/>
      <c r="G687" s="1543"/>
      <c r="H687" s="131"/>
      <c r="I687" s="131"/>
      <c r="J687" s="131"/>
      <c r="K687" s="131"/>
      <c r="L687" s="131"/>
      <c r="M687" s="132"/>
      <c r="N687" s="883"/>
    </row>
    <row r="688" spans="1:23" ht="18" customHeight="1">
      <c r="A688" s="181"/>
      <c r="B688" s="119"/>
      <c r="C688" s="119"/>
      <c r="D688" s="119"/>
      <c r="E688" s="133"/>
      <c r="F688" s="119"/>
      <c r="G688" s="134"/>
      <c r="H688" s="135"/>
      <c r="I688" s="182"/>
      <c r="J688" s="137"/>
      <c r="K688" s="182"/>
      <c r="L688" s="137"/>
      <c r="M688" s="137"/>
      <c r="N688" s="880"/>
    </row>
    <row r="689" spans="1:19" s="146" customFormat="1" ht="18" customHeight="1">
      <c r="A689" s="183">
        <v>1</v>
      </c>
      <c r="B689" s="920"/>
      <c r="C689" s="920"/>
      <c r="D689" s="920"/>
      <c r="E689" s="154" t="s">
        <v>76</v>
      </c>
      <c r="F689" s="920"/>
      <c r="G689" s="140"/>
      <c r="H689" s="229" t="s">
        <v>24</v>
      </c>
      <c r="I689" s="184" t="s">
        <v>1487</v>
      </c>
      <c r="J689" s="143">
        <v>962112</v>
      </c>
      <c r="K689" s="184" t="s">
        <v>1487</v>
      </c>
      <c r="L689" s="143">
        <v>980268</v>
      </c>
      <c r="M689" s="144">
        <f>L689-J689</f>
        <v>18156</v>
      </c>
      <c r="N689" s="879"/>
      <c r="O689" s="115">
        <f>M689+L689</f>
        <v>998424</v>
      </c>
      <c r="P689" s="115"/>
      <c r="Q689" s="116"/>
      <c r="R689" s="116"/>
      <c r="S689" s="145"/>
    </row>
    <row r="690" spans="1:19" s="146" customFormat="1" ht="18" customHeight="1">
      <c r="A690" s="183"/>
      <c r="B690" s="920"/>
      <c r="C690" s="920"/>
      <c r="D690" s="920"/>
      <c r="E690" s="154" t="s">
        <v>882</v>
      </c>
      <c r="F690" s="920"/>
      <c r="G690" s="140"/>
      <c r="H690" s="141"/>
      <c r="I690" s="184"/>
      <c r="J690" s="143"/>
      <c r="K690" s="184"/>
      <c r="L690" s="143"/>
      <c r="M690" s="143"/>
      <c r="N690" s="879"/>
      <c r="O690" s="115"/>
      <c r="P690" s="115"/>
      <c r="Q690" s="116"/>
      <c r="R690" s="116"/>
      <c r="S690" s="145"/>
    </row>
    <row r="691" spans="1:19" s="146" customFormat="1" ht="18" customHeight="1">
      <c r="A691" s="183"/>
      <c r="B691" s="920"/>
      <c r="C691" s="920"/>
      <c r="D691" s="920"/>
      <c r="E691" s="154"/>
      <c r="F691" s="920"/>
      <c r="G691" s="140"/>
      <c r="H691" s="141"/>
      <c r="I691" s="184"/>
      <c r="J691" s="149"/>
      <c r="K691" s="184"/>
      <c r="L691" s="149"/>
      <c r="M691" s="143"/>
      <c r="N691" s="170"/>
      <c r="O691" s="115"/>
      <c r="P691" s="115"/>
      <c r="Q691" s="116"/>
      <c r="R691" s="116"/>
      <c r="S691" s="117"/>
    </row>
    <row r="692" spans="1:19" s="146" customFormat="1" ht="18" customHeight="1">
      <c r="A692" s="183"/>
      <c r="B692" s="920"/>
      <c r="C692" s="920"/>
      <c r="D692" s="920"/>
      <c r="E692" s="154"/>
      <c r="F692" s="920"/>
      <c r="G692" s="140"/>
      <c r="H692" s="141"/>
      <c r="I692" s="185"/>
      <c r="J692" s="143"/>
      <c r="K692" s="185"/>
      <c r="L692" s="143"/>
      <c r="M692" s="143"/>
      <c r="N692" s="170"/>
      <c r="O692" s="115"/>
      <c r="P692" s="115"/>
      <c r="Q692" s="116"/>
      <c r="R692" s="116"/>
      <c r="S692" s="117"/>
    </row>
    <row r="693" spans="1:19" s="146" customFormat="1" ht="18" customHeight="1">
      <c r="A693" s="183">
        <v>2</v>
      </c>
      <c r="B693" s="920"/>
      <c r="C693" s="920"/>
      <c r="D693" s="920"/>
      <c r="E693" s="154" t="s">
        <v>101</v>
      </c>
      <c r="F693" s="920"/>
      <c r="G693" s="140"/>
      <c r="H693" s="141" t="s">
        <v>99</v>
      </c>
      <c r="I693" s="184" t="s">
        <v>130</v>
      </c>
      <c r="J693" s="143">
        <v>262380</v>
      </c>
      <c r="K693" s="184" t="s">
        <v>130</v>
      </c>
      <c r="L693" s="143">
        <v>278292</v>
      </c>
      <c r="M693" s="144">
        <f>L693-J693</f>
        <v>15912</v>
      </c>
      <c r="N693" s="879"/>
      <c r="O693" s="115">
        <f>M693+L693</f>
        <v>294204</v>
      </c>
      <c r="P693" s="115"/>
      <c r="Q693" s="116"/>
      <c r="R693" s="116"/>
      <c r="S693" s="145"/>
    </row>
    <row r="694" spans="1:19" s="146" customFormat="1" ht="18" customHeight="1">
      <c r="A694" s="183"/>
      <c r="B694" s="920"/>
      <c r="C694" s="920"/>
      <c r="D694" s="920"/>
      <c r="E694" s="154" t="s">
        <v>83</v>
      </c>
      <c r="F694" s="920"/>
      <c r="G694" s="140"/>
      <c r="H694" s="141"/>
      <c r="I694" s="184"/>
      <c r="J694" s="143"/>
      <c r="K694" s="184"/>
      <c r="L694" s="143"/>
      <c r="M694" s="144"/>
      <c r="N694" s="879"/>
      <c r="O694" s="115"/>
      <c r="P694" s="115"/>
      <c r="Q694" s="116"/>
      <c r="R694" s="116"/>
      <c r="S694" s="145"/>
    </row>
    <row r="695" spans="1:19" s="146" customFormat="1" ht="18" customHeight="1">
      <c r="A695" s="183"/>
      <c r="B695" s="920"/>
      <c r="C695" s="920"/>
      <c r="D695" s="920"/>
      <c r="E695" s="154"/>
      <c r="F695" s="920"/>
      <c r="G695" s="140"/>
      <c r="H695" s="141"/>
      <c r="I695" s="184"/>
      <c r="J695" s="143"/>
      <c r="K695" s="184"/>
      <c r="L695" s="149"/>
      <c r="M695" s="144"/>
      <c r="N695" s="879"/>
      <c r="O695" s="115"/>
      <c r="P695" s="115"/>
      <c r="Q695" s="116"/>
      <c r="R695" s="116"/>
      <c r="S695" s="145"/>
    </row>
    <row r="696" spans="1:19" s="146" customFormat="1" ht="18" customHeight="1">
      <c r="A696" s="183"/>
      <c r="B696" s="920"/>
      <c r="C696" s="920"/>
      <c r="D696" s="920"/>
      <c r="E696" s="154"/>
      <c r="F696" s="920"/>
      <c r="G696" s="140"/>
      <c r="H696" s="141"/>
      <c r="I696" s="185"/>
      <c r="J696" s="149"/>
      <c r="K696" s="185"/>
      <c r="L696" s="149"/>
      <c r="M696" s="143"/>
      <c r="N696" s="170"/>
      <c r="O696" s="115"/>
      <c r="P696" s="115"/>
      <c r="Q696" s="116"/>
      <c r="R696" s="116"/>
      <c r="S696" s="117"/>
    </row>
    <row r="697" spans="1:19" s="146" customFormat="1" ht="18" customHeight="1">
      <c r="A697" s="183">
        <v>3</v>
      </c>
      <c r="B697" s="920"/>
      <c r="C697" s="920"/>
      <c r="D697" s="920"/>
      <c r="E697" s="154" t="s">
        <v>103</v>
      </c>
      <c r="F697" s="920"/>
      <c r="G697" s="140"/>
      <c r="H697" s="141" t="s">
        <v>277</v>
      </c>
      <c r="I697" s="184" t="s">
        <v>238</v>
      </c>
      <c r="J697" s="143">
        <v>172140</v>
      </c>
      <c r="K697" s="184" t="s">
        <v>238</v>
      </c>
      <c r="L697" s="143">
        <v>179040</v>
      </c>
      <c r="M697" s="144">
        <f>L697-J697</f>
        <v>6900</v>
      </c>
      <c r="N697" s="879"/>
      <c r="O697" s="115">
        <f>L698+M697+M698</f>
        <v>188585</v>
      </c>
      <c r="P697" s="115"/>
      <c r="Q697" s="116"/>
      <c r="R697" s="116"/>
      <c r="S697" s="145"/>
    </row>
    <row r="698" spans="1:19" s="146" customFormat="1" ht="18" customHeight="1">
      <c r="A698" s="183"/>
      <c r="B698" s="920"/>
      <c r="C698" s="920"/>
      <c r="D698" s="920"/>
      <c r="E698" s="154"/>
      <c r="F698" s="920"/>
      <c r="G698" s="140"/>
      <c r="H698" s="141"/>
      <c r="I698" s="184"/>
      <c r="J698" s="143"/>
      <c r="K698" s="184" t="s">
        <v>431</v>
      </c>
      <c r="L698" s="143">
        <v>180420</v>
      </c>
      <c r="M698" s="144">
        <v>1265</v>
      </c>
      <c r="N698" s="879">
        <f>(L698-L697)*11/12</f>
        <v>1265</v>
      </c>
      <c r="O698" s="115"/>
      <c r="P698" s="115"/>
      <c r="Q698" s="116"/>
      <c r="R698" s="116"/>
      <c r="S698" s="145"/>
    </row>
    <row r="699" spans="1:19" s="146" customFormat="1" ht="18" customHeight="1">
      <c r="A699" s="183"/>
      <c r="B699" s="920"/>
      <c r="C699" s="920"/>
      <c r="D699" s="920"/>
      <c r="E699" s="154"/>
      <c r="F699" s="920"/>
      <c r="G699" s="140"/>
      <c r="H699" s="141"/>
      <c r="I699" s="184"/>
      <c r="J699" s="149"/>
      <c r="K699" s="184"/>
      <c r="L699" s="149">
        <v>44960</v>
      </c>
      <c r="M699" s="144"/>
      <c r="N699" s="879"/>
      <c r="O699" s="115"/>
      <c r="P699" s="115"/>
      <c r="Q699" s="116"/>
      <c r="R699" s="116"/>
      <c r="S699" s="117"/>
    </row>
    <row r="700" spans="1:19" s="146" customFormat="1" ht="18" customHeight="1">
      <c r="A700" s="183"/>
      <c r="B700" s="920"/>
      <c r="C700" s="920"/>
      <c r="D700" s="920"/>
      <c r="E700" s="154"/>
      <c r="F700" s="920"/>
      <c r="G700" s="140"/>
      <c r="H700" s="141"/>
      <c r="I700" s="184"/>
      <c r="J700" s="149"/>
      <c r="K700" s="184"/>
      <c r="L700" s="149"/>
      <c r="M700" s="144"/>
      <c r="N700" s="879"/>
      <c r="O700" s="115"/>
      <c r="P700" s="115"/>
      <c r="Q700" s="116"/>
      <c r="R700" s="116"/>
      <c r="S700" s="117"/>
    </row>
    <row r="701" spans="1:19" s="146" customFormat="1" ht="18" customHeight="1">
      <c r="A701" s="183"/>
      <c r="B701" s="920"/>
      <c r="C701" s="920"/>
      <c r="D701" s="920"/>
      <c r="E701" s="154"/>
      <c r="F701" s="920"/>
      <c r="G701" s="140"/>
      <c r="H701" s="141"/>
      <c r="I701" s="185"/>
      <c r="J701" s="143"/>
      <c r="K701" s="185"/>
      <c r="L701" s="143"/>
      <c r="M701" s="143"/>
      <c r="N701" s="170"/>
      <c r="O701" s="115"/>
      <c r="P701" s="115"/>
      <c r="Q701" s="116"/>
      <c r="R701" s="116"/>
      <c r="S701" s="117"/>
    </row>
    <row r="702" spans="1:19" s="146" customFormat="1" ht="18" customHeight="1">
      <c r="A702" s="183">
        <v>4</v>
      </c>
      <c r="B702" s="920"/>
      <c r="C702" s="920"/>
      <c r="D702" s="920"/>
      <c r="E702" s="154" t="s">
        <v>104</v>
      </c>
      <c r="F702" s="920"/>
      <c r="G702" s="140"/>
      <c r="H702" s="141" t="s">
        <v>1525</v>
      </c>
      <c r="I702" s="184" t="s">
        <v>55</v>
      </c>
      <c r="J702" s="143">
        <v>152928</v>
      </c>
      <c r="K702" s="184" t="s">
        <v>55</v>
      </c>
      <c r="L702" s="143">
        <v>158976</v>
      </c>
      <c r="M702" s="144">
        <f>L702-J702</f>
        <v>6048</v>
      </c>
      <c r="N702" s="879"/>
      <c r="O702" s="115">
        <f>L703+M702+M703</f>
        <v>166860</v>
      </c>
      <c r="P702" s="115"/>
      <c r="Q702" s="116"/>
      <c r="R702" s="116"/>
      <c r="S702" s="145"/>
    </row>
    <row r="703" spans="1:19" s="146" customFormat="1" ht="18" customHeight="1">
      <c r="A703" s="183"/>
      <c r="B703" s="920"/>
      <c r="C703" s="920"/>
      <c r="D703" s="920"/>
      <c r="E703" s="154"/>
      <c r="F703" s="920"/>
      <c r="G703" s="140"/>
      <c r="H703" s="141"/>
      <c r="I703" s="184"/>
      <c r="J703" s="149"/>
      <c r="K703" s="184" t="s">
        <v>107</v>
      </c>
      <c r="L703" s="143">
        <v>160200</v>
      </c>
      <c r="M703" s="144">
        <v>612</v>
      </c>
      <c r="N703" s="879">
        <f>(L703-L702)*6/12</f>
        <v>612</v>
      </c>
      <c r="O703" s="115"/>
      <c r="P703" s="115"/>
      <c r="Q703" s="116"/>
      <c r="R703" s="116"/>
      <c r="S703" s="117"/>
    </row>
    <row r="704" spans="1:19" s="146" customFormat="1" ht="18" customHeight="1">
      <c r="A704" s="183"/>
      <c r="B704" s="920"/>
      <c r="C704" s="920"/>
      <c r="D704" s="920"/>
      <c r="E704" s="154"/>
      <c r="F704" s="920"/>
      <c r="G704" s="140"/>
      <c r="H704" s="141"/>
      <c r="I704" s="184"/>
      <c r="J704" s="149"/>
      <c r="K704" s="184"/>
      <c r="L704" s="149">
        <v>45120</v>
      </c>
      <c r="M704" s="144"/>
      <c r="N704" s="879"/>
      <c r="O704" s="115"/>
      <c r="P704" s="115"/>
      <c r="Q704" s="116"/>
      <c r="R704" s="116"/>
      <c r="S704" s="117"/>
    </row>
    <row r="705" spans="1:19" s="146" customFormat="1" ht="18" customHeight="1">
      <c r="A705" s="183"/>
      <c r="B705" s="920"/>
      <c r="C705" s="920"/>
      <c r="D705" s="920"/>
      <c r="E705" s="154"/>
      <c r="F705" s="920"/>
      <c r="G705" s="140"/>
      <c r="H705" s="141"/>
      <c r="I705" s="184"/>
      <c r="J705" s="149"/>
      <c r="K705" s="184"/>
      <c r="L705" s="149"/>
      <c r="M705" s="144"/>
      <c r="N705" s="879"/>
      <c r="O705" s="115"/>
      <c r="P705" s="115"/>
      <c r="Q705" s="116"/>
      <c r="R705" s="116"/>
      <c r="S705" s="117"/>
    </row>
    <row r="706" spans="1:19" s="146" customFormat="1" ht="18" customHeight="1">
      <c r="A706" s="183"/>
      <c r="B706" s="920"/>
      <c r="C706" s="920"/>
      <c r="D706" s="920"/>
      <c r="E706" s="154"/>
      <c r="F706" s="920"/>
      <c r="G706" s="140"/>
      <c r="H706" s="141"/>
      <c r="I706" s="185"/>
      <c r="J706" s="149"/>
      <c r="K706" s="185"/>
      <c r="L706" s="149"/>
      <c r="M706" s="143"/>
      <c r="N706" s="170"/>
      <c r="O706" s="115"/>
      <c r="P706" s="115"/>
      <c r="Q706" s="116"/>
      <c r="R706" s="116"/>
      <c r="S706" s="117"/>
    </row>
    <row r="707" spans="1:19" s="146" customFormat="1" ht="18" customHeight="1">
      <c r="A707" s="183">
        <v>5</v>
      </c>
      <c r="B707" s="920"/>
      <c r="C707" s="920"/>
      <c r="D707" s="920"/>
      <c r="E707" s="154" t="s">
        <v>105</v>
      </c>
      <c r="F707" s="920"/>
      <c r="G707" s="140"/>
      <c r="H707" s="141" t="s">
        <v>106</v>
      </c>
      <c r="I707" s="184" t="s">
        <v>1440</v>
      </c>
      <c r="J707" s="143">
        <v>157680</v>
      </c>
      <c r="K707" s="184" t="s">
        <v>1440</v>
      </c>
      <c r="L707" s="143">
        <v>163920</v>
      </c>
      <c r="M707" s="144">
        <f>L707-J707</f>
        <v>6240</v>
      </c>
      <c r="N707" s="879"/>
      <c r="O707" s="115">
        <f>L708+M707+M708</f>
        <v>172552</v>
      </c>
      <c r="P707" s="115"/>
      <c r="Q707" s="116"/>
      <c r="R707" s="116"/>
      <c r="S707" s="145"/>
    </row>
    <row r="708" spans="1:19" s="146" customFormat="1" ht="18" customHeight="1">
      <c r="A708" s="183"/>
      <c r="B708" s="920"/>
      <c r="C708" s="920"/>
      <c r="D708" s="920"/>
      <c r="E708" s="154"/>
      <c r="F708" s="920"/>
      <c r="G708" s="140"/>
      <c r="H708" s="141"/>
      <c r="I708" s="185"/>
      <c r="J708" s="149"/>
      <c r="K708" s="184" t="s">
        <v>1670</v>
      </c>
      <c r="L708" s="143">
        <v>165168</v>
      </c>
      <c r="M708" s="143">
        <v>1144</v>
      </c>
      <c r="N708" s="879">
        <f>(L708-L707)*11/12</f>
        <v>1144</v>
      </c>
      <c r="O708" s="115"/>
      <c r="P708" s="115"/>
      <c r="Q708" s="116"/>
      <c r="R708" s="116"/>
      <c r="S708" s="117"/>
    </row>
    <row r="709" spans="1:19" s="146" customFormat="1" ht="18" customHeight="1">
      <c r="A709" s="183"/>
      <c r="B709" s="920"/>
      <c r="C709" s="920"/>
      <c r="D709" s="920"/>
      <c r="E709" s="154"/>
      <c r="F709" s="920"/>
      <c r="G709" s="140"/>
      <c r="H709" s="141"/>
      <c r="I709" s="185"/>
      <c r="J709" s="149"/>
      <c r="K709" s="185"/>
      <c r="L709" s="149">
        <v>44958</v>
      </c>
      <c r="M709" s="143"/>
      <c r="N709" s="170"/>
      <c r="O709" s="115"/>
      <c r="P709" s="115"/>
      <c r="Q709" s="116"/>
      <c r="R709" s="116"/>
      <c r="S709" s="117"/>
    </row>
    <row r="710" spans="1:19" s="146" customFormat="1" ht="18" customHeight="1">
      <c r="A710" s="183"/>
      <c r="B710" s="920"/>
      <c r="C710" s="920"/>
      <c r="D710" s="920"/>
      <c r="E710" s="154"/>
      <c r="F710" s="920"/>
      <c r="G710" s="140"/>
      <c r="H710" s="141"/>
      <c r="I710" s="185"/>
      <c r="J710" s="149"/>
      <c r="K710" s="185"/>
      <c r="L710" s="149"/>
      <c r="M710" s="143"/>
      <c r="N710" s="170"/>
      <c r="O710" s="115"/>
      <c r="P710" s="115"/>
      <c r="Q710" s="116"/>
      <c r="R710" s="116"/>
      <c r="S710" s="117"/>
    </row>
    <row r="711" spans="1:19" s="146" customFormat="1" ht="18" customHeight="1">
      <c r="A711" s="183"/>
      <c r="B711" s="920"/>
      <c r="C711" s="920"/>
      <c r="D711" s="920"/>
      <c r="E711" s="154"/>
      <c r="F711" s="920"/>
      <c r="G711" s="140"/>
      <c r="H711" s="141"/>
      <c r="I711" s="185"/>
      <c r="J711" s="149"/>
      <c r="K711" s="185"/>
      <c r="L711" s="149"/>
      <c r="M711" s="143"/>
      <c r="N711" s="170"/>
      <c r="O711" s="115"/>
      <c r="P711" s="115"/>
      <c r="Q711" s="116"/>
      <c r="R711" s="116"/>
      <c r="S711" s="117"/>
    </row>
    <row r="712" spans="1:19" s="146" customFormat="1" ht="18" customHeight="1">
      <c r="A712" s="183">
        <v>6</v>
      </c>
      <c r="B712" s="920"/>
      <c r="C712" s="920"/>
      <c r="D712" s="920"/>
      <c r="E712" s="154" t="s">
        <v>78</v>
      </c>
      <c r="F712" s="920"/>
      <c r="G712" s="140"/>
      <c r="H712" s="141" t="s">
        <v>108</v>
      </c>
      <c r="I712" s="184" t="s">
        <v>79</v>
      </c>
      <c r="J712" s="143">
        <v>181620</v>
      </c>
      <c r="K712" s="184" t="s">
        <v>79</v>
      </c>
      <c r="L712" s="143">
        <v>188904</v>
      </c>
      <c r="M712" s="144">
        <f>L712-J712</f>
        <v>7284</v>
      </c>
      <c r="N712" s="879"/>
      <c r="O712" s="115">
        <f>M712+L712</f>
        <v>196188</v>
      </c>
      <c r="P712" s="115"/>
      <c r="Q712" s="116"/>
      <c r="R712" s="116"/>
      <c r="S712" s="145"/>
    </row>
    <row r="713" spans="1:19" s="146" customFormat="1" ht="18" customHeight="1">
      <c r="A713" s="183"/>
      <c r="B713" s="920"/>
      <c r="C713" s="920"/>
      <c r="D713" s="920"/>
      <c r="E713" s="154"/>
      <c r="F713" s="920"/>
      <c r="G713" s="140"/>
      <c r="H713" s="141"/>
      <c r="I713" s="185"/>
      <c r="J713" s="143"/>
      <c r="K713" s="185"/>
      <c r="L713" s="143"/>
      <c r="M713" s="143"/>
      <c r="N713" s="170"/>
      <c r="O713" s="115"/>
      <c r="P713" s="115"/>
      <c r="Q713" s="116"/>
      <c r="R713" s="116"/>
      <c r="S713" s="117"/>
    </row>
    <row r="714" spans="1:19" s="146" customFormat="1" ht="18" customHeight="1">
      <c r="A714" s="183"/>
      <c r="B714" s="920"/>
      <c r="C714" s="920"/>
      <c r="D714" s="920"/>
      <c r="E714" s="154"/>
      <c r="F714" s="920"/>
      <c r="G714" s="140"/>
      <c r="H714" s="141"/>
      <c r="I714" s="185"/>
      <c r="J714" s="143"/>
      <c r="K714" s="185"/>
      <c r="L714" s="143"/>
      <c r="M714" s="143"/>
      <c r="N714" s="170"/>
      <c r="O714" s="115"/>
      <c r="P714" s="115"/>
      <c r="Q714" s="116"/>
      <c r="R714" s="116"/>
      <c r="S714" s="117"/>
    </row>
    <row r="715" spans="1:19" s="146" customFormat="1" ht="18" customHeight="1">
      <c r="A715" s="183"/>
      <c r="B715" s="920"/>
      <c r="C715" s="920"/>
      <c r="D715" s="920"/>
      <c r="E715" s="154"/>
      <c r="F715" s="920"/>
      <c r="G715" s="140"/>
      <c r="H715" s="141"/>
      <c r="I715" s="185"/>
      <c r="J715" s="143"/>
      <c r="K715" s="185"/>
      <c r="L715" s="143"/>
      <c r="M715" s="143"/>
      <c r="N715" s="170"/>
      <c r="O715" s="115"/>
      <c r="P715" s="115"/>
      <c r="Q715" s="116"/>
      <c r="R715" s="116"/>
      <c r="S715" s="117"/>
    </row>
    <row r="716" spans="1:19" s="146" customFormat="1" ht="18" customHeight="1">
      <c r="A716" s="183"/>
      <c r="B716" s="920"/>
      <c r="C716" s="920"/>
      <c r="D716" s="920"/>
      <c r="E716" s="154"/>
      <c r="F716" s="920"/>
      <c r="G716" s="140"/>
      <c r="H716" s="141"/>
      <c r="I716" s="185"/>
      <c r="J716" s="143"/>
      <c r="K716" s="185"/>
      <c r="L716" s="143"/>
      <c r="M716" s="143"/>
      <c r="N716" s="170"/>
      <c r="O716" s="115"/>
      <c r="P716" s="115"/>
      <c r="Q716" s="116"/>
      <c r="R716" s="116"/>
      <c r="S716" s="117"/>
    </row>
    <row r="717" spans="1:19" s="146" customFormat="1" ht="18" customHeight="1">
      <c r="A717" s="183"/>
      <c r="B717" s="920"/>
      <c r="C717" s="920"/>
      <c r="D717" s="920"/>
      <c r="E717" s="154"/>
      <c r="F717" s="920"/>
      <c r="G717" s="140"/>
      <c r="H717" s="141"/>
      <c r="I717" s="142"/>
      <c r="J717" s="143"/>
      <c r="K717" s="142"/>
      <c r="L717" s="143"/>
      <c r="M717" s="143"/>
      <c r="N717" s="170"/>
      <c r="O717" s="115"/>
      <c r="P717" s="115"/>
      <c r="Q717" s="116"/>
      <c r="R717" s="116"/>
      <c r="S717" s="117"/>
    </row>
    <row r="718" spans="1:19" s="146" customFormat="1" ht="18" customHeight="1">
      <c r="A718" s="183"/>
      <c r="B718" s="920"/>
      <c r="C718" s="920"/>
      <c r="D718" s="920"/>
      <c r="E718" s="154"/>
      <c r="F718" s="920"/>
      <c r="G718" s="140"/>
      <c r="H718" s="141"/>
      <c r="I718" s="210"/>
      <c r="J718" s="143"/>
      <c r="K718" s="210"/>
      <c r="L718" s="143"/>
      <c r="M718" s="143"/>
      <c r="N718" s="170"/>
      <c r="O718" s="115"/>
      <c r="P718" s="115"/>
      <c r="Q718" s="116"/>
      <c r="R718" s="116"/>
      <c r="S718" s="117"/>
    </row>
    <row r="719" spans="1:19" s="146" customFormat="1" ht="18" customHeight="1">
      <c r="A719" s="183"/>
      <c r="B719" s="920"/>
      <c r="C719" s="920"/>
      <c r="D719" s="920"/>
      <c r="E719" s="154"/>
      <c r="F719" s="920"/>
      <c r="G719" s="140"/>
      <c r="H719" s="141"/>
      <c r="I719" s="210"/>
      <c r="J719" s="143"/>
      <c r="K719" s="210"/>
      <c r="L719" s="143"/>
      <c r="M719" s="143"/>
      <c r="N719" s="170"/>
      <c r="O719" s="115"/>
      <c r="P719" s="115"/>
      <c r="Q719" s="116"/>
      <c r="R719" s="116"/>
      <c r="S719" s="117"/>
    </row>
    <row r="720" spans="1:19" s="146" customFormat="1" ht="18" customHeight="1">
      <c r="A720" s="183"/>
      <c r="B720" s="920"/>
      <c r="C720" s="920"/>
      <c r="D720" s="920"/>
      <c r="E720" s="154"/>
      <c r="F720" s="920"/>
      <c r="G720" s="140"/>
      <c r="H720" s="141"/>
      <c r="I720" s="210"/>
      <c r="J720" s="143"/>
      <c r="K720" s="210"/>
      <c r="L720" s="143"/>
      <c r="M720" s="143"/>
      <c r="N720" s="170"/>
      <c r="O720" s="115"/>
      <c r="P720" s="115"/>
      <c r="Q720" s="116"/>
      <c r="R720" s="116"/>
      <c r="S720" s="117"/>
    </row>
    <row r="721" spans="1:19" s="146" customFormat="1" ht="18" customHeight="1">
      <c r="A721" s="141"/>
      <c r="B721" s="155"/>
      <c r="C721" s="920"/>
      <c r="D721" s="920"/>
      <c r="E721" s="154"/>
      <c r="F721" s="155"/>
      <c r="G721" s="140"/>
      <c r="H721" s="141"/>
      <c r="I721" s="210"/>
      <c r="J721" s="143"/>
      <c r="K721" s="210"/>
      <c r="L721" s="143"/>
      <c r="M721" s="143"/>
      <c r="N721" s="170"/>
      <c r="O721" s="115"/>
      <c r="P721" s="115"/>
      <c r="Q721" s="116"/>
      <c r="R721" s="116"/>
      <c r="S721" s="117"/>
    </row>
    <row r="722" spans="1:19" s="146" customFormat="1" ht="18" customHeight="1">
      <c r="A722" s="141"/>
      <c r="B722" s="155"/>
      <c r="C722" s="920"/>
      <c r="D722" s="920"/>
      <c r="E722" s="154"/>
      <c r="F722" s="155"/>
      <c r="G722" s="140"/>
      <c r="H722" s="141"/>
      <c r="I722" s="210"/>
      <c r="J722" s="215"/>
      <c r="K722" s="210"/>
      <c r="L722" s="215"/>
      <c r="M722" s="215"/>
      <c r="N722" s="171"/>
      <c r="O722" s="115"/>
      <c r="P722" s="115"/>
      <c r="Q722" s="116"/>
      <c r="R722" s="116"/>
      <c r="S722" s="117"/>
    </row>
    <row r="723" spans="1:19" s="146" customFormat="1" ht="18" customHeight="1">
      <c r="A723" s="141"/>
      <c r="B723" s="155"/>
      <c r="C723" s="920"/>
      <c r="D723" s="920"/>
      <c r="E723" s="154"/>
      <c r="F723" s="155"/>
      <c r="G723" s="140"/>
      <c r="H723" s="141"/>
      <c r="I723" s="210"/>
      <c r="J723" s="143"/>
      <c r="K723" s="210"/>
      <c r="L723" s="143"/>
      <c r="M723" s="215"/>
      <c r="N723" s="171"/>
      <c r="O723" s="115"/>
      <c r="P723" s="115"/>
      <c r="Q723" s="116"/>
      <c r="R723" s="116"/>
      <c r="S723" s="117"/>
    </row>
    <row r="724" spans="1:19" s="146" customFormat="1" ht="18" customHeight="1">
      <c r="A724" s="141"/>
      <c r="B724" s="155"/>
      <c r="C724" s="920"/>
      <c r="D724" s="920"/>
      <c r="E724" s="154"/>
      <c r="F724" s="230"/>
      <c r="G724" s="140"/>
      <c r="H724" s="141"/>
      <c r="I724" s="210"/>
      <c r="J724" s="143"/>
      <c r="K724" s="210"/>
      <c r="L724" s="143"/>
      <c r="M724" s="215"/>
      <c r="N724" s="171"/>
      <c r="O724" s="115"/>
      <c r="P724" s="115"/>
      <c r="Q724" s="116"/>
      <c r="R724" s="116"/>
      <c r="S724" s="117"/>
    </row>
    <row r="725" spans="1:19" s="168" customFormat="1" ht="18" customHeight="1" thickBot="1">
      <c r="A725" s="162"/>
      <c r="B725" s="159"/>
      <c r="C725" s="158"/>
      <c r="D725" s="158"/>
      <c r="E725" s="157"/>
      <c r="F725" s="159"/>
      <c r="G725" s="160"/>
      <c r="H725" s="161" t="s">
        <v>15</v>
      </c>
      <c r="I725" s="214"/>
      <c r="J725" s="163">
        <f>SUM(J688:J724)</f>
        <v>1888860</v>
      </c>
      <c r="K725" s="214"/>
      <c r="L725" s="163"/>
      <c r="M725" s="163">
        <f>SUM(M688:M724)</f>
        <v>63561</v>
      </c>
      <c r="N725" s="169"/>
      <c r="O725" s="165">
        <f>SUM(O689:O718)</f>
        <v>2016813</v>
      </c>
      <c r="P725" s="165"/>
      <c r="Q725" s="166"/>
      <c r="R725" s="166"/>
      <c r="S725" s="167"/>
    </row>
    <row r="726" spans="1:19" s="146" customFormat="1" ht="18" customHeight="1" thickTop="1">
      <c r="A726" s="155"/>
      <c r="B726" s="155"/>
      <c r="C726" s="920"/>
      <c r="D726" s="920"/>
      <c r="E726" s="155"/>
      <c r="F726" s="155"/>
      <c r="G726" s="155"/>
      <c r="H726" s="155"/>
      <c r="I726" s="155"/>
      <c r="J726" s="169"/>
      <c r="K726" s="228"/>
      <c r="L726" s="171"/>
      <c r="M726" s="171"/>
      <c r="N726" s="171"/>
      <c r="O726" s="115"/>
      <c r="P726" s="115"/>
      <c r="Q726" s="116"/>
      <c r="R726" s="116"/>
      <c r="S726" s="117"/>
    </row>
    <row r="727" spans="1:19" s="146" customFormat="1" ht="18" customHeight="1">
      <c r="A727" s="155"/>
      <c r="B727" s="155"/>
      <c r="C727" s="920"/>
      <c r="D727" s="920"/>
      <c r="E727" s="155"/>
      <c r="F727" s="155"/>
      <c r="G727" s="155"/>
      <c r="H727" s="155"/>
      <c r="I727" s="155"/>
      <c r="J727" s="169"/>
      <c r="K727" s="228"/>
      <c r="L727" s="171"/>
      <c r="M727" s="171"/>
      <c r="N727" s="171"/>
      <c r="O727" s="115"/>
      <c r="P727" s="115"/>
      <c r="Q727" s="116"/>
      <c r="R727" s="116"/>
      <c r="S727" s="117"/>
    </row>
    <row r="728" spans="1:19" s="146" customFormat="1" ht="18" customHeight="1">
      <c r="A728" s="155"/>
      <c r="B728" s="155"/>
      <c r="C728" s="920"/>
      <c r="D728" s="920"/>
      <c r="E728" s="155"/>
      <c r="F728" s="155"/>
      <c r="G728" s="155"/>
      <c r="H728" s="155"/>
      <c r="I728" s="155"/>
      <c r="J728" s="155"/>
      <c r="K728" s="172"/>
      <c r="L728" s="170"/>
      <c r="M728" s="170"/>
      <c r="N728" s="170"/>
      <c r="O728" s="115"/>
      <c r="P728" s="115"/>
      <c r="Q728" s="116"/>
      <c r="R728" s="116"/>
      <c r="S728" s="117"/>
    </row>
    <row r="729" spans="1:19" s="146" customFormat="1" ht="18" customHeight="1">
      <c r="A729" s="173" t="s">
        <v>614</v>
      </c>
      <c r="B729" s="173"/>
      <c r="C729" s="912"/>
      <c r="D729" s="912"/>
      <c r="E729" s="174"/>
      <c r="F729" s="174"/>
      <c r="G729" s="174"/>
      <c r="H729" s="173" t="s">
        <v>615</v>
      </c>
      <c r="I729" s="174"/>
      <c r="K729" s="173" t="s">
        <v>253</v>
      </c>
      <c r="L729" s="175"/>
      <c r="M729" s="175"/>
      <c r="N729" s="175"/>
      <c r="O729" s="115"/>
      <c r="P729" s="115"/>
      <c r="Q729" s="116"/>
      <c r="R729" s="116"/>
      <c r="S729" s="117"/>
    </row>
    <row r="730" spans="1:19" s="146" customFormat="1" ht="18" customHeight="1">
      <c r="A730" s="174"/>
      <c r="B730" s="174"/>
      <c r="C730" s="913"/>
      <c r="D730" s="913"/>
      <c r="E730" s="174"/>
      <c r="F730" s="174"/>
      <c r="G730" s="174"/>
      <c r="H730" s="174"/>
      <c r="I730" s="174"/>
      <c r="J730" s="174"/>
      <c r="K730" s="176"/>
      <c r="L730" s="175"/>
      <c r="M730" s="175"/>
      <c r="N730" s="175"/>
      <c r="O730" s="115"/>
      <c r="P730" s="115"/>
      <c r="Q730" s="116"/>
      <c r="R730" s="116"/>
      <c r="S730" s="117"/>
    </row>
    <row r="731" spans="1:19" s="146" customFormat="1" ht="18" customHeight="1">
      <c r="A731" s="1531" t="s">
        <v>242</v>
      </c>
      <c r="B731" s="1531"/>
      <c r="C731" s="1531"/>
      <c r="D731" s="1531"/>
      <c r="E731" s="1531"/>
      <c r="F731" s="1531"/>
      <c r="G731" s="174"/>
      <c r="H731" s="1531" t="s">
        <v>17</v>
      </c>
      <c r="I731" s="1531"/>
      <c r="J731" s="174"/>
      <c r="K731" s="1531" t="s">
        <v>1436</v>
      </c>
      <c r="L731" s="1531"/>
      <c r="M731" s="1531"/>
      <c r="N731" s="912"/>
      <c r="O731" s="115"/>
      <c r="P731" s="115"/>
      <c r="Q731" s="116"/>
      <c r="R731" s="116"/>
      <c r="S731" s="117"/>
    </row>
    <row r="732" spans="1:19" s="146" customFormat="1" ht="18" customHeight="1">
      <c r="A732" s="1520" t="s">
        <v>422</v>
      </c>
      <c r="B732" s="1520"/>
      <c r="C732" s="1520"/>
      <c r="D732" s="1520"/>
      <c r="E732" s="1520"/>
      <c r="F732" s="1520"/>
      <c r="G732" s="177"/>
      <c r="H732" s="1520" t="s">
        <v>18</v>
      </c>
      <c r="I732" s="1520"/>
      <c r="J732" s="912"/>
      <c r="K732" s="1520" t="s">
        <v>14</v>
      </c>
      <c r="L732" s="1520"/>
      <c r="M732" s="1520"/>
      <c r="N732" s="913"/>
      <c r="O732" s="115"/>
      <c r="P732" s="115"/>
      <c r="Q732" s="116"/>
      <c r="R732" s="116"/>
      <c r="S732" s="117"/>
    </row>
    <row r="733" spans="1:19" ht="18" customHeight="1">
      <c r="A733" s="111"/>
      <c r="B733" s="111"/>
      <c r="C733" s="910"/>
      <c r="D733" s="910"/>
      <c r="E733" s="1540"/>
      <c r="F733" s="1540"/>
      <c r="G733" s="1540"/>
      <c r="H733" s="910"/>
      <c r="I733" s="910"/>
      <c r="J733" s="910"/>
      <c r="K733" s="1540"/>
      <c r="L733" s="1540"/>
      <c r="M733" s="1540"/>
      <c r="N733" s="910"/>
    </row>
    <row r="734" spans="1:19" ht="18" customHeight="1">
      <c r="A734" s="111"/>
      <c r="B734" s="111"/>
      <c r="C734" s="910"/>
      <c r="D734" s="910"/>
      <c r="E734" s="910"/>
      <c r="F734" s="910"/>
      <c r="G734" s="910"/>
      <c r="H734" s="910"/>
      <c r="I734" s="910"/>
      <c r="J734" s="910"/>
      <c r="K734" s="910"/>
      <c r="L734" s="910"/>
      <c r="M734" s="910"/>
      <c r="N734" s="910"/>
    </row>
    <row r="735" spans="1:19" ht="18" customHeight="1">
      <c r="A735" s="111"/>
      <c r="B735" s="111"/>
      <c r="C735" s="910"/>
      <c r="D735" s="910"/>
      <c r="E735" s="910"/>
      <c r="F735" s="910"/>
      <c r="G735" s="910"/>
      <c r="H735" s="910"/>
      <c r="I735" s="910"/>
      <c r="J735" s="910"/>
      <c r="K735" s="910"/>
      <c r="L735" s="910"/>
      <c r="M735" s="910"/>
      <c r="N735" s="910"/>
    </row>
    <row r="736" spans="1:19" ht="18" customHeight="1">
      <c r="A736" s="111"/>
      <c r="B736" s="111"/>
      <c r="C736" s="910"/>
      <c r="D736" s="910"/>
      <c r="E736" s="910"/>
      <c r="F736" s="910"/>
      <c r="G736" s="910"/>
      <c r="H736" s="910"/>
      <c r="I736" s="910"/>
      <c r="J736" s="910"/>
      <c r="K736" s="910"/>
      <c r="L736" s="910"/>
      <c r="M736" s="910"/>
      <c r="N736" s="910"/>
    </row>
    <row r="737" spans="1:15" ht="18" customHeight="1">
      <c r="A737" s="111"/>
      <c r="B737" s="111"/>
      <c r="C737" s="910"/>
      <c r="D737" s="910"/>
      <c r="E737" s="910"/>
      <c r="F737" s="910"/>
      <c r="G737" s="910"/>
      <c r="H737" s="910"/>
      <c r="I737" s="910"/>
      <c r="J737" s="910"/>
      <c r="K737" s="910"/>
      <c r="L737" s="910"/>
      <c r="M737" s="910"/>
      <c r="N737" s="910"/>
    </row>
    <row r="738" spans="1:15" ht="18" customHeight="1">
      <c r="A738" s="111"/>
      <c r="B738" s="111"/>
      <c r="C738" s="910"/>
      <c r="D738" s="910"/>
      <c r="E738" s="910"/>
      <c r="F738" s="910"/>
      <c r="G738" s="910"/>
      <c r="H738" s="910"/>
      <c r="I738" s="910"/>
      <c r="J738" s="910"/>
      <c r="K738" s="910"/>
      <c r="L738" s="910"/>
      <c r="M738" s="910"/>
      <c r="N738" s="910"/>
    </row>
    <row r="739" spans="1:15" ht="18" customHeight="1">
      <c r="A739" s="111"/>
      <c r="B739" s="111"/>
      <c r="C739" s="910"/>
      <c r="D739" s="910"/>
      <c r="E739" s="910"/>
      <c r="F739" s="910"/>
      <c r="G739" s="910"/>
      <c r="H739" s="910"/>
      <c r="I739" s="910"/>
      <c r="J739" s="910"/>
      <c r="K739" s="910"/>
      <c r="L739" s="910"/>
      <c r="M739" s="910"/>
      <c r="N739" s="910"/>
    </row>
    <row r="740" spans="1:15" ht="18" customHeight="1">
      <c r="A740" s="111"/>
      <c r="B740" s="111"/>
      <c r="C740" s="910"/>
      <c r="D740" s="910"/>
      <c r="E740" s="910"/>
      <c r="F740" s="910"/>
      <c r="G740" s="910"/>
      <c r="H740" s="910"/>
      <c r="I740" s="910"/>
      <c r="J740" s="910"/>
      <c r="K740" s="910"/>
      <c r="L740" s="910"/>
      <c r="M740" s="910"/>
      <c r="N740" s="910"/>
    </row>
    <row r="741" spans="1:15" ht="18" customHeight="1">
      <c r="A741" s="111"/>
      <c r="B741" s="111"/>
      <c r="C741" s="910"/>
      <c r="D741" s="910"/>
      <c r="E741" s="910"/>
      <c r="F741" s="910"/>
      <c r="G741" s="910"/>
      <c r="H741" s="910"/>
      <c r="I741" s="910"/>
      <c r="J741" s="910"/>
      <c r="K741" s="910"/>
      <c r="L741" s="910"/>
      <c r="M741" s="910"/>
      <c r="N741" s="910"/>
    </row>
    <row r="742" spans="1:15" ht="18" customHeight="1"/>
    <row r="743" spans="1:15" ht="20.100000000000001" customHeight="1">
      <c r="A743" s="1448" t="s">
        <v>959</v>
      </c>
      <c r="B743" s="1448"/>
      <c r="C743" s="1448"/>
      <c r="D743" s="1448"/>
      <c r="E743" s="1448"/>
      <c r="F743" s="1448"/>
      <c r="G743" s="1448"/>
      <c r="H743" s="1448"/>
      <c r="I743" s="1448"/>
      <c r="J743" s="1448"/>
      <c r="K743" s="1448"/>
      <c r="L743" s="1448"/>
      <c r="M743" s="1448"/>
      <c r="N743" s="918"/>
    </row>
    <row r="744" spans="1:15" ht="18" customHeight="1">
      <c r="A744" s="110"/>
      <c r="B744" s="110"/>
      <c r="C744" s="917"/>
      <c r="D744" s="917"/>
      <c r="E744" s="111"/>
      <c r="F744" s="111"/>
      <c r="G744" s="111"/>
      <c r="H744" s="111"/>
      <c r="I744" s="111"/>
      <c r="J744" s="111"/>
      <c r="K744" s="112"/>
      <c r="M744" s="114"/>
      <c r="N744" s="114"/>
    </row>
    <row r="745" spans="1:15" ht="18" customHeight="1">
      <c r="A745" s="1538" t="s">
        <v>1663</v>
      </c>
      <c r="B745" s="1538"/>
      <c r="C745" s="1538"/>
      <c r="D745" s="1538"/>
      <c r="E745" s="1538"/>
      <c r="F745" s="1538"/>
      <c r="G745" s="1538"/>
      <c r="H745" s="1538"/>
      <c r="I745" s="1538"/>
      <c r="J745" s="1538"/>
      <c r="K745" s="1538"/>
      <c r="L745" s="1538"/>
      <c r="M745" s="1538"/>
      <c r="N745" s="908"/>
    </row>
    <row r="746" spans="1:15" ht="18" customHeight="1">
      <c r="A746" s="1539" t="s">
        <v>351</v>
      </c>
      <c r="B746" s="1539"/>
      <c r="C746" s="1539"/>
      <c r="D746" s="1539"/>
      <c r="E746" s="1539"/>
      <c r="F746" s="1539"/>
      <c r="G746" s="1539"/>
      <c r="H746" s="1539"/>
      <c r="I746" s="1539"/>
      <c r="J746" s="1539"/>
      <c r="K746" s="1539"/>
      <c r="L746" s="1539"/>
      <c r="M746" s="1539"/>
      <c r="N746" s="909"/>
    </row>
    <row r="747" spans="1:15" ht="18" customHeight="1">
      <c r="A747" s="1540"/>
      <c r="B747" s="1540"/>
      <c r="C747" s="1540"/>
      <c r="D747" s="1540"/>
      <c r="E747" s="1540"/>
      <c r="F747" s="1540"/>
      <c r="G747" s="1540"/>
      <c r="H747" s="1540"/>
      <c r="I747" s="1540"/>
      <c r="J747" s="1540"/>
      <c r="K747" s="1540"/>
      <c r="L747" s="1540"/>
      <c r="M747" s="1540"/>
      <c r="N747" s="910"/>
    </row>
    <row r="748" spans="1:15" ht="18" customHeight="1">
      <c r="A748" s="910"/>
      <c r="B748" s="910"/>
      <c r="C748" s="910"/>
      <c r="D748" s="910"/>
      <c r="E748" s="910"/>
      <c r="F748" s="910"/>
      <c r="G748" s="910"/>
      <c r="H748" s="910"/>
      <c r="I748" s="910"/>
      <c r="J748" s="910"/>
      <c r="K748" s="910"/>
      <c r="L748" s="910"/>
      <c r="M748" s="910"/>
      <c r="N748" s="910"/>
    </row>
    <row r="749" spans="1:15" ht="18" customHeight="1">
      <c r="A749" s="111" t="s">
        <v>441</v>
      </c>
      <c r="B749" s="111"/>
      <c r="C749" s="231" t="s">
        <v>439</v>
      </c>
      <c r="D749" s="111" t="s">
        <v>310</v>
      </c>
      <c r="E749" s="111"/>
      <c r="F749" s="111"/>
      <c r="G749" s="111"/>
      <c r="H749" s="111"/>
      <c r="I749" s="112"/>
      <c r="J749" s="113"/>
      <c r="K749" s="910"/>
      <c r="L749" s="910"/>
      <c r="M749" s="910"/>
      <c r="N749" s="910"/>
    </row>
    <row r="750" spans="1:15" ht="18" customHeight="1">
      <c r="A750" s="111" t="s">
        <v>449</v>
      </c>
      <c r="B750" s="111"/>
      <c r="C750" s="231" t="s">
        <v>439</v>
      </c>
      <c r="D750" s="111" t="s">
        <v>461</v>
      </c>
      <c r="E750" s="111"/>
      <c r="F750" s="111"/>
      <c r="G750" s="111"/>
      <c r="H750" s="111"/>
      <c r="I750" s="112"/>
      <c r="J750" s="113"/>
      <c r="K750" s="910"/>
      <c r="L750" s="910"/>
      <c r="M750" s="910"/>
      <c r="N750" s="910"/>
      <c r="O750" s="180"/>
    </row>
    <row r="751" spans="1:15" ht="18" customHeight="1" thickBot="1">
      <c r="A751" s="111" t="s">
        <v>456</v>
      </c>
      <c r="B751" s="111"/>
      <c r="C751" s="232" t="s">
        <v>439</v>
      </c>
      <c r="D751" s="111" t="s">
        <v>663</v>
      </c>
      <c r="E751" s="111"/>
      <c r="F751" s="111"/>
      <c r="G751" s="111"/>
      <c r="H751" s="111"/>
      <c r="I751" s="112"/>
      <c r="J751" s="113"/>
      <c r="K751" s="910"/>
      <c r="L751" s="910"/>
      <c r="M751" s="910"/>
      <c r="N751" s="910"/>
      <c r="O751" s="180"/>
    </row>
    <row r="752" spans="1:15" ht="18" customHeight="1">
      <c r="A752" s="1532" t="s">
        <v>619</v>
      </c>
      <c r="B752" s="1533"/>
      <c r="C752" s="1533"/>
      <c r="D752" s="1533"/>
      <c r="E752" s="1534"/>
      <c r="F752" s="1533"/>
      <c r="G752" s="1535"/>
      <c r="H752" s="121"/>
      <c r="I752" s="1536" t="s">
        <v>623</v>
      </c>
      <c r="J752" s="1537"/>
      <c r="K752" s="1536" t="s">
        <v>623</v>
      </c>
      <c r="L752" s="1537"/>
      <c r="M752" s="122"/>
      <c r="N752" s="876"/>
      <c r="O752" s="180"/>
    </row>
    <row r="753" spans="1:19" ht="18" customHeight="1">
      <c r="A753" s="123" t="s">
        <v>620</v>
      </c>
      <c r="B753" s="1544" t="s">
        <v>621</v>
      </c>
      <c r="C753" s="1545"/>
      <c r="D753" s="1546"/>
      <c r="E753" s="1547" t="s">
        <v>43</v>
      </c>
      <c r="F753" s="1548"/>
      <c r="G753" s="1549"/>
      <c r="H753" s="914" t="s">
        <v>44</v>
      </c>
      <c r="I753" s="1547" t="s">
        <v>1613</v>
      </c>
      <c r="J753" s="1549"/>
      <c r="K753" s="1548" t="s">
        <v>1660</v>
      </c>
      <c r="L753" s="1549"/>
      <c r="M753" s="124" t="s">
        <v>45</v>
      </c>
      <c r="N753" s="877"/>
    </row>
    <row r="754" spans="1:19" ht="18" customHeight="1">
      <c r="A754" s="125"/>
      <c r="B754" s="914"/>
      <c r="C754" s="915"/>
      <c r="D754" s="915"/>
      <c r="E754" s="914"/>
      <c r="F754" s="915"/>
      <c r="G754" s="916"/>
      <c r="H754" s="914" t="s">
        <v>46</v>
      </c>
      <c r="I754" s="1550"/>
      <c r="J754" s="1551"/>
      <c r="K754" s="1550"/>
      <c r="L754" s="1551"/>
      <c r="M754" s="124" t="s">
        <v>47</v>
      </c>
      <c r="N754" s="877"/>
    </row>
    <row r="755" spans="1:19" ht="18" customHeight="1">
      <c r="A755" s="125"/>
      <c r="B755" s="914"/>
      <c r="C755" s="915"/>
      <c r="D755" s="915"/>
      <c r="E755" s="914"/>
      <c r="F755" s="915"/>
      <c r="G755" s="126"/>
      <c r="H755" s="127"/>
      <c r="I755" s="128" t="s">
        <v>622</v>
      </c>
      <c r="J755" s="129" t="s">
        <v>48</v>
      </c>
      <c r="K755" s="128" t="s">
        <v>622</v>
      </c>
      <c r="L755" s="129" t="s">
        <v>48</v>
      </c>
      <c r="M755" s="124"/>
      <c r="N755" s="120"/>
    </row>
    <row r="756" spans="1:19" ht="18" customHeight="1" thickBot="1">
      <c r="A756" s="130"/>
      <c r="B756" s="1541"/>
      <c r="C756" s="1542"/>
      <c r="D756" s="1543"/>
      <c r="E756" s="1541"/>
      <c r="F756" s="1542"/>
      <c r="G756" s="1543"/>
      <c r="H756" s="131"/>
      <c r="I756" s="131"/>
      <c r="J756" s="131"/>
      <c r="K756" s="131"/>
      <c r="L756" s="131"/>
      <c r="M756" s="132"/>
      <c r="N756" s="883"/>
    </row>
    <row r="757" spans="1:19" ht="18" customHeight="1">
      <c r="A757" s="181"/>
      <c r="B757" s="119"/>
      <c r="C757" s="119"/>
      <c r="D757" s="119"/>
      <c r="E757" s="133"/>
      <c r="F757" s="119"/>
      <c r="G757" s="134"/>
      <c r="H757" s="135"/>
      <c r="I757" s="182"/>
      <c r="J757" s="137"/>
      <c r="K757" s="182"/>
      <c r="L757" s="137"/>
      <c r="M757" s="137"/>
      <c r="N757" s="880"/>
    </row>
    <row r="758" spans="1:19" s="146" customFormat="1" ht="18" customHeight="1">
      <c r="A758" s="183">
        <v>1</v>
      </c>
      <c r="B758" s="920"/>
      <c r="C758" s="920"/>
      <c r="D758" s="920"/>
      <c r="E758" s="154" t="s">
        <v>76</v>
      </c>
      <c r="F758" s="920"/>
      <c r="G758" s="140"/>
      <c r="H758" s="141" t="s">
        <v>82</v>
      </c>
      <c r="I758" s="184" t="s">
        <v>216</v>
      </c>
      <c r="J758" s="143">
        <v>916500</v>
      </c>
      <c r="K758" s="184" t="s">
        <v>216</v>
      </c>
      <c r="L758" s="143">
        <v>933792</v>
      </c>
      <c r="M758" s="144">
        <f>L758-J758</f>
        <v>17292</v>
      </c>
      <c r="N758" s="879"/>
      <c r="O758" s="115">
        <f>M758+L758</f>
        <v>951084</v>
      </c>
      <c r="P758" s="115"/>
      <c r="Q758" s="116"/>
      <c r="R758" s="116"/>
      <c r="S758" s="145"/>
    </row>
    <row r="759" spans="1:19" s="146" customFormat="1" ht="18" customHeight="1">
      <c r="A759" s="183"/>
      <c r="B759" s="920"/>
      <c r="C759" s="920"/>
      <c r="D759" s="920"/>
      <c r="E759" s="154" t="s">
        <v>883</v>
      </c>
      <c r="F759" s="920"/>
      <c r="G759" s="140"/>
      <c r="H759" s="141"/>
      <c r="I759" s="184"/>
      <c r="J759" s="143"/>
      <c r="K759" s="184"/>
      <c r="L759" s="143"/>
      <c r="M759" s="143"/>
      <c r="N759" s="879"/>
      <c r="O759" s="115"/>
      <c r="P759" s="115"/>
      <c r="Q759" s="116"/>
      <c r="R759" s="116"/>
      <c r="S759" s="117"/>
    </row>
    <row r="760" spans="1:19" s="146" customFormat="1" ht="18" customHeight="1">
      <c r="A760" s="183"/>
      <c r="B760" s="920"/>
      <c r="C760" s="920"/>
      <c r="D760" s="920"/>
      <c r="E760" s="154"/>
      <c r="F760" s="920"/>
      <c r="G760" s="140"/>
      <c r="H760" s="141"/>
      <c r="I760" s="184"/>
      <c r="J760" s="143"/>
      <c r="K760" s="184"/>
      <c r="L760" s="149"/>
      <c r="M760" s="143"/>
      <c r="N760" s="170"/>
      <c r="O760" s="115"/>
      <c r="P760" s="115"/>
      <c r="Q760" s="116"/>
      <c r="R760" s="116"/>
      <c r="S760" s="117"/>
    </row>
    <row r="761" spans="1:19" s="146" customFormat="1" ht="18" customHeight="1">
      <c r="A761" s="183"/>
      <c r="B761" s="957"/>
      <c r="C761" s="957"/>
      <c r="D761" s="957"/>
      <c r="E761" s="154"/>
      <c r="F761" s="957"/>
      <c r="G761" s="140"/>
      <c r="H761" s="141"/>
      <c r="I761" s="184"/>
      <c r="J761" s="143"/>
      <c r="K761" s="184"/>
      <c r="L761" s="149"/>
      <c r="M761" s="143"/>
      <c r="N761" s="170"/>
      <c r="O761" s="115"/>
      <c r="P761" s="115"/>
      <c r="Q761" s="116"/>
      <c r="R761" s="116"/>
      <c r="S761" s="117"/>
    </row>
    <row r="762" spans="1:19" s="146" customFormat="1" ht="18" customHeight="1">
      <c r="A762" s="183"/>
      <c r="B762" s="920"/>
      <c r="C762" s="920"/>
      <c r="D762" s="920"/>
      <c r="E762" s="154"/>
      <c r="F762" s="920"/>
      <c r="G762" s="140"/>
      <c r="H762" s="141"/>
      <c r="I762" s="142"/>
      <c r="J762" s="233"/>
      <c r="K762" s="142"/>
      <c r="L762" s="233"/>
      <c r="M762" s="143"/>
      <c r="N762" s="170"/>
      <c r="O762" s="115"/>
      <c r="P762" s="115"/>
      <c r="Q762" s="116"/>
      <c r="R762" s="116"/>
      <c r="S762" s="117"/>
    </row>
    <row r="763" spans="1:19" s="146" customFormat="1" ht="18" customHeight="1">
      <c r="A763" s="183">
        <v>2</v>
      </c>
      <c r="B763" s="920"/>
      <c r="C763" s="920"/>
      <c r="D763" s="920"/>
      <c r="E763" s="154" t="s">
        <v>251</v>
      </c>
      <c r="F763" s="920"/>
      <c r="G763" s="140"/>
      <c r="H763" s="141" t="s">
        <v>1446</v>
      </c>
      <c r="I763" s="142" t="s">
        <v>1488</v>
      </c>
      <c r="J763" s="143">
        <v>284496</v>
      </c>
      <c r="K763" s="142" t="s">
        <v>1488</v>
      </c>
      <c r="L763" s="143">
        <v>300384</v>
      </c>
      <c r="M763" s="144">
        <f>L763-J763</f>
        <v>15888</v>
      </c>
      <c r="N763" s="879"/>
      <c r="O763" s="115">
        <f>M763+L763</f>
        <v>316272</v>
      </c>
      <c r="P763" s="115"/>
      <c r="Q763" s="116"/>
      <c r="R763" s="116"/>
      <c r="S763" s="145"/>
    </row>
    <row r="764" spans="1:19" s="146" customFormat="1" ht="18" customHeight="1">
      <c r="A764" s="183"/>
      <c r="B764" s="920"/>
      <c r="C764" s="920"/>
      <c r="D764" s="920"/>
      <c r="E764" s="919"/>
      <c r="F764" s="920"/>
      <c r="G764" s="140"/>
      <c r="H764" s="141"/>
      <c r="I764" s="142"/>
      <c r="J764" s="143"/>
      <c r="K764" s="142"/>
      <c r="L764" s="143"/>
      <c r="M764" s="143"/>
      <c r="N764" s="879"/>
      <c r="O764" s="115"/>
      <c r="P764" s="115"/>
      <c r="Q764" s="116"/>
      <c r="R764" s="116"/>
      <c r="S764" s="117"/>
    </row>
    <row r="765" spans="1:19" s="146" customFormat="1" ht="18" customHeight="1">
      <c r="A765" s="183"/>
      <c r="B765" s="920"/>
      <c r="C765" s="920"/>
      <c r="D765" s="920"/>
      <c r="E765" s="919"/>
      <c r="F765" s="920"/>
      <c r="G765" s="140"/>
      <c r="H765" s="141"/>
      <c r="I765" s="142"/>
      <c r="J765" s="153"/>
      <c r="K765" s="142"/>
      <c r="L765" s="153"/>
      <c r="M765" s="143"/>
      <c r="N765" s="170"/>
      <c r="O765" s="115"/>
      <c r="P765" s="115"/>
      <c r="Q765" s="116"/>
      <c r="R765" s="116"/>
      <c r="S765" s="117"/>
    </row>
    <row r="766" spans="1:19" s="146" customFormat="1" ht="18" customHeight="1">
      <c r="A766" s="183"/>
      <c r="B766" s="920"/>
      <c r="C766" s="920"/>
      <c r="D766" s="920"/>
      <c r="E766" s="919"/>
      <c r="F766" s="920"/>
      <c r="G766" s="140"/>
      <c r="H766" s="141"/>
      <c r="I766" s="142"/>
      <c r="J766" s="143"/>
      <c r="K766" s="142"/>
      <c r="L766" s="143"/>
      <c r="M766" s="143"/>
      <c r="N766" s="170"/>
      <c r="O766" s="115"/>
      <c r="P766" s="115"/>
      <c r="Q766" s="116"/>
      <c r="R766" s="116"/>
      <c r="S766" s="117"/>
    </row>
    <row r="767" spans="1:19" s="146" customFormat="1" ht="18" customHeight="1">
      <c r="A767" s="183">
        <v>3</v>
      </c>
      <c r="B767" s="1552"/>
      <c r="C767" s="1553"/>
      <c r="D767" s="1554"/>
      <c r="E767" s="139" t="s">
        <v>251</v>
      </c>
      <c r="F767" s="920"/>
      <c r="G767" s="140"/>
      <c r="H767" s="141" t="s">
        <v>1631</v>
      </c>
      <c r="I767" s="142" t="s">
        <v>252</v>
      </c>
      <c r="J767" s="143">
        <v>281604</v>
      </c>
      <c r="K767" s="142" t="s">
        <v>252</v>
      </c>
      <c r="L767" s="143">
        <v>297480</v>
      </c>
      <c r="M767" s="144">
        <f>L767-J767</f>
        <v>15876</v>
      </c>
      <c r="N767" s="879"/>
      <c r="O767" s="115">
        <f>M767+L767</f>
        <v>313356</v>
      </c>
      <c r="P767" s="115"/>
      <c r="Q767" s="116"/>
      <c r="R767" s="116"/>
      <c r="S767" s="117"/>
    </row>
    <row r="768" spans="1:19" s="146" customFormat="1" ht="18" customHeight="1">
      <c r="A768" s="183"/>
      <c r="B768" s="920"/>
      <c r="C768" s="920"/>
      <c r="D768" s="920"/>
      <c r="E768" s="919"/>
      <c r="F768" s="920"/>
      <c r="G768" s="140"/>
      <c r="H768" s="141"/>
      <c r="I768" s="142"/>
      <c r="J768" s="143"/>
      <c r="K768" s="142"/>
      <c r="L768" s="143"/>
      <c r="M768" s="143"/>
      <c r="N768" s="170"/>
      <c r="O768" s="115"/>
      <c r="P768" s="115"/>
      <c r="Q768" s="116"/>
      <c r="R768" s="116"/>
      <c r="S768" s="117"/>
    </row>
    <row r="769" spans="1:19" s="146" customFormat="1" ht="18" customHeight="1">
      <c r="A769" s="183"/>
      <c r="B769" s="920"/>
      <c r="C769" s="920"/>
      <c r="D769" s="920"/>
      <c r="E769" s="919"/>
      <c r="F769" s="920"/>
      <c r="G769" s="140"/>
      <c r="H769" s="141"/>
      <c r="I769" s="142"/>
      <c r="J769" s="143"/>
      <c r="K769" s="142"/>
      <c r="L769" s="143"/>
      <c r="M769" s="143"/>
      <c r="N769" s="170"/>
      <c r="O769" s="115"/>
      <c r="P769" s="115"/>
      <c r="Q769" s="116"/>
      <c r="R769" s="116"/>
      <c r="S769" s="117"/>
    </row>
    <row r="770" spans="1:19" s="146" customFormat="1" ht="18" customHeight="1">
      <c r="A770" s="183"/>
      <c r="B770" s="920"/>
      <c r="C770" s="920"/>
      <c r="D770" s="920"/>
      <c r="E770" s="919"/>
      <c r="F770" s="920"/>
      <c r="G770" s="140"/>
      <c r="H770" s="141"/>
      <c r="I770" s="142"/>
      <c r="J770" s="143"/>
      <c r="K770" s="142"/>
      <c r="L770" s="143"/>
      <c r="M770" s="143"/>
      <c r="N770" s="170"/>
      <c r="O770" s="115"/>
      <c r="P770" s="115"/>
      <c r="Q770" s="116"/>
      <c r="R770" s="116"/>
      <c r="S770" s="117"/>
    </row>
    <row r="771" spans="1:19" s="146" customFormat="1" ht="18" customHeight="1">
      <c r="A771" s="183"/>
      <c r="B771" s="920"/>
      <c r="C771" s="920"/>
      <c r="D771" s="920"/>
      <c r="E771" s="919"/>
      <c r="F771" s="920"/>
      <c r="G771" s="140"/>
      <c r="H771" s="141"/>
      <c r="I771" s="142"/>
      <c r="J771" s="143"/>
      <c r="K771" s="142"/>
      <c r="L771" s="143"/>
      <c r="M771" s="143"/>
      <c r="N771" s="170"/>
      <c r="O771" s="115"/>
      <c r="P771" s="115"/>
      <c r="Q771" s="116"/>
      <c r="R771" s="116"/>
      <c r="S771" s="117"/>
    </row>
    <row r="772" spans="1:19" s="146" customFormat="1" ht="18" customHeight="1">
      <c r="A772" s="183"/>
      <c r="B772" s="920"/>
      <c r="C772" s="920"/>
      <c r="D772" s="920"/>
      <c r="E772" s="919"/>
      <c r="F772" s="920"/>
      <c r="G772" s="140"/>
      <c r="H772" s="141"/>
      <c r="I772" s="142"/>
      <c r="J772" s="143"/>
      <c r="K772" s="142"/>
      <c r="L772" s="143"/>
      <c r="M772" s="143"/>
      <c r="N772" s="170"/>
      <c r="O772" s="115"/>
      <c r="P772" s="115"/>
      <c r="Q772" s="116"/>
      <c r="R772" s="116"/>
      <c r="S772" s="117"/>
    </row>
    <row r="773" spans="1:19" s="146" customFormat="1" ht="18" customHeight="1">
      <c r="A773" s="183"/>
      <c r="B773" s="920"/>
      <c r="C773" s="920"/>
      <c r="D773" s="920"/>
      <c r="E773" s="919"/>
      <c r="F773" s="920"/>
      <c r="G773" s="140"/>
      <c r="H773" s="141"/>
      <c r="I773" s="142"/>
      <c r="J773" s="143"/>
      <c r="K773" s="142"/>
      <c r="L773" s="143"/>
      <c r="M773" s="143"/>
      <c r="N773" s="170"/>
      <c r="O773" s="115"/>
      <c r="P773" s="115"/>
      <c r="Q773" s="116"/>
      <c r="R773" s="116"/>
      <c r="S773" s="117"/>
    </row>
    <row r="774" spans="1:19" s="146" customFormat="1" ht="18" customHeight="1">
      <c r="A774" s="183"/>
      <c r="B774" s="920"/>
      <c r="C774" s="920"/>
      <c r="D774" s="920"/>
      <c r="E774" s="919"/>
      <c r="F774" s="920"/>
      <c r="G774" s="140"/>
      <c r="H774" s="141"/>
      <c r="I774" s="142"/>
      <c r="J774" s="143"/>
      <c r="K774" s="142"/>
      <c r="L774" s="143"/>
      <c r="M774" s="143"/>
      <c r="N774" s="170"/>
      <c r="O774" s="115"/>
      <c r="P774" s="115"/>
      <c r="Q774" s="116"/>
      <c r="R774" s="116"/>
      <c r="S774" s="117"/>
    </row>
    <row r="775" spans="1:19" s="146" customFormat="1" ht="18" customHeight="1">
      <c r="A775" s="183"/>
      <c r="B775" s="920"/>
      <c r="C775" s="920"/>
      <c r="D775" s="920"/>
      <c r="E775" s="919"/>
      <c r="F775" s="920"/>
      <c r="G775" s="140"/>
      <c r="H775" s="141"/>
      <c r="I775" s="142"/>
      <c r="J775" s="143"/>
      <c r="K775" s="142"/>
      <c r="L775" s="143"/>
      <c r="M775" s="143"/>
      <c r="N775" s="170"/>
      <c r="O775" s="115"/>
      <c r="P775" s="115"/>
      <c r="Q775" s="116"/>
      <c r="R775" s="116"/>
      <c r="S775" s="117"/>
    </row>
    <row r="776" spans="1:19" s="146" customFormat="1" ht="18" customHeight="1">
      <c r="A776" s="183"/>
      <c r="B776" s="920"/>
      <c r="C776" s="920"/>
      <c r="D776" s="920"/>
      <c r="E776" s="919"/>
      <c r="F776" s="920"/>
      <c r="G776" s="140"/>
      <c r="H776" s="141"/>
      <c r="I776" s="142"/>
      <c r="J776" s="143"/>
      <c r="K776" s="142"/>
      <c r="L776" s="143"/>
      <c r="M776" s="143"/>
      <c r="N776" s="170"/>
      <c r="O776" s="115"/>
      <c r="P776" s="115"/>
      <c r="Q776" s="116"/>
      <c r="R776" s="116"/>
      <c r="S776" s="117"/>
    </row>
    <row r="777" spans="1:19" s="146" customFormat="1" ht="18" customHeight="1">
      <c r="A777" s="183"/>
      <c r="B777" s="920"/>
      <c r="C777" s="920"/>
      <c r="D777" s="920"/>
      <c r="E777" s="919"/>
      <c r="F777" s="920"/>
      <c r="G777" s="140"/>
      <c r="H777" s="141"/>
      <c r="I777" s="142"/>
      <c r="J777" s="143"/>
      <c r="K777" s="142"/>
      <c r="L777" s="143"/>
      <c r="M777" s="143"/>
      <c r="N777" s="170"/>
      <c r="O777" s="115"/>
      <c r="P777" s="115"/>
      <c r="Q777" s="116"/>
      <c r="R777" s="116"/>
      <c r="S777" s="117"/>
    </row>
    <row r="778" spans="1:19" s="146" customFormat="1" ht="18" customHeight="1">
      <c r="A778" s="183"/>
      <c r="B778" s="920"/>
      <c r="C778" s="920"/>
      <c r="D778" s="920"/>
      <c r="E778" s="919"/>
      <c r="F778" s="920"/>
      <c r="G778" s="140"/>
      <c r="H778" s="141"/>
      <c r="I778" s="142"/>
      <c r="J778" s="143"/>
      <c r="K778" s="142"/>
      <c r="L778" s="143"/>
      <c r="M778" s="143"/>
      <c r="N778" s="170"/>
      <c r="O778" s="115"/>
      <c r="P778" s="115"/>
      <c r="Q778" s="116"/>
      <c r="R778" s="116"/>
      <c r="S778" s="117"/>
    </row>
    <row r="779" spans="1:19" s="146" customFormat="1" ht="18" customHeight="1">
      <c r="A779" s="141"/>
      <c r="B779" s="155"/>
      <c r="C779" s="920"/>
      <c r="D779" s="920"/>
      <c r="E779" s="154"/>
      <c r="F779" s="155"/>
      <c r="G779" s="140"/>
      <c r="H779" s="141"/>
      <c r="I779" s="142"/>
      <c r="J779" s="143"/>
      <c r="K779" s="142"/>
      <c r="L779" s="143"/>
      <c r="M779" s="143"/>
      <c r="N779" s="170"/>
      <c r="O779" s="115"/>
      <c r="P779" s="115"/>
      <c r="Q779" s="116"/>
      <c r="R779" s="116"/>
      <c r="S779" s="117"/>
    </row>
    <row r="780" spans="1:19" s="146" customFormat="1" ht="18" customHeight="1">
      <c r="A780" s="141"/>
      <c r="B780" s="155"/>
      <c r="C780" s="920"/>
      <c r="D780" s="920"/>
      <c r="E780" s="154"/>
      <c r="F780" s="155"/>
      <c r="G780" s="140"/>
      <c r="H780" s="141"/>
      <c r="I780" s="210"/>
      <c r="J780" s="143"/>
      <c r="K780" s="210"/>
      <c r="L780" s="143"/>
      <c r="M780" s="143"/>
      <c r="N780" s="170"/>
      <c r="O780" s="115"/>
      <c r="P780" s="115"/>
      <c r="Q780" s="116"/>
      <c r="R780" s="116"/>
      <c r="S780" s="117"/>
    </row>
    <row r="781" spans="1:19" s="146" customFormat="1" ht="18" customHeight="1">
      <c r="A781" s="141"/>
      <c r="B781" s="155"/>
      <c r="C781" s="920"/>
      <c r="D781" s="920"/>
      <c r="E781" s="154"/>
      <c r="F781" s="155"/>
      <c r="G781" s="140"/>
      <c r="H781" s="141"/>
      <c r="I781" s="210"/>
      <c r="J781" s="143"/>
      <c r="K781" s="210"/>
      <c r="L781" s="143"/>
      <c r="M781" s="143"/>
      <c r="N781" s="170"/>
      <c r="O781" s="115"/>
      <c r="P781" s="115"/>
      <c r="Q781" s="116"/>
      <c r="R781" s="116"/>
      <c r="S781" s="117"/>
    </row>
    <row r="782" spans="1:19" s="146" customFormat="1" ht="18" customHeight="1">
      <c r="A782" s="141"/>
      <c r="B782" s="155"/>
      <c r="C782" s="920"/>
      <c r="D782" s="920"/>
      <c r="E782" s="154"/>
      <c r="F782" s="155"/>
      <c r="G782" s="140"/>
      <c r="H782" s="141"/>
      <c r="I782" s="210"/>
      <c r="J782" s="143"/>
      <c r="K782" s="210"/>
      <c r="L782" s="143"/>
      <c r="M782" s="143"/>
      <c r="N782" s="170"/>
      <c r="O782" s="115"/>
      <c r="P782" s="115"/>
      <c r="Q782" s="116"/>
      <c r="R782" s="116"/>
      <c r="S782" s="117"/>
    </row>
    <row r="783" spans="1:19" s="146" customFormat="1" ht="18" customHeight="1">
      <c r="A783" s="141"/>
      <c r="B783" s="155"/>
      <c r="C783" s="920"/>
      <c r="D783" s="920"/>
      <c r="E783" s="154"/>
      <c r="F783" s="155"/>
      <c r="G783" s="140"/>
      <c r="H783" s="141"/>
      <c r="I783" s="210"/>
      <c r="J783" s="143"/>
      <c r="K783" s="210"/>
      <c r="L783" s="143"/>
      <c r="M783" s="143"/>
      <c r="N783" s="170"/>
      <c r="O783" s="115"/>
      <c r="P783" s="115"/>
      <c r="Q783" s="116"/>
      <c r="R783" s="116"/>
      <c r="S783" s="117"/>
    </row>
    <row r="784" spans="1:19" s="146" customFormat="1" ht="18" customHeight="1">
      <c r="A784" s="141"/>
      <c r="B784" s="155"/>
      <c r="C784" s="920"/>
      <c r="D784" s="920"/>
      <c r="E784" s="154"/>
      <c r="F784" s="155"/>
      <c r="G784" s="140"/>
      <c r="H784" s="141"/>
      <c r="I784" s="210"/>
      <c r="J784" s="143"/>
      <c r="K784" s="210"/>
      <c r="L784" s="143"/>
      <c r="M784" s="143"/>
      <c r="N784" s="170"/>
      <c r="O784" s="115"/>
      <c r="P784" s="115"/>
      <c r="Q784" s="116"/>
      <c r="R784" s="116"/>
      <c r="S784" s="117"/>
    </row>
    <row r="785" spans="1:19" s="146" customFormat="1" ht="18" customHeight="1">
      <c r="A785" s="141"/>
      <c r="B785" s="155"/>
      <c r="C785" s="920"/>
      <c r="D785" s="920"/>
      <c r="E785" s="154"/>
      <c r="F785" s="155"/>
      <c r="G785" s="140"/>
      <c r="H785" s="141"/>
      <c r="I785" s="210"/>
      <c r="J785" s="143"/>
      <c r="K785" s="210"/>
      <c r="L785" s="143"/>
      <c r="M785" s="143"/>
      <c r="N785" s="170"/>
      <c r="O785" s="115"/>
      <c r="P785" s="115"/>
      <c r="Q785" s="116"/>
      <c r="R785" s="116"/>
      <c r="S785" s="117"/>
    </row>
    <row r="786" spans="1:19" s="146" customFormat="1" ht="18" customHeight="1">
      <c r="A786" s="141"/>
      <c r="B786" s="155"/>
      <c r="C786" s="920"/>
      <c r="D786" s="920"/>
      <c r="E786" s="154"/>
      <c r="F786" s="155"/>
      <c r="G786" s="140"/>
      <c r="H786" s="141"/>
      <c r="I786" s="210"/>
      <c r="J786" s="143"/>
      <c r="K786" s="210"/>
      <c r="L786" s="143"/>
      <c r="M786" s="143"/>
      <c r="N786" s="170"/>
      <c r="O786" s="115"/>
      <c r="P786" s="115"/>
      <c r="Q786" s="116"/>
      <c r="R786" s="116"/>
      <c r="S786" s="117"/>
    </row>
    <row r="787" spans="1:19" s="146" customFormat="1" ht="18" customHeight="1">
      <c r="A787" s="141"/>
      <c r="B787" s="155"/>
      <c r="C787" s="920"/>
      <c r="D787" s="920"/>
      <c r="E787" s="154"/>
      <c r="F787" s="155"/>
      <c r="G787" s="140"/>
      <c r="H787" s="141"/>
      <c r="I787" s="210"/>
      <c r="J787" s="143"/>
      <c r="K787" s="210"/>
      <c r="L787" s="143"/>
      <c r="M787" s="143"/>
      <c r="N787" s="170"/>
      <c r="O787" s="115"/>
      <c r="P787" s="115"/>
      <c r="Q787" s="116"/>
      <c r="R787" s="116"/>
      <c r="S787" s="117"/>
    </row>
    <row r="788" spans="1:19" s="146" customFormat="1" ht="18" customHeight="1">
      <c r="A788" s="141"/>
      <c r="B788" s="155"/>
      <c r="C788" s="920"/>
      <c r="D788" s="920"/>
      <c r="E788" s="154"/>
      <c r="F788" s="155"/>
      <c r="G788" s="140"/>
      <c r="H788" s="141"/>
      <c r="I788" s="210"/>
      <c r="J788" s="143"/>
      <c r="K788" s="210"/>
      <c r="L788" s="143"/>
      <c r="M788" s="143"/>
      <c r="N788" s="170"/>
      <c r="O788" s="115"/>
      <c r="P788" s="115"/>
      <c r="Q788" s="116"/>
      <c r="R788" s="116"/>
      <c r="S788" s="117"/>
    </row>
    <row r="789" spans="1:19" s="146" customFormat="1" ht="18" customHeight="1">
      <c r="A789" s="141"/>
      <c r="B789" s="155"/>
      <c r="C789" s="920"/>
      <c r="D789" s="920"/>
      <c r="E789" s="154"/>
      <c r="F789" s="155"/>
      <c r="G789" s="140"/>
      <c r="H789" s="141"/>
      <c r="I789" s="210"/>
      <c r="J789" s="143"/>
      <c r="K789" s="210"/>
      <c r="L789" s="143"/>
      <c r="M789" s="143"/>
      <c r="N789" s="170"/>
      <c r="O789" s="115"/>
      <c r="P789" s="115"/>
      <c r="Q789" s="116"/>
      <c r="R789" s="116"/>
      <c r="S789" s="117"/>
    </row>
    <row r="790" spans="1:19" s="146" customFormat="1" ht="18" customHeight="1">
      <c r="A790" s="141"/>
      <c r="B790" s="155"/>
      <c r="C790" s="920"/>
      <c r="D790" s="920"/>
      <c r="E790" s="154"/>
      <c r="F790" s="155"/>
      <c r="G790" s="140"/>
      <c r="H790" s="141"/>
      <c r="I790" s="210"/>
      <c r="J790" s="143"/>
      <c r="K790" s="210"/>
      <c r="L790" s="143"/>
      <c r="M790" s="143"/>
      <c r="N790" s="170"/>
      <c r="O790" s="115"/>
      <c r="P790" s="115"/>
      <c r="Q790" s="116"/>
      <c r="R790" s="116"/>
      <c r="S790" s="117"/>
    </row>
    <row r="791" spans="1:19" s="146" customFormat="1" ht="18" customHeight="1">
      <c r="A791" s="141"/>
      <c r="B791" s="155"/>
      <c r="C791" s="920"/>
      <c r="D791" s="920"/>
      <c r="E791" s="154"/>
      <c r="F791" s="155"/>
      <c r="G791" s="140"/>
      <c r="H791" s="141"/>
      <c r="I791" s="210"/>
      <c r="J791" s="143"/>
      <c r="K791" s="210"/>
      <c r="L791" s="143"/>
      <c r="M791" s="143"/>
      <c r="N791" s="170"/>
      <c r="O791" s="115"/>
      <c r="P791" s="115"/>
      <c r="Q791" s="116"/>
      <c r="R791" s="116"/>
      <c r="S791" s="117"/>
    </row>
    <row r="792" spans="1:19" s="146" customFormat="1" ht="18" customHeight="1">
      <c r="A792" s="141"/>
      <c r="B792" s="155"/>
      <c r="C792" s="920"/>
      <c r="D792" s="920"/>
      <c r="E792" s="154"/>
      <c r="F792" s="155"/>
      <c r="G792" s="140"/>
      <c r="H792" s="141"/>
      <c r="I792" s="210"/>
      <c r="J792" s="143"/>
      <c r="K792" s="210"/>
      <c r="L792" s="143"/>
      <c r="M792" s="143"/>
      <c r="N792" s="170"/>
      <c r="O792" s="115"/>
      <c r="P792" s="115"/>
      <c r="Q792" s="116"/>
      <c r="R792" s="116"/>
      <c r="S792" s="117"/>
    </row>
    <row r="793" spans="1:19" s="146" customFormat="1" ht="18" customHeight="1">
      <c r="A793" s="141"/>
      <c r="B793" s="155"/>
      <c r="C793" s="920"/>
      <c r="D793" s="920"/>
      <c r="E793" s="154"/>
      <c r="F793" s="155"/>
      <c r="G793" s="140"/>
      <c r="H793" s="141"/>
      <c r="I793" s="210"/>
      <c r="J793" s="143"/>
      <c r="K793" s="210"/>
      <c r="L793" s="143"/>
      <c r="M793" s="143"/>
      <c r="N793" s="170"/>
      <c r="O793" s="115"/>
      <c r="P793" s="115"/>
      <c r="Q793" s="116"/>
      <c r="R793" s="116"/>
      <c r="S793" s="117"/>
    </row>
    <row r="794" spans="1:19" s="146" customFormat="1" ht="18" customHeight="1">
      <c r="A794" s="141"/>
      <c r="B794" s="155"/>
      <c r="C794" s="920"/>
      <c r="D794" s="920"/>
      <c r="E794" s="154"/>
      <c r="F794" s="155"/>
      <c r="G794" s="140"/>
      <c r="H794" s="141"/>
      <c r="I794" s="210"/>
      <c r="J794" s="143"/>
      <c r="K794" s="210"/>
      <c r="L794" s="143"/>
      <c r="M794" s="143"/>
      <c r="N794" s="170"/>
      <c r="O794" s="115"/>
      <c r="P794" s="115"/>
      <c r="Q794" s="116"/>
      <c r="R794" s="116"/>
      <c r="S794" s="117"/>
    </row>
    <row r="795" spans="1:19" s="146" customFormat="1" ht="18" customHeight="1">
      <c r="A795" s="141"/>
      <c r="B795" s="155"/>
      <c r="C795" s="920"/>
      <c r="D795" s="920"/>
      <c r="E795" s="154"/>
      <c r="F795" s="155"/>
      <c r="G795" s="140"/>
      <c r="H795" s="141"/>
      <c r="I795" s="210"/>
      <c r="J795" s="143"/>
      <c r="K795" s="210"/>
      <c r="L795" s="143"/>
      <c r="M795" s="143"/>
      <c r="N795" s="170"/>
      <c r="O795" s="115"/>
      <c r="P795" s="115"/>
      <c r="Q795" s="116"/>
      <c r="R795" s="116"/>
      <c r="S795" s="117"/>
    </row>
    <row r="796" spans="1:19" s="146" customFormat="1" ht="18" customHeight="1">
      <c r="A796" s="141"/>
      <c r="B796" s="155"/>
      <c r="C796" s="920"/>
      <c r="D796" s="920"/>
      <c r="E796" s="154"/>
      <c r="F796" s="155"/>
      <c r="G796" s="140"/>
      <c r="H796" s="141"/>
      <c r="I796" s="210"/>
      <c r="J796" s="143"/>
      <c r="K796" s="210"/>
      <c r="L796" s="143"/>
      <c r="M796" s="143"/>
      <c r="N796" s="170"/>
      <c r="O796" s="115"/>
      <c r="P796" s="115"/>
      <c r="Q796" s="116"/>
      <c r="R796" s="116"/>
      <c r="S796" s="117"/>
    </row>
    <row r="797" spans="1:19" s="168" customFormat="1" ht="18" customHeight="1" thickBot="1">
      <c r="A797" s="162"/>
      <c r="B797" s="159"/>
      <c r="C797" s="158"/>
      <c r="D797" s="158"/>
      <c r="E797" s="157"/>
      <c r="F797" s="159"/>
      <c r="G797" s="160"/>
      <c r="H797" s="161" t="s">
        <v>15</v>
      </c>
      <c r="I797" s="163"/>
      <c r="J797" s="163">
        <f>SUM(J758:J796)</f>
        <v>1482600</v>
      </c>
      <c r="K797" s="163"/>
      <c r="L797" s="163">
        <f>SUM(L758:L796)</f>
        <v>1531656</v>
      </c>
      <c r="M797" s="163">
        <f>SUM(M758:M796)</f>
        <v>49056</v>
      </c>
      <c r="N797" s="169"/>
      <c r="O797" s="165">
        <f>SUM(O758:O771)</f>
        <v>1580712</v>
      </c>
      <c r="P797" s="165"/>
      <c r="Q797" s="166"/>
      <c r="R797" s="166"/>
      <c r="S797" s="167"/>
    </row>
    <row r="798" spans="1:19" s="146" customFormat="1" ht="18" customHeight="1" thickTop="1">
      <c r="A798" s="155"/>
      <c r="B798" s="155"/>
      <c r="C798" s="920"/>
      <c r="D798" s="920"/>
      <c r="E798" s="155"/>
      <c r="F798" s="155"/>
      <c r="G798" s="155"/>
      <c r="H798" s="920"/>
      <c r="I798" s="155"/>
      <c r="J798" s="169"/>
      <c r="K798" s="172"/>
      <c r="L798" s="171"/>
      <c r="M798" s="171"/>
      <c r="N798" s="171"/>
      <c r="O798" s="115"/>
      <c r="P798" s="115"/>
      <c r="Q798" s="116"/>
      <c r="R798" s="116"/>
      <c r="S798" s="117"/>
    </row>
    <row r="799" spans="1:19" s="146" customFormat="1" ht="18" customHeight="1">
      <c r="A799" s="155"/>
      <c r="B799" s="155"/>
      <c r="C799" s="920"/>
      <c r="D799" s="920"/>
      <c r="E799" s="155"/>
      <c r="F799" s="155"/>
      <c r="G799" s="155"/>
      <c r="H799" s="155"/>
      <c r="I799" s="155"/>
      <c r="J799" s="155"/>
      <c r="K799" s="172"/>
      <c r="L799" s="170"/>
      <c r="M799" s="170"/>
      <c r="N799" s="170"/>
      <c r="O799" s="115"/>
      <c r="P799" s="115"/>
      <c r="Q799" s="116"/>
      <c r="R799" s="116"/>
      <c r="S799" s="117"/>
    </row>
    <row r="800" spans="1:19" s="146" customFormat="1" ht="18" customHeight="1">
      <c r="A800" s="155"/>
      <c r="B800" s="155"/>
      <c r="C800" s="920"/>
      <c r="D800" s="920"/>
      <c r="E800" s="155"/>
      <c r="F800" s="155"/>
      <c r="G800" s="155"/>
      <c r="H800" s="155"/>
      <c r="I800" s="155"/>
      <c r="J800" s="155"/>
      <c r="K800" s="172"/>
      <c r="L800" s="170"/>
      <c r="M800" s="170"/>
      <c r="N800" s="170"/>
      <c r="O800" s="115"/>
      <c r="P800" s="115"/>
      <c r="Q800" s="116"/>
      <c r="R800" s="116"/>
      <c r="S800" s="117"/>
    </row>
    <row r="801" spans="1:19" s="146" customFormat="1" ht="18" customHeight="1">
      <c r="A801" s="173" t="s">
        <v>614</v>
      </c>
      <c r="B801" s="173"/>
      <c r="C801" s="912"/>
      <c r="D801" s="912"/>
      <c r="E801" s="174"/>
      <c r="F801" s="174"/>
      <c r="G801" s="174"/>
      <c r="H801" s="173" t="s">
        <v>615</v>
      </c>
      <c r="I801" s="174"/>
      <c r="K801" s="173" t="s">
        <v>253</v>
      </c>
      <c r="L801" s="175"/>
      <c r="M801" s="175"/>
      <c r="N801" s="175"/>
      <c r="O801" s="115"/>
      <c r="P801" s="115"/>
      <c r="Q801" s="116"/>
      <c r="R801" s="116"/>
      <c r="S801" s="117"/>
    </row>
    <row r="802" spans="1:19" s="146" customFormat="1" ht="18" customHeight="1">
      <c r="A802" s="174"/>
      <c r="B802" s="174"/>
      <c r="C802" s="913"/>
      <c r="D802" s="913"/>
      <c r="E802" s="174"/>
      <c r="F802" s="174"/>
      <c r="G802" s="174"/>
      <c r="H802" s="174"/>
      <c r="I802" s="174"/>
      <c r="J802" s="174"/>
      <c r="K802" s="176"/>
      <c r="L802" s="175"/>
      <c r="M802" s="175"/>
      <c r="N802" s="175"/>
      <c r="O802" s="115"/>
      <c r="P802" s="115"/>
      <c r="Q802" s="116"/>
      <c r="R802" s="116"/>
      <c r="S802" s="117"/>
    </row>
    <row r="803" spans="1:19" s="146" customFormat="1" ht="18" customHeight="1">
      <c r="A803" s="1531" t="s">
        <v>242</v>
      </c>
      <c r="B803" s="1531"/>
      <c r="C803" s="1531"/>
      <c r="D803" s="1531"/>
      <c r="E803" s="1531"/>
      <c r="F803" s="1531"/>
      <c r="G803" s="174"/>
      <c r="H803" s="1531" t="s">
        <v>17</v>
      </c>
      <c r="I803" s="1531"/>
      <c r="J803" s="174"/>
      <c r="K803" s="1531" t="s">
        <v>1436</v>
      </c>
      <c r="L803" s="1531"/>
      <c r="M803" s="1531"/>
      <c r="N803" s="912"/>
      <c r="O803" s="115"/>
      <c r="P803" s="115"/>
      <c r="Q803" s="116"/>
      <c r="R803" s="116"/>
      <c r="S803" s="117"/>
    </row>
    <row r="804" spans="1:19" s="146" customFormat="1" ht="18" customHeight="1">
      <c r="A804" s="1520" t="s">
        <v>422</v>
      </c>
      <c r="B804" s="1520"/>
      <c r="C804" s="1520"/>
      <c r="D804" s="1520"/>
      <c r="E804" s="1520"/>
      <c r="F804" s="1520"/>
      <c r="G804" s="177"/>
      <c r="H804" s="1520" t="s">
        <v>18</v>
      </c>
      <c r="I804" s="1520"/>
      <c r="J804" s="912"/>
      <c r="K804" s="1520" t="s">
        <v>14</v>
      </c>
      <c r="L804" s="1520"/>
      <c r="M804" s="1520"/>
      <c r="N804" s="913"/>
      <c r="O804" s="115"/>
      <c r="P804" s="115"/>
      <c r="Q804" s="116"/>
      <c r="R804" s="116"/>
      <c r="S804" s="117"/>
    </row>
    <row r="805" spans="1:19" ht="18" customHeight="1">
      <c r="A805" s="111"/>
      <c r="B805" s="111"/>
      <c r="C805" s="910"/>
      <c r="D805" s="910"/>
      <c r="E805" s="1540"/>
      <c r="F805" s="1540"/>
      <c r="G805" s="1540"/>
      <c r="H805" s="910"/>
      <c r="I805" s="910"/>
      <c r="J805" s="910"/>
      <c r="K805" s="1540"/>
      <c r="L805" s="1540"/>
      <c r="M805" s="1540"/>
      <c r="N805" s="910"/>
    </row>
    <row r="806" spans="1:19" ht="18" customHeight="1">
      <c r="A806" s="111"/>
      <c r="B806" s="111"/>
      <c r="C806" s="910"/>
      <c r="D806" s="910"/>
      <c r="E806" s="910"/>
      <c r="F806" s="910"/>
      <c r="G806" s="910"/>
      <c r="H806" s="910"/>
      <c r="I806" s="910"/>
      <c r="J806" s="910"/>
      <c r="K806" s="910"/>
      <c r="L806" s="910"/>
      <c r="M806" s="910"/>
      <c r="N806" s="910"/>
    </row>
    <row r="807" spans="1:19" ht="18" customHeight="1">
      <c r="A807" s="111"/>
      <c r="B807" s="111"/>
      <c r="C807" s="910"/>
      <c r="D807" s="910"/>
      <c r="E807" s="910"/>
      <c r="F807" s="910"/>
      <c r="G807" s="910"/>
      <c r="H807" s="910"/>
      <c r="I807" s="910"/>
      <c r="J807" s="910"/>
      <c r="K807" s="910"/>
      <c r="L807" s="910"/>
      <c r="M807" s="910"/>
      <c r="N807" s="910"/>
    </row>
    <row r="808" spans="1:19" ht="18" customHeight="1">
      <c r="A808" s="111"/>
      <c r="B808" s="111"/>
      <c r="C808" s="910"/>
      <c r="D808" s="910"/>
      <c r="E808" s="910"/>
      <c r="F808" s="910"/>
      <c r="G808" s="910"/>
      <c r="H808" s="910"/>
      <c r="I808" s="910"/>
      <c r="J808" s="910"/>
      <c r="K808" s="910"/>
      <c r="L808" s="910"/>
      <c r="M808" s="910"/>
      <c r="N808" s="910"/>
    </row>
    <row r="809" spans="1:19" ht="18" customHeight="1">
      <c r="A809" s="111"/>
      <c r="B809" s="111"/>
      <c r="C809" s="910"/>
      <c r="D809" s="910"/>
      <c r="E809" s="910"/>
      <c r="F809" s="910"/>
      <c r="G809" s="910"/>
      <c r="H809" s="910"/>
      <c r="I809" s="910"/>
      <c r="J809" s="910"/>
      <c r="K809" s="910"/>
      <c r="L809" s="910"/>
      <c r="M809" s="910"/>
      <c r="N809" s="910"/>
    </row>
    <row r="810" spans="1:19" ht="18" customHeight="1">
      <c r="A810" s="111"/>
      <c r="B810" s="111"/>
      <c r="C810" s="910"/>
      <c r="D810" s="910"/>
      <c r="E810" s="111"/>
      <c r="F810" s="111"/>
      <c r="G810" s="111"/>
      <c r="H810" s="111"/>
      <c r="I810" s="111"/>
      <c r="J810" s="111"/>
      <c r="K810" s="112"/>
      <c r="M810" s="113"/>
      <c r="N810" s="113"/>
    </row>
    <row r="811" spans="1:19" ht="18" customHeight="1">
      <c r="A811" s="111"/>
      <c r="B811" s="111"/>
      <c r="C811" s="910"/>
      <c r="D811" s="910"/>
      <c r="E811" s="111"/>
      <c r="F811" s="111"/>
      <c r="G811" s="111"/>
      <c r="H811" s="111"/>
      <c r="I811" s="111"/>
      <c r="J811" s="111"/>
      <c r="K811" s="112"/>
      <c r="M811" s="113"/>
      <c r="N811" s="113"/>
    </row>
    <row r="812" spans="1:19" ht="20.100000000000001" customHeight="1">
      <c r="A812" s="1448" t="s">
        <v>960</v>
      </c>
      <c r="B812" s="1448"/>
      <c r="C812" s="1448"/>
      <c r="D812" s="1448"/>
      <c r="E812" s="1448"/>
      <c r="F812" s="1448"/>
      <c r="G812" s="1448"/>
      <c r="H812" s="1448"/>
      <c r="I812" s="1448"/>
      <c r="J812" s="1448"/>
      <c r="K812" s="1448"/>
      <c r="L812" s="1448"/>
      <c r="M812" s="1448"/>
      <c r="N812" s="918"/>
    </row>
    <row r="813" spans="1:19" ht="18" customHeight="1">
      <c r="A813" s="110"/>
      <c r="B813" s="110"/>
      <c r="C813" s="917"/>
      <c r="D813" s="917"/>
      <c r="E813" s="111"/>
      <c r="F813" s="111"/>
      <c r="G813" s="111"/>
      <c r="H813" s="111"/>
      <c r="I813" s="111"/>
      <c r="J813" s="111"/>
      <c r="K813" s="112"/>
      <c r="M813" s="114"/>
      <c r="N813" s="114"/>
    </row>
    <row r="814" spans="1:19" ht="18" customHeight="1">
      <c r="A814" s="1538" t="s">
        <v>1663</v>
      </c>
      <c r="B814" s="1538"/>
      <c r="C814" s="1538"/>
      <c r="D814" s="1538"/>
      <c r="E814" s="1538"/>
      <c r="F814" s="1538"/>
      <c r="G814" s="1538"/>
      <c r="H814" s="1538"/>
      <c r="I814" s="1538"/>
      <c r="J814" s="1538"/>
      <c r="K814" s="1538"/>
      <c r="L814" s="1538"/>
      <c r="M814" s="1538"/>
      <c r="N814" s="908"/>
    </row>
    <row r="815" spans="1:19" ht="18" customHeight="1">
      <c r="A815" s="1539" t="s">
        <v>351</v>
      </c>
      <c r="B815" s="1539"/>
      <c r="C815" s="1539"/>
      <c r="D815" s="1539"/>
      <c r="E815" s="1539"/>
      <c r="F815" s="1539"/>
      <c r="G815" s="1539"/>
      <c r="H815" s="1539"/>
      <c r="I815" s="1539"/>
      <c r="J815" s="1539"/>
      <c r="K815" s="1539"/>
      <c r="L815" s="1539"/>
      <c r="M815" s="1539"/>
      <c r="N815" s="909"/>
    </row>
    <row r="816" spans="1:19" ht="18" customHeight="1">
      <c r="A816" s="1540"/>
      <c r="B816" s="1540"/>
      <c r="C816" s="1540"/>
      <c r="D816" s="1540"/>
      <c r="E816" s="1540"/>
      <c r="F816" s="1540"/>
      <c r="G816" s="1540"/>
      <c r="H816" s="1540"/>
      <c r="I816" s="1540"/>
      <c r="J816" s="1540"/>
      <c r="K816" s="1540"/>
      <c r="L816" s="1540"/>
      <c r="M816" s="1540"/>
      <c r="N816" s="910"/>
    </row>
    <row r="817" spans="1:19" ht="18" customHeight="1">
      <c r="A817" s="910"/>
      <c r="B817" s="910"/>
      <c r="C817" s="910"/>
      <c r="D817" s="910"/>
      <c r="E817" s="910"/>
      <c r="F817" s="910"/>
      <c r="G817" s="910"/>
      <c r="H817" s="910"/>
      <c r="I817" s="910"/>
      <c r="J817" s="910"/>
      <c r="K817" s="910"/>
      <c r="L817" s="910"/>
      <c r="M817" s="910"/>
      <c r="N817" s="910"/>
    </row>
    <row r="818" spans="1:19" ht="18" customHeight="1">
      <c r="A818" s="111" t="s">
        <v>441</v>
      </c>
      <c r="B818" s="111"/>
      <c r="C818" s="111" t="s">
        <v>439</v>
      </c>
      <c r="D818" s="111" t="s">
        <v>311</v>
      </c>
      <c r="E818" s="111"/>
      <c r="F818" s="111"/>
      <c r="G818" s="111"/>
      <c r="H818" s="111"/>
      <c r="I818" s="910"/>
      <c r="J818" s="910"/>
      <c r="K818" s="910"/>
      <c r="L818" s="910"/>
      <c r="M818" s="910"/>
      <c r="N818" s="910"/>
    </row>
    <row r="819" spans="1:19" ht="18" customHeight="1">
      <c r="A819" s="111" t="s">
        <v>449</v>
      </c>
      <c r="B819" s="111"/>
      <c r="C819" s="111" t="s">
        <v>439</v>
      </c>
      <c r="D819" s="111" t="s">
        <v>462</v>
      </c>
      <c r="E819" s="111"/>
      <c r="F819" s="111"/>
      <c r="G819" s="111"/>
      <c r="H819" s="111"/>
      <c r="I819" s="910"/>
      <c r="J819" s="910"/>
      <c r="K819" s="910"/>
      <c r="L819" s="910"/>
      <c r="M819" s="910"/>
      <c r="N819" s="910"/>
      <c r="O819" s="180"/>
    </row>
    <row r="820" spans="1:19" ht="18" customHeight="1" thickBot="1">
      <c r="A820" s="111" t="s">
        <v>456</v>
      </c>
      <c r="B820" s="111"/>
      <c r="C820" s="111" t="s">
        <v>439</v>
      </c>
      <c r="D820" s="111" t="s">
        <v>664</v>
      </c>
      <c r="E820" s="111"/>
      <c r="F820" s="111"/>
      <c r="G820" s="111"/>
      <c r="H820" s="111"/>
      <c r="I820" s="910"/>
      <c r="J820" s="910"/>
      <c r="K820" s="910"/>
      <c r="L820" s="910"/>
      <c r="M820" s="910"/>
      <c r="N820" s="910"/>
      <c r="O820" s="180"/>
    </row>
    <row r="821" spans="1:19" ht="18" customHeight="1">
      <c r="A821" s="1532" t="s">
        <v>619</v>
      </c>
      <c r="B821" s="1533"/>
      <c r="C821" s="1533"/>
      <c r="D821" s="1533"/>
      <c r="E821" s="1534"/>
      <c r="F821" s="1533"/>
      <c r="G821" s="1535"/>
      <c r="H821" s="121"/>
      <c r="I821" s="1536" t="s">
        <v>623</v>
      </c>
      <c r="J821" s="1537"/>
      <c r="K821" s="1536" t="s">
        <v>623</v>
      </c>
      <c r="L821" s="1537"/>
      <c r="M821" s="122"/>
      <c r="N821" s="876"/>
      <c r="O821" s="180"/>
    </row>
    <row r="822" spans="1:19" ht="18" customHeight="1">
      <c r="A822" s="123" t="s">
        <v>620</v>
      </c>
      <c r="B822" s="1544" t="s">
        <v>621</v>
      </c>
      <c r="C822" s="1545"/>
      <c r="D822" s="1546"/>
      <c r="E822" s="1547" t="s">
        <v>43</v>
      </c>
      <c r="F822" s="1548"/>
      <c r="G822" s="1549"/>
      <c r="H822" s="914" t="s">
        <v>44</v>
      </c>
      <c r="I822" s="1547" t="s">
        <v>1613</v>
      </c>
      <c r="J822" s="1549"/>
      <c r="K822" s="1548" t="s">
        <v>1660</v>
      </c>
      <c r="L822" s="1549"/>
      <c r="M822" s="124" t="s">
        <v>45</v>
      </c>
      <c r="N822" s="877"/>
    </row>
    <row r="823" spans="1:19" ht="18" customHeight="1">
      <c r="A823" s="125"/>
      <c r="B823" s="914"/>
      <c r="C823" s="915"/>
      <c r="D823" s="915"/>
      <c r="E823" s="914"/>
      <c r="F823" s="915"/>
      <c r="G823" s="916"/>
      <c r="H823" s="914" t="s">
        <v>46</v>
      </c>
      <c r="I823" s="1550"/>
      <c r="J823" s="1551"/>
      <c r="K823" s="1550"/>
      <c r="L823" s="1551"/>
      <c r="M823" s="124" t="s">
        <v>47</v>
      </c>
      <c r="N823" s="877"/>
    </row>
    <row r="824" spans="1:19" ht="18" customHeight="1">
      <c r="A824" s="125"/>
      <c r="B824" s="914"/>
      <c r="C824" s="915"/>
      <c r="D824" s="915"/>
      <c r="E824" s="914"/>
      <c r="F824" s="915"/>
      <c r="G824" s="126"/>
      <c r="H824" s="127"/>
      <c r="I824" s="128" t="s">
        <v>622</v>
      </c>
      <c r="J824" s="129" t="s">
        <v>48</v>
      </c>
      <c r="K824" s="128" t="s">
        <v>622</v>
      </c>
      <c r="L824" s="129" t="s">
        <v>48</v>
      </c>
      <c r="M824" s="124"/>
      <c r="N824" s="120"/>
    </row>
    <row r="825" spans="1:19" ht="18" customHeight="1" thickBot="1">
      <c r="A825" s="130"/>
      <c r="B825" s="1541"/>
      <c r="C825" s="1542"/>
      <c r="D825" s="1543"/>
      <c r="E825" s="1541"/>
      <c r="F825" s="1542"/>
      <c r="G825" s="1543"/>
      <c r="H825" s="131"/>
      <c r="I825" s="131"/>
      <c r="J825" s="131"/>
      <c r="K825" s="131"/>
      <c r="L825" s="131"/>
      <c r="M825" s="132"/>
      <c r="N825" s="883"/>
    </row>
    <row r="826" spans="1:19" ht="18" customHeight="1">
      <c r="A826" s="181"/>
      <c r="B826" s="119"/>
      <c r="C826" s="119"/>
      <c r="D826" s="119"/>
      <c r="E826" s="133"/>
      <c r="F826" s="119"/>
      <c r="G826" s="134"/>
      <c r="H826" s="135"/>
      <c r="I826" s="182"/>
      <c r="J826" s="137"/>
      <c r="K826" s="182"/>
      <c r="L826" s="137"/>
      <c r="M826" s="137"/>
      <c r="N826" s="880"/>
    </row>
    <row r="827" spans="1:19" s="146" customFormat="1" ht="18" customHeight="1">
      <c r="A827" s="183">
        <v>1</v>
      </c>
      <c r="B827" s="920"/>
      <c r="C827" s="920"/>
      <c r="D827" s="920"/>
      <c r="E827" s="154" t="s">
        <v>76</v>
      </c>
      <c r="F827" s="920"/>
      <c r="G827" s="140"/>
      <c r="H827" s="141" t="s">
        <v>25</v>
      </c>
      <c r="I827" s="184" t="s">
        <v>77</v>
      </c>
      <c r="J827" s="143">
        <v>1010004</v>
      </c>
      <c r="K827" s="184" t="s">
        <v>77</v>
      </c>
      <c r="L827" s="143">
        <v>1029060</v>
      </c>
      <c r="M827" s="144">
        <f>L827-J827</f>
        <v>19056</v>
      </c>
      <c r="N827" s="879"/>
      <c r="O827" s="115">
        <f>M827+L827</f>
        <v>1048116</v>
      </c>
      <c r="P827" s="115"/>
      <c r="Q827" s="116"/>
      <c r="R827" s="116"/>
      <c r="S827" s="145"/>
    </row>
    <row r="828" spans="1:19" s="146" customFormat="1" ht="18" customHeight="1">
      <c r="A828" s="183"/>
      <c r="B828" s="920"/>
      <c r="C828" s="920"/>
      <c r="D828" s="920"/>
      <c r="E828" s="154" t="s">
        <v>878</v>
      </c>
      <c r="F828" s="920"/>
      <c r="G828" s="140"/>
      <c r="H828" s="141"/>
      <c r="I828" s="184"/>
      <c r="J828" s="143"/>
      <c r="K828" s="184"/>
      <c r="L828" s="143"/>
      <c r="M828" s="144"/>
      <c r="N828" s="879"/>
      <c r="O828" s="115"/>
      <c r="P828" s="115"/>
      <c r="Q828" s="116"/>
      <c r="R828" s="116"/>
      <c r="S828" s="145"/>
    </row>
    <row r="829" spans="1:19" s="146" customFormat="1" ht="18" customHeight="1">
      <c r="A829" s="183"/>
      <c r="B829" s="920"/>
      <c r="C829" s="920"/>
      <c r="D829" s="920"/>
      <c r="E829" s="154"/>
      <c r="F829" s="920"/>
      <c r="G829" s="140"/>
      <c r="H829" s="141"/>
      <c r="I829" s="184"/>
      <c r="J829" s="143"/>
      <c r="K829" s="184"/>
      <c r="L829" s="143"/>
      <c r="M829" s="144"/>
      <c r="N829" s="879"/>
      <c r="O829" s="115"/>
      <c r="P829" s="115"/>
      <c r="Q829" s="116"/>
      <c r="R829" s="116"/>
      <c r="S829" s="145"/>
    </row>
    <row r="830" spans="1:19" s="146" customFormat="1" ht="18" customHeight="1">
      <c r="A830" s="183"/>
      <c r="B830" s="957"/>
      <c r="C830" s="957"/>
      <c r="D830" s="957"/>
      <c r="E830" s="154"/>
      <c r="F830" s="957"/>
      <c r="G830" s="140"/>
      <c r="H830" s="141"/>
      <c r="I830" s="184"/>
      <c r="J830" s="143"/>
      <c r="K830" s="184"/>
      <c r="L830" s="143"/>
      <c r="M830" s="144"/>
      <c r="N830" s="879"/>
      <c r="O830" s="115"/>
      <c r="P830" s="115"/>
      <c r="Q830" s="116"/>
      <c r="R830" s="116"/>
      <c r="S830" s="145"/>
    </row>
    <row r="831" spans="1:19" s="146" customFormat="1" ht="18" customHeight="1">
      <c r="A831" s="183"/>
      <c r="B831" s="920"/>
      <c r="C831" s="920"/>
      <c r="D831" s="920"/>
      <c r="E831" s="154"/>
      <c r="F831" s="920"/>
      <c r="G831" s="140"/>
      <c r="H831" s="141"/>
      <c r="I831" s="185"/>
      <c r="J831" s="149"/>
      <c r="K831" s="185"/>
      <c r="L831" s="149"/>
      <c r="M831" s="143"/>
      <c r="N831" s="170"/>
      <c r="O831" s="115"/>
      <c r="P831" s="115"/>
      <c r="Q831" s="116"/>
      <c r="R831" s="116"/>
      <c r="S831" s="117"/>
    </row>
    <row r="832" spans="1:19" s="146" customFormat="1" ht="18" customHeight="1">
      <c r="A832" s="183">
        <v>2</v>
      </c>
      <c r="B832" s="1552"/>
      <c r="C832" s="1553"/>
      <c r="D832" s="1554"/>
      <c r="E832" s="154" t="s">
        <v>1640</v>
      </c>
      <c r="F832" s="923"/>
      <c r="G832" s="140"/>
      <c r="H832" s="141" t="s">
        <v>60</v>
      </c>
      <c r="I832" s="184" t="s">
        <v>1641</v>
      </c>
      <c r="J832" s="143">
        <v>461076</v>
      </c>
      <c r="K832" s="184" t="s">
        <v>1641</v>
      </c>
      <c r="L832" s="143">
        <v>476592</v>
      </c>
      <c r="M832" s="144">
        <f>L832-J832</f>
        <v>15516</v>
      </c>
      <c r="N832" s="879"/>
      <c r="O832" s="115">
        <f>M832+L832</f>
        <v>492108</v>
      </c>
      <c r="P832" s="115"/>
      <c r="Q832" s="116"/>
      <c r="R832" s="116"/>
      <c r="S832" s="145"/>
    </row>
    <row r="833" spans="1:19" s="146" customFormat="1" ht="18" customHeight="1">
      <c r="A833" s="183"/>
      <c r="B833" s="920"/>
      <c r="C833" s="920"/>
      <c r="D833" s="920"/>
      <c r="E833" s="154"/>
      <c r="F833" s="920"/>
      <c r="G833" s="140"/>
      <c r="H833" s="141"/>
      <c r="I833" s="185"/>
      <c r="J833" s="143"/>
      <c r="K833" s="185"/>
      <c r="L833" s="143"/>
      <c r="M833" s="144"/>
      <c r="N833" s="879"/>
      <c r="O833" s="115"/>
      <c r="P833" s="115"/>
      <c r="Q833" s="116"/>
      <c r="R833" s="116"/>
      <c r="S833" s="117"/>
    </row>
    <row r="834" spans="1:19" s="146" customFormat="1" ht="18" customHeight="1">
      <c r="A834" s="183"/>
      <c r="B834" s="957"/>
      <c r="C834" s="957"/>
      <c r="D834" s="957"/>
      <c r="E834" s="154"/>
      <c r="F834" s="957"/>
      <c r="G834" s="140"/>
      <c r="H834" s="141"/>
      <c r="I834" s="185"/>
      <c r="J834" s="143"/>
      <c r="K834" s="185"/>
      <c r="L834" s="143"/>
      <c r="M834" s="144"/>
      <c r="N834" s="879"/>
      <c r="O834" s="115"/>
      <c r="P834" s="115"/>
      <c r="Q834" s="116"/>
      <c r="R834" s="116"/>
      <c r="S834" s="117"/>
    </row>
    <row r="835" spans="1:19" s="146" customFormat="1" ht="18" customHeight="1">
      <c r="A835" s="183"/>
      <c r="B835" s="957"/>
      <c r="C835" s="957"/>
      <c r="D835" s="957"/>
      <c r="E835" s="154"/>
      <c r="F835" s="957"/>
      <c r="G835" s="140"/>
      <c r="H835" s="141"/>
      <c r="I835" s="185"/>
      <c r="J835" s="143"/>
      <c r="K835" s="185"/>
      <c r="L835" s="143"/>
      <c r="M835" s="144"/>
      <c r="N835" s="879"/>
      <c r="O835" s="115"/>
      <c r="P835" s="115"/>
      <c r="Q835" s="116"/>
      <c r="R835" s="116"/>
      <c r="S835" s="117"/>
    </row>
    <row r="836" spans="1:19" s="146" customFormat="1" ht="18" customHeight="1">
      <c r="A836" s="183">
        <v>3</v>
      </c>
      <c r="B836" s="1552"/>
      <c r="C836" s="1553"/>
      <c r="D836" s="1554"/>
      <c r="E836" s="154" t="s">
        <v>1642</v>
      </c>
      <c r="F836" s="923"/>
      <c r="G836" s="140"/>
      <c r="H836" s="141" t="s">
        <v>970</v>
      </c>
      <c r="I836" s="184" t="s">
        <v>52</v>
      </c>
      <c r="J836" s="143">
        <v>357984</v>
      </c>
      <c r="K836" s="184" t="s">
        <v>52</v>
      </c>
      <c r="L836" s="143">
        <v>373512</v>
      </c>
      <c r="M836" s="144">
        <f>L836-J836</f>
        <v>15528</v>
      </c>
      <c r="N836" s="879"/>
      <c r="O836" s="115">
        <f>M836+L836</f>
        <v>389040</v>
      </c>
      <c r="P836" s="115"/>
      <c r="Q836" s="116"/>
      <c r="R836" s="116"/>
      <c r="S836" s="145"/>
    </row>
    <row r="837" spans="1:19" s="146" customFormat="1" ht="18" customHeight="1">
      <c r="A837" s="183"/>
      <c r="B837" s="957"/>
      <c r="C837" s="957"/>
      <c r="D837" s="957"/>
      <c r="E837" s="154"/>
      <c r="F837" s="957"/>
      <c r="G837" s="140"/>
      <c r="H837" s="141"/>
      <c r="I837" s="185"/>
      <c r="J837" s="143"/>
      <c r="K837" s="185"/>
      <c r="L837" s="143"/>
      <c r="M837" s="144"/>
      <c r="N837" s="879"/>
      <c r="O837" s="115"/>
      <c r="P837" s="115"/>
      <c r="Q837" s="116"/>
      <c r="R837" s="116"/>
      <c r="S837" s="117"/>
    </row>
    <row r="838" spans="1:19" s="146" customFormat="1" ht="18" customHeight="1">
      <c r="A838" s="183"/>
      <c r="B838" s="957"/>
      <c r="C838" s="957"/>
      <c r="D838" s="957"/>
      <c r="E838" s="154"/>
      <c r="F838" s="957"/>
      <c r="G838" s="140"/>
      <c r="H838" s="141"/>
      <c r="I838" s="185"/>
      <c r="J838" s="143"/>
      <c r="K838" s="185"/>
      <c r="L838" s="143"/>
      <c r="M838" s="144"/>
      <c r="N838" s="879"/>
      <c r="O838" s="115"/>
      <c r="P838" s="115"/>
      <c r="Q838" s="116"/>
      <c r="R838" s="116"/>
      <c r="S838" s="117"/>
    </row>
    <row r="839" spans="1:19" s="146" customFormat="1" ht="18" customHeight="1">
      <c r="A839" s="183"/>
      <c r="B839" s="957"/>
      <c r="C839" s="957"/>
      <c r="D839" s="957"/>
      <c r="E839" s="154"/>
      <c r="F839" s="957"/>
      <c r="G839" s="140"/>
      <c r="H839" s="141"/>
      <c r="I839" s="185"/>
      <c r="J839" s="143"/>
      <c r="K839" s="185"/>
      <c r="L839" s="143"/>
      <c r="M839" s="144"/>
      <c r="N839" s="879"/>
      <c r="O839" s="115"/>
      <c r="P839" s="115"/>
      <c r="Q839" s="116"/>
      <c r="R839" s="116"/>
      <c r="S839" s="117"/>
    </row>
    <row r="840" spans="1:19" s="146" customFormat="1" ht="18" customHeight="1">
      <c r="A840" s="183">
        <v>4</v>
      </c>
      <c r="B840" s="920"/>
      <c r="C840" s="920"/>
      <c r="D840" s="920"/>
      <c r="E840" s="154" t="s">
        <v>413</v>
      </c>
      <c r="F840" s="920"/>
      <c r="G840" s="140"/>
      <c r="H840" s="141" t="s">
        <v>1921</v>
      </c>
      <c r="I840" s="184" t="s">
        <v>130</v>
      </c>
      <c r="J840" s="143">
        <v>262380</v>
      </c>
      <c r="K840" s="184" t="s">
        <v>384</v>
      </c>
      <c r="L840" s="143">
        <v>275400</v>
      </c>
      <c r="M840" s="144">
        <f>L840-J840</f>
        <v>13020</v>
      </c>
      <c r="N840" s="879"/>
      <c r="O840" s="115">
        <f>M840+L840</f>
        <v>288420</v>
      </c>
      <c r="P840" s="115"/>
      <c r="Q840" s="116"/>
      <c r="R840" s="116"/>
      <c r="S840" s="145"/>
    </row>
    <row r="841" spans="1:19" s="146" customFormat="1" ht="18" customHeight="1">
      <c r="A841" s="183"/>
      <c r="B841" s="957"/>
      <c r="C841" s="957"/>
      <c r="D841" s="957"/>
      <c r="E841" s="154"/>
      <c r="F841" s="957"/>
      <c r="G841" s="140"/>
      <c r="H841" s="141"/>
      <c r="I841" s="184"/>
      <c r="J841" s="143"/>
      <c r="K841" s="184"/>
      <c r="L841" s="143"/>
      <c r="M841" s="144"/>
      <c r="N841" s="879"/>
      <c r="O841" s="115"/>
      <c r="P841" s="115"/>
      <c r="Q841" s="116"/>
      <c r="R841" s="116"/>
      <c r="S841" s="145"/>
    </row>
    <row r="842" spans="1:19" s="146" customFormat="1" ht="18" customHeight="1">
      <c r="A842" s="183"/>
      <c r="B842" s="957"/>
      <c r="C842" s="957"/>
      <c r="D842" s="957"/>
      <c r="E842" s="154"/>
      <c r="F842" s="957"/>
      <c r="G842" s="140"/>
      <c r="H842" s="141"/>
      <c r="I842" s="184"/>
      <c r="J842" s="143"/>
      <c r="K842" s="184"/>
      <c r="L842" s="143"/>
      <c r="M842" s="144"/>
      <c r="N842" s="879"/>
      <c r="O842" s="115"/>
      <c r="P842" s="115"/>
      <c r="Q842" s="116"/>
      <c r="R842" s="116"/>
      <c r="S842" s="145"/>
    </row>
    <row r="843" spans="1:19" s="146" customFormat="1" ht="18" customHeight="1">
      <c r="A843" s="183"/>
      <c r="B843" s="957"/>
      <c r="C843" s="957"/>
      <c r="D843" s="957"/>
      <c r="E843" s="154"/>
      <c r="F843" s="957"/>
      <c r="G843" s="140"/>
      <c r="H843" s="141"/>
      <c r="I843" s="184"/>
      <c r="J843" s="143"/>
      <c r="K843" s="184"/>
      <c r="L843" s="143"/>
      <c r="M843" s="144"/>
      <c r="N843" s="879"/>
      <c r="O843" s="115"/>
      <c r="P843" s="115"/>
      <c r="Q843" s="116"/>
      <c r="R843" s="116"/>
      <c r="S843" s="145"/>
    </row>
    <row r="844" spans="1:19" s="146" customFormat="1" ht="18" customHeight="1">
      <c r="A844" s="183">
        <v>5</v>
      </c>
      <c r="B844" s="920"/>
      <c r="C844" s="920"/>
      <c r="D844" s="920"/>
      <c r="E844" s="154" t="s">
        <v>415</v>
      </c>
      <c r="F844" s="920"/>
      <c r="G844" s="140"/>
      <c r="H844" s="234" t="s">
        <v>939</v>
      </c>
      <c r="I844" s="184" t="s">
        <v>130</v>
      </c>
      <c r="J844" s="143">
        <v>262380</v>
      </c>
      <c r="K844" s="184" t="s">
        <v>130</v>
      </c>
      <c r="L844" s="143">
        <v>278292</v>
      </c>
      <c r="M844" s="144">
        <f>L844-J844</f>
        <v>15912</v>
      </c>
      <c r="N844" s="879"/>
      <c r="O844" s="115">
        <f>M844+L844</f>
        <v>294204</v>
      </c>
      <c r="P844" s="115"/>
      <c r="Q844" s="116"/>
      <c r="R844" s="116"/>
      <c r="S844" s="145"/>
    </row>
    <row r="845" spans="1:19" s="146" customFormat="1" ht="18" customHeight="1">
      <c r="A845" s="183"/>
      <c r="B845" s="957"/>
      <c r="C845" s="957"/>
      <c r="D845" s="957"/>
      <c r="E845" s="154"/>
      <c r="F845" s="957"/>
      <c r="G845" s="140"/>
      <c r="H845" s="234"/>
      <c r="I845" s="184"/>
      <c r="J845" s="143"/>
      <c r="K845" s="184"/>
      <c r="L845" s="143"/>
      <c r="M845" s="144"/>
      <c r="N845" s="879"/>
      <c r="O845" s="115"/>
      <c r="P845" s="115"/>
      <c r="Q845" s="116"/>
      <c r="R845" s="116"/>
      <c r="S845" s="145"/>
    </row>
    <row r="846" spans="1:19" s="146" customFormat="1" ht="18" customHeight="1">
      <c r="A846" s="183"/>
      <c r="B846" s="957"/>
      <c r="C846" s="957"/>
      <c r="D846" s="957"/>
      <c r="E846" s="154"/>
      <c r="F846" s="957"/>
      <c r="G846" s="140"/>
      <c r="H846" s="141"/>
      <c r="I846" s="184"/>
      <c r="J846" s="143"/>
      <c r="K846" s="184"/>
      <c r="L846" s="143"/>
      <c r="M846" s="144"/>
      <c r="N846" s="879"/>
      <c r="O846" s="115"/>
      <c r="P846" s="115"/>
      <c r="Q846" s="116"/>
      <c r="R846" s="116"/>
      <c r="S846" s="145"/>
    </row>
    <row r="847" spans="1:19" s="146" customFormat="1" ht="18" customHeight="1">
      <c r="A847" s="183"/>
      <c r="B847" s="957"/>
      <c r="C847" s="957"/>
      <c r="D847" s="957"/>
      <c r="E847" s="154"/>
      <c r="F847" s="957"/>
      <c r="G847" s="140"/>
      <c r="H847" s="141"/>
      <c r="I847" s="184"/>
      <c r="J847" s="143"/>
      <c r="K847" s="184"/>
      <c r="L847" s="143"/>
      <c r="M847" s="144"/>
      <c r="N847" s="879"/>
      <c r="O847" s="115"/>
      <c r="P847" s="115"/>
      <c r="Q847" s="116"/>
      <c r="R847" s="116"/>
      <c r="S847" s="145"/>
    </row>
    <row r="848" spans="1:19" s="146" customFormat="1" ht="18" customHeight="1">
      <c r="A848" s="183">
        <v>6</v>
      </c>
      <c r="B848" s="1552"/>
      <c r="C848" s="1553"/>
      <c r="D848" s="1554"/>
      <c r="E848" s="154" t="s">
        <v>1644</v>
      </c>
      <c r="F848" s="923"/>
      <c r="G848" s="140"/>
      <c r="H848" s="234" t="s">
        <v>102</v>
      </c>
      <c r="I848" s="184" t="s">
        <v>384</v>
      </c>
      <c r="J848" s="143">
        <v>259476</v>
      </c>
      <c r="K848" s="184" t="s">
        <v>384</v>
      </c>
      <c r="L848" s="143">
        <v>275400</v>
      </c>
      <c r="M848" s="144">
        <f>L848-J848</f>
        <v>15924</v>
      </c>
      <c r="N848" s="879"/>
      <c r="O848" s="115">
        <f>M848+L848</f>
        <v>291324</v>
      </c>
      <c r="P848" s="115"/>
      <c r="Q848" s="116"/>
      <c r="R848" s="116"/>
      <c r="S848" s="145"/>
    </row>
    <row r="849" spans="1:19" s="146" customFormat="1" ht="18" customHeight="1">
      <c r="A849" s="183"/>
      <c r="B849" s="957"/>
      <c r="C849" s="957"/>
      <c r="D849" s="957"/>
      <c r="E849" s="154"/>
      <c r="F849" s="957"/>
      <c r="G849" s="140"/>
      <c r="H849" s="141"/>
      <c r="I849" s="184"/>
      <c r="J849" s="143"/>
      <c r="K849" s="184"/>
      <c r="L849" s="143"/>
      <c r="M849" s="144"/>
      <c r="N849" s="879"/>
      <c r="O849" s="115"/>
      <c r="P849" s="115"/>
      <c r="Q849" s="116"/>
      <c r="R849" s="116"/>
      <c r="S849" s="145"/>
    </row>
    <row r="850" spans="1:19" s="146" customFormat="1" ht="18" customHeight="1">
      <c r="A850" s="183"/>
      <c r="B850" s="957"/>
      <c r="C850" s="957"/>
      <c r="D850" s="957"/>
      <c r="E850" s="154"/>
      <c r="F850" s="957"/>
      <c r="G850" s="140"/>
      <c r="H850" s="141"/>
      <c r="I850" s="184"/>
      <c r="J850" s="143"/>
      <c r="K850" s="184"/>
      <c r="L850" s="143"/>
      <c r="M850" s="144"/>
      <c r="N850" s="879"/>
      <c r="O850" s="115"/>
      <c r="P850" s="115"/>
      <c r="Q850" s="116"/>
      <c r="R850" s="116"/>
      <c r="S850" s="145"/>
    </row>
    <row r="851" spans="1:19" s="146" customFormat="1" ht="18" customHeight="1">
      <c r="A851" s="183"/>
      <c r="B851" s="957"/>
      <c r="C851" s="957"/>
      <c r="D851" s="957"/>
      <c r="E851" s="154"/>
      <c r="F851" s="957"/>
      <c r="G851" s="140"/>
      <c r="H851" s="141"/>
      <c r="I851" s="185"/>
      <c r="J851" s="143"/>
      <c r="K851" s="185"/>
      <c r="L851" s="143"/>
      <c r="M851" s="144"/>
      <c r="N851" s="879"/>
      <c r="O851" s="115"/>
      <c r="P851" s="115"/>
      <c r="Q851" s="116"/>
      <c r="R851" s="116"/>
      <c r="S851" s="117"/>
    </row>
    <row r="852" spans="1:19" s="146" customFormat="1" ht="18" customHeight="1">
      <c r="A852" s="183">
        <v>7</v>
      </c>
      <c r="B852" s="920"/>
      <c r="C852" s="920"/>
      <c r="D852" s="920"/>
      <c r="E852" s="154" t="s">
        <v>109</v>
      </c>
      <c r="F852" s="920"/>
      <c r="G852" s="140"/>
      <c r="H852" s="141" t="s">
        <v>1922</v>
      </c>
      <c r="I852" s="184" t="s">
        <v>383</v>
      </c>
      <c r="J852" s="143">
        <v>195540</v>
      </c>
      <c r="K852" s="184" t="s">
        <v>160</v>
      </c>
      <c r="L852" s="143">
        <v>201384</v>
      </c>
      <c r="M852" s="144">
        <f>L852-J852</f>
        <v>5844</v>
      </c>
      <c r="N852" s="879"/>
      <c r="O852" s="115">
        <f>M852+L852</f>
        <v>207228</v>
      </c>
      <c r="P852" s="115"/>
      <c r="Q852" s="116"/>
      <c r="R852" s="116"/>
      <c r="S852" s="145"/>
    </row>
    <row r="853" spans="1:19" s="146" customFormat="1" ht="18" customHeight="1">
      <c r="A853" s="183"/>
      <c r="B853" s="920"/>
      <c r="C853" s="920"/>
      <c r="D853" s="920"/>
      <c r="E853" s="154"/>
      <c r="F853" s="920"/>
      <c r="G853" s="140"/>
      <c r="H853" s="141"/>
      <c r="I853" s="184"/>
      <c r="J853" s="143"/>
      <c r="K853" s="184"/>
      <c r="L853" s="143"/>
      <c r="M853" s="144"/>
      <c r="N853" s="879"/>
      <c r="O853" s="115"/>
      <c r="P853" s="115"/>
      <c r="Q853" s="116"/>
      <c r="R853" s="116"/>
      <c r="S853" s="145"/>
    </row>
    <row r="854" spans="1:19" s="146" customFormat="1" ht="18" customHeight="1">
      <c r="A854" s="183"/>
      <c r="B854" s="920"/>
      <c r="C854" s="920"/>
      <c r="D854" s="920"/>
      <c r="E854" s="154"/>
      <c r="F854" s="920"/>
      <c r="G854" s="140"/>
      <c r="H854" s="141"/>
      <c r="I854" s="184"/>
      <c r="J854" s="143"/>
      <c r="K854" s="184"/>
      <c r="L854" s="149"/>
      <c r="M854" s="144"/>
      <c r="N854" s="879"/>
      <c r="O854" s="115"/>
      <c r="P854" s="115"/>
      <c r="Q854" s="116"/>
      <c r="R854" s="116"/>
      <c r="S854" s="145"/>
    </row>
    <row r="855" spans="1:19" s="146" customFormat="1" ht="18" customHeight="1">
      <c r="A855" s="183"/>
      <c r="B855" s="920"/>
      <c r="C855" s="920"/>
      <c r="D855" s="920"/>
      <c r="E855" s="154"/>
      <c r="F855" s="920"/>
      <c r="G855" s="140"/>
      <c r="H855" s="141"/>
      <c r="I855" s="184"/>
      <c r="J855" s="143"/>
      <c r="K855" s="184"/>
      <c r="L855" s="149"/>
      <c r="M855" s="144"/>
      <c r="N855" s="879"/>
      <c r="O855" s="115"/>
      <c r="P855" s="115"/>
      <c r="Q855" s="116"/>
      <c r="R855" s="116"/>
      <c r="S855" s="145"/>
    </row>
    <row r="856" spans="1:19" s="146" customFormat="1" ht="18" customHeight="1">
      <c r="A856" s="183">
        <v>8</v>
      </c>
      <c r="B856" s="1552"/>
      <c r="C856" s="1553"/>
      <c r="D856" s="1554"/>
      <c r="E856" s="154" t="s">
        <v>1643</v>
      </c>
      <c r="F856" s="923"/>
      <c r="G856" s="140"/>
      <c r="H856" s="234" t="s">
        <v>1671</v>
      </c>
      <c r="I856" s="184" t="s">
        <v>241</v>
      </c>
      <c r="J856" s="143">
        <v>144072</v>
      </c>
      <c r="K856" s="184" t="s">
        <v>241</v>
      </c>
      <c r="L856" s="143">
        <v>149712</v>
      </c>
      <c r="M856" s="144">
        <f>L856-J856</f>
        <v>5640</v>
      </c>
      <c r="N856" s="879"/>
      <c r="O856" s="115">
        <f>M856+L856</f>
        <v>155352</v>
      </c>
      <c r="P856" s="115"/>
      <c r="Q856" s="116"/>
      <c r="R856" s="116"/>
      <c r="S856" s="145"/>
    </row>
    <row r="857" spans="1:19" s="146" customFormat="1" ht="18" customHeight="1">
      <c r="A857" s="141"/>
      <c r="B857" s="155"/>
      <c r="C857" s="920"/>
      <c r="D857" s="920"/>
      <c r="E857" s="154"/>
      <c r="F857" s="155"/>
      <c r="G857" s="140"/>
      <c r="H857" s="141"/>
      <c r="I857" s="210"/>
      <c r="J857" s="143"/>
      <c r="K857" s="210"/>
      <c r="L857" s="143"/>
      <c r="M857" s="143"/>
      <c r="N857" s="170"/>
      <c r="O857" s="115"/>
      <c r="P857" s="115"/>
      <c r="Q857" s="116"/>
      <c r="R857" s="116"/>
      <c r="S857" s="117"/>
    </row>
    <row r="858" spans="1:19" s="146" customFormat="1" ht="18" customHeight="1">
      <c r="A858" s="141"/>
      <c r="B858" s="155"/>
      <c r="C858" s="920"/>
      <c r="D858" s="920"/>
      <c r="E858" s="154"/>
      <c r="F858" s="155"/>
      <c r="G858" s="140"/>
      <c r="H858" s="141"/>
      <c r="I858" s="210"/>
      <c r="J858" s="143"/>
      <c r="K858" s="210"/>
      <c r="L858" s="143"/>
      <c r="M858" s="143"/>
      <c r="N858" s="170"/>
      <c r="O858" s="115"/>
      <c r="P858" s="115"/>
      <c r="Q858" s="116"/>
      <c r="R858" s="116"/>
      <c r="S858" s="117"/>
    </row>
    <row r="859" spans="1:19" s="146" customFormat="1" ht="18" customHeight="1">
      <c r="A859" s="141"/>
      <c r="B859" s="155"/>
      <c r="C859" s="920"/>
      <c r="D859" s="920"/>
      <c r="E859" s="154"/>
      <c r="F859" s="155"/>
      <c r="G859" s="140"/>
      <c r="H859" s="141"/>
      <c r="I859" s="210"/>
      <c r="J859" s="143"/>
      <c r="K859" s="210"/>
      <c r="L859" s="143"/>
      <c r="M859" s="143"/>
      <c r="N859" s="170"/>
      <c r="O859" s="115"/>
      <c r="P859" s="115"/>
      <c r="Q859" s="116"/>
      <c r="R859" s="116"/>
      <c r="S859" s="117"/>
    </row>
    <row r="860" spans="1:19" s="146" customFormat="1" ht="18" customHeight="1">
      <c r="A860" s="141"/>
      <c r="B860" s="155"/>
      <c r="C860" s="920"/>
      <c r="D860" s="920"/>
      <c r="E860" s="154"/>
      <c r="F860" s="155"/>
      <c r="G860" s="140"/>
      <c r="H860" s="141"/>
      <c r="I860" s="210"/>
      <c r="J860" s="143"/>
      <c r="K860" s="210"/>
      <c r="L860" s="143"/>
      <c r="M860" s="143"/>
      <c r="N860" s="170"/>
      <c r="O860" s="115"/>
      <c r="P860" s="115"/>
      <c r="Q860" s="116"/>
      <c r="R860" s="116"/>
      <c r="S860" s="117"/>
    </row>
    <row r="861" spans="1:19" s="168" customFormat="1" ht="18" customHeight="1" thickBot="1">
      <c r="A861" s="162"/>
      <c r="B861" s="159"/>
      <c r="C861" s="158"/>
      <c r="D861" s="158"/>
      <c r="E861" s="157"/>
      <c r="F861" s="159"/>
      <c r="G861" s="160"/>
      <c r="H861" s="161" t="s">
        <v>15</v>
      </c>
      <c r="I861" s="163"/>
      <c r="J861" s="163">
        <f>SUM(J827:J860)</f>
        <v>2952912</v>
      </c>
      <c r="K861" s="163"/>
      <c r="L861" s="163">
        <f>SUM(L827:L860)</f>
        <v>3059352</v>
      </c>
      <c r="M861" s="163">
        <f>SUM(M827:M860)</f>
        <v>106440</v>
      </c>
      <c r="N861" s="169"/>
      <c r="O861" s="165">
        <f>SUM(O827:O859)</f>
        <v>3165792</v>
      </c>
      <c r="P861" s="165"/>
      <c r="Q861" s="166"/>
      <c r="R861" s="166"/>
      <c r="S861" s="167"/>
    </row>
    <row r="862" spans="1:19" s="146" customFormat="1" ht="18" customHeight="1" thickTop="1">
      <c r="A862" s="155"/>
      <c r="B862" s="155"/>
      <c r="C862" s="920"/>
      <c r="D862" s="920"/>
      <c r="E862" s="155"/>
      <c r="F862" s="155"/>
      <c r="G862" s="155"/>
      <c r="H862" s="920"/>
      <c r="I862" s="155"/>
      <c r="J862" s="169"/>
      <c r="K862" s="172"/>
      <c r="L862" s="171"/>
      <c r="M862" s="171"/>
      <c r="N862" s="171"/>
      <c r="O862" s="115"/>
      <c r="P862" s="115"/>
      <c r="Q862" s="116"/>
      <c r="R862" s="116"/>
      <c r="S862" s="117"/>
    </row>
    <row r="863" spans="1:19" s="146" customFormat="1" ht="18" customHeight="1">
      <c r="A863" s="155"/>
      <c r="B863" s="155"/>
      <c r="C863" s="920"/>
      <c r="D863" s="920"/>
      <c r="E863" s="155"/>
      <c r="F863" s="155"/>
      <c r="G863" s="155"/>
      <c r="H863" s="920"/>
      <c r="I863" s="155"/>
      <c r="J863" s="169"/>
      <c r="K863" s="172"/>
      <c r="L863" s="171"/>
      <c r="M863" s="171"/>
      <c r="N863" s="171"/>
      <c r="O863" s="115"/>
      <c r="P863" s="115"/>
      <c r="Q863" s="116"/>
      <c r="R863" s="116"/>
      <c r="S863" s="117"/>
    </row>
    <row r="864" spans="1:19" s="146" customFormat="1" ht="18" customHeight="1">
      <c r="A864" s="155"/>
      <c r="B864" s="155"/>
      <c r="C864" s="920"/>
      <c r="D864" s="920"/>
      <c r="E864" s="155"/>
      <c r="F864" s="155"/>
      <c r="G864" s="155"/>
      <c r="H864" s="155"/>
      <c r="I864" s="155"/>
      <c r="J864" s="155"/>
      <c r="K864" s="172"/>
      <c r="L864" s="170"/>
      <c r="M864" s="170"/>
      <c r="N864" s="170"/>
      <c r="O864" s="115"/>
      <c r="P864" s="115"/>
      <c r="Q864" s="116"/>
      <c r="R864" s="116"/>
      <c r="S864" s="117"/>
    </row>
    <row r="865" spans="1:23" s="146" customFormat="1" ht="18" customHeight="1">
      <c r="A865" s="173" t="s">
        <v>614</v>
      </c>
      <c r="B865" s="173"/>
      <c r="C865" s="912"/>
      <c r="D865" s="912"/>
      <c r="E865" s="174"/>
      <c r="F865" s="174"/>
      <c r="G865" s="174"/>
      <c r="H865" s="173" t="s">
        <v>615</v>
      </c>
      <c r="I865" s="174"/>
      <c r="K865" s="173" t="s">
        <v>253</v>
      </c>
      <c r="L865" s="175"/>
      <c r="M865" s="175"/>
      <c r="N865" s="175"/>
      <c r="O865" s="115"/>
      <c r="P865" s="115"/>
      <c r="Q865" s="116"/>
      <c r="R865" s="116"/>
      <c r="S865" s="117"/>
    </row>
    <row r="866" spans="1:23" s="146" customFormat="1" ht="18" customHeight="1">
      <c r="A866" s="174"/>
      <c r="B866" s="174"/>
      <c r="C866" s="913"/>
      <c r="D866" s="913"/>
      <c r="E866" s="174"/>
      <c r="F866" s="174"/>
      <c r="G866" s="174"/>
      <c r="H866" s="174"/>
      <c r="I866" s="174"/>
      <c r="J866" s="174"/>
      <c r="K866" s="176"/>
      <c r="L866" s="175"/>
      <c r="M866" s="175"/>
      <c r="N866" s="175"/>
      <c r="O866" s="115"/>
      <c r="P866" s="115"/>
      <c r="Q866" s="116"/>
      <c r="R866" s="116"/>
      <c r="S866" s="117"/>
    </row>
    <row r="867" spans="1:23" s="146" customFormat="1" ht="18" customHeight="1">
      <c r="A867" s="1531" t="s">
        <v>242</v>
      </c>
      <c r="B867" s="1531"/>
      <c r="C867" s="1531"/>
      <c r="D867" s="1531"/>
      <c r="E867" s="1531"/>
      <c r="F867" s="1531"/>
      <c r="G867" s="174"/>
      <c r="H867" s="1531" t="s">
        <v>17</v>
      </c>
      <c r="I867" s="1531"/>
      <c r="J867" s="174"/>
      <c r="K867" s="1531" t="s">
        <v>1436</v>
      </c>
      <c r="L867" s="1531"/>
      <c r="M867" s="1531"/>
      <c r="N867" s="912"/>
      <c r="O867" s="115"/>
      <c r="P867" s="115"/>
      <c r="Q867" s="116"/>
      <c r="R867" s="116"/>
      <c r="S867" s="117"/>
    </row>
    <row r="868" spans="1:23" s="146" customFormat="1" ht="18" customHeight="1">
      <c r="A868" s="1520" t="s">
        <v>422</v>
      </c>
      <c r="B868" s="1520"/>
      <c r="C868" s="1520"/>
      <c r="D868" s="1520"/>
      <c r="E868" s="1520"/>
      <c r="F868" s="1520"/>
      <c r="G868" s="177"/>
      <c r="H868" s="1520" t="s">
        <v>18</v>
      </c>
      <c r="I868" s="1520"/>
      <c r="J868" s="912"/>
      <c r="K868" s="1520" t="s">
        <v>14</v>
      </c>
      <c r="L868" s="1520"/>
      <c r="M868" s="1520"/>
      <c r="N868" s="913"/>
      <c r="O868" s="115"/>
      <c r="P868" s="115"/>
      <c r="Q868" s="116"/>
      <c r="R868" s="116"/>
      <c r="S868" s="117"/>
    </row>
    <row r="869" spans="1:23" ht="18" customHeight="1">
      <c r="A869" s="111"/>
      <c r="B869" s="111"/>
      <c r="C869" s="910"/>
      <c r="D869" s="910"/>
      <c r="E869" s="1540"/>
      <c r="F869" s="1540"/>
      <c r="G869" s="1540"/>
      <c r="H869" s="910"/>
      <c r="I869" s="910"/>
      <c r="J869" s="910"/>
      <c r="K869" s="1540"/>
      <c r="L869" s="1540"/>
      <c r="M869" s="1540"/>
      <c r="N869" s="910"/>
    </row>
    <row r="870" spans="1:23" ht="18" customHeight="1">
      <c r="A870" s="111"/>
      <c r="B870" s="111"/>
      <c r="C870" s="910"/>
      <c r="D870" s="910"/>
      <c r="E870" s="910"/>
      <c r="F870" s="910"/>
      <c r="G870" s="910"/>
      <c r="H870" s="910"/>
      <c r="I870" s="910"/>
      <c r="J870" s="910"/>
      <c r="K870" s="910"/>
      <c r="L870" s="910"/>
      <c r="M870" s="910"/>
      <c r="N870" s="910"/>
    </row>
    <row r="871" spans="1:23" ht="18" customHeight="1">
      <c r="A871" s="111"/>
      <c r="B871" s="111"/>
      <c r="C871" s="910"/>
      <c r="D871" s="910"/>
      <c r="E871" s="910"/>
      <c r="F871" s="910"/>
      <c r="G871" s="910"/>
      <c r="H871" s="910"/>
      <c r="I871" s="910"/>
      <c r="J871" s="910"/>
      <c r="K871" s="910"/>
      <c r="L871" s="910"/>
      <c r="M871" s="910"/>
      <c r="N871" s="910"/>
    </row>
    <row r="872" spans="1:23" ht="18" customHeight="1">
      <c r="A872" s="111"/>
      <c r="B872" s="111"/>
      <c r="C872" s="910"/>
      <c r="D872" s="910"/>
      <c r="E872" s="910"/>
      <c r="F872" s="910"/>
      <c r="G872" s="910"/>
      <c r="H872" s="910"/>
      <c r="I872" s="910"/>
      <c r="J872" s="910"/>
      <c r="K872" s="910"/>
      <c r="L872" s="910"/>
      <c r="M872" s="910"/>
      <c r="N872" s="910"/>
    </row>
    <row r="873" spans="1:23" ht="18" customHeight="1">
      <c r="A873" s="111"/>
      <c r="B873" s="111"/>
      <c r="C873" s="910"/>
      <c r="D873" s="910"/>
      <c r="E873" s="910"/>
      <c r="F873" s="910"/>
      <c r="G873" s="910"/>
      <c r="H873" s="910"/>
      <c r="I873" s="910"/>
      <c r="J873" s="910"/>
      <c r="K873" s="910"/>
      <c r="L873" s="910"/>
      <c r="M873" s="910"/>
      <c r="N873" s="910"/>
    </row>
    <row r="874" spans="1:23" ht="18" customHeight="1">
      <c r="A874" s="111"/>
      <c r="B874" s="111"/>
      <c r="C874" s="910"/>
      <c r="D874" s="910"/>
      <c r="E874" s="910"/>
      <c r="F874" s="910"/>
      <c r="G874" s="910"/>
      <c r="H874" s="910"/>
      <c r="I874" s="910"/>
      <c r="J874" s="910"/>
      <c r="K874" s="910"/>
      <c r="L874" s="910"/>
      <c r="M874" s="910"/>
      <c r="N874" s="910"/>
    </row>
    <row r="875" spans="1:23" ht="18" customHeight="1">
      <c r="A875" s="111"/>
      <c r="B875" s="111"/>
      <c r="C875" s="910"/>
      <c r="D875" s="910"/>
      <c r="E875" s="910"/>
      <c r="F875" s="910"/>
      <c r="G875" s="910"/>
      <c r="H875" s="910"/>
      <c r="I875" s="910"/>
      <c r="J875" s="910"/>
      <c r="K875" s="910"/>
      <c r="L875" s="910"/>
      <c r="M875" s="910"/>
      <c r="N875" s="910"/>
    </row>
    <row r="876" spans="1:23" s="115" customFormat="1" ht="18" customHeight="1">
      <c r="A876" s="111"/>
      <c r="B876" s="111"/>
      <c r="C876" s="910"/>
      <c r="D876" s="910"/>
      <c r="E876" s="910"/>
      <c r="F876" s="910"/>
      <c r="G876" s="910"/>
      <c r="H876" s="910"/>
      <c r="I876" s="910"/>
      <c r="J876" s="910"/>
      <c r="K876" s="910"/>
      <c r="L876" s="910"/>
      <c r="M876" s="910"/>
      <c r="N876" s="910"/>
      <c r="Q876" s="116"/>
      <c r="R876" s="116"/>
      <c r="S876" s="117"/>
      <c r="T876" s="118"/>
      <c r="U876" s="118"/>
      <c r="V876" s="118"/>
      <c r="W876" s="118"/>
    </row>
    <row r="877" spans="1:23" s="115" customFormat="1" ht="18" customHeight="1">
      <c r="A877" s="111"/>
      <c r="B877" s="111"/>
      <c r="C877" s="910"/>
      <c r="D877" s="910"/>
      <c r="E877" s="910"/>
      <c r="F877" s="910"/>
      <c r="G877" s="910"/>
      <c r="H877" s="910"/>
      <c r="I877" s="910"/>
      <c r="J877" s="910"/>
      <c r="K877" s="910"/>
      <c r="L877" s="910"/>
      <c r="M877" s="910"/>
      <c r="N877" s="910"/>
      <c r="Q877" s="116"/>
      <c r="R877" s="116"/>
      <c r="S877" s="117"/>
      <c r="T877" s="118"/>
      <c r="U877" s="118"/>
      <c r="V877" s="118"/>
      <c r="W877" s="118"/>
    </row>
    <row r="878" spans="1:23" s="115" customFormat="1" ht="18" customHeight="1">
      <c r="A878" s="118"/>
      <c r="B878" s="118"/>
      <c r="C878" s="209"/>
      <c r="D878" s="209"/>
      <c r="E878" s="118"/>
      <c r="F878" s="118"/>
      <c r="G878" s="118"/>
      <c r="H878" s="118"/>
      <c r="I878" s="118"/>
      <c r="J878" s="118"/>
      <c r="K878" s="136"/>
      <c r="L878" s="113"/>
      <c r="M878" s="178"/>
      <c r="N878" s="178"/>
      <c r="Q878" s="116"/>
      <c r="R878" s="116"/>
      <c r="S878" s="117"/>
      <c r="T878" s="118"/>
      <c r="U878" s="118"/>
      <c r="V878" s="118"/>
      <c r="W878" s="118"/>
    </row>
    <row r="879" spans="1:23" s="115" customFormat="1" ht="20.100000000000001" customHeight="1">
      <c r="A879" s="1448" t="s">
        <v>961</v>
      </c>
      <c r="B879" s="1448"/>
      <c r="C879" s="1448"/>
      <c r="D879" s="1448"/>
      <c r="E879" s="1448"/>
      <c r="F879" s="1448"/>
      <c r="G879" s="1448"/>
      <c r="H879" s="1448"/>
      <c r="I879" s="1448"/>
      <c r="J879" s="1448"/>
      <c r="K879" s="1448"/>
      <c r="L879" s="1448"/>
      <c r="M879" s="1448"/>
      <c r="N879" s="918"/>
      <c r="Q879" s="116"/>
      <c r="R879" s="116"/>
      <c r="S879" s="117"/>
      <c r="T879" s="118"/>
      <c r="U879" s="118"/>
      <c r="V879" s="118"/>
      <c r="W879" s="118"/>
    </row>
    <row r="880" spans="1:23" s="115" customFormat="1" ht="18" customHeight="1">
      <c r="A880" s="110"/>
      <c r="B880" s="110"/>
      <c r="C880" s="917"/>
      <c r="D880" s="917"/>
      <c r="E880" s="111"/>
      <c r="F880" s="111"/>
      <c r="G880" s="111"/>
      <c r="H880" s="111"/>
      <c r="I880" s="111"/>
      <c r="J880" s="111"/>
      <c r="K880" s="112"/>
      <c r="L880" s="113"/>
      <c r="M880" s="114"/>
      <c r="N880" s="114"/>
      <c r="Q880" s="116"/>
      <c r="R880" s="116"/>
      <c r="S880" s="117"/>
      <c r="T880" s="118"/>
      <c r="U880" s="118"/>
      <c r="V880" s="118"/>
      <c r="W880" s="118"/>
    </row>
    <row r="881" spans="1:23" s="115" customFormat="1" ht="18" customHeight="1">
      <c r="A881" s="1538" t="s">
        <v>1663</v>
      </c>
      <c r="B881" s="1538"/>
      <c r="C881" s="1538"/>
      <c r="D881" s="1538"/>
      <c r="E881" s="1538"/>
      <c r="F881" s="1538"/>
      <c r="G881" s="1538"/>
      <c r="H881" s="1538"/>
      <c r="I881" s="1538"/>
      <c r="J881" s="1538"/>
      <c r="K881" s="1538"/>
      <c r="L881" s="1538"/>
      <c r="M881" s="1538"/>
      <c r="N881" s="908"/>
      <c r="Q881" s="116"/>
      <c r="R881" s="116"/>
      <c r="S881" s="117"/>
      <c r="T881" s="118"/>
      <c r="U881" s="118"/>
      <c r="V881" s="118"/>
      <c r="W881" s="118"/>
    </row>
    <row r="882" spans="1:23" s="115" customFormat="1" ht="18" customHeight="1">
      <c r="A882" s="1539" t="s">
        <v>351</v>
      </c>
      <c r="B882" s="1539"/>
      <c r="C882" s="1539"/>
      <c r="D882" s="1539"/>
      <c r="E882" s="1539"/>
      <c r="F882" s="1539"/>
      <c r="G882" s="1539"/>
      <c r="H882" s="1539"/>
      <c r="I882" s="1539"/>
      <c r="J882" s="1539"/>
      <c r="K882" s="1539"/>
      <c r="L882" s="1539"/>
      <c r="M882" s="1539"/>
      <c r="N882" s="909"/>
      <c r="Q882" s="116"/>
      <c r="R882" s="116"/>
      <c r="S882" s="117"/>
      <c r="T882" s="118"/>
      <c r="U882" s="118"/>
      <c r="V882" s="118"/>
      <c r="W882" s="118"/>
    </row>
    <row r="883" spans="1:23" s="115" customFormat="1" ht="18" customHeight="1">
      <c r="A883" s="1540"/>
      <c r="B883" s="1540"/>
      <c r="C883" s="1540"/>
      <c r="D883" s="1540"/>
      <c r="E883" s="1540"/>
      <c r="F883" s="1540"/>
      <c r="G883" s="1540"/>
      <c r="H883" s="1540"/>
      <c r="I883" s="1540"/>
      <c r="J883" s="1540"/>
      <c r="K883" s="1540"/>
      <c r="L883" s="1540"/>
      <c r="M883" s="1540"/>
      <c r="N883" s="910"/>
      <c r="Q883" s="116"/>
      <c r="R883" s="116"/>
      <c r="S883" s="117"/>
      <c r="T883" s="118"/>
      <c r="U883" s="118"/>
      <c r="V883" s="118"/>
      <c r="W883" s="118"/>
    </row>
    <row r="884" spans="1:23" s="115" customFormat="1" ht="18" customHeight="1">
      <c r="A884" s="910"/>
      <c r="B884" s="910"/>
      <c r="C884" s="910"/>
      <c r="D884" s="910"/>
      <c r="E884" s="910"/>
      <c r="F884" s="910"/>
      <c r="G884" s="910"/>
      <c r="H884" s="910"/>
      <c r="I884" s="910"/>
      <c r="J884" s="910"/>
      <c r="K884" s="910"/>
      <c r="L884" s="910"/>
      <c r="M884" s="910"/>
      <c r="N884" s="910"/>
      <c r="Q884" s="116"/>
      <c r="R884" s="116"/>
      <c r="S884" s="117"/>
      <c r="T884" s="118"/>
      <c r="U884" s="118"/>
      <c r="V884" s="118"/>
      <c r="W884" s="118"/>
    </row>
    <row r="885" spans="1:23" s="115" customFormat="1" ht="18" customHeight="1">
      <c r="A885" s="111" t="s">
        <v>441</v>
      </c>
      <c r="B885" s="111"/>
      <c r="C885" s="111" t="s">
        <v>439</v>
      </c>
      <c r="D885" s="111" t="s">
        <v>312</v>
      </c>
      <c r="E885" s="111"/>
      <c r="F885" s="111"/>
      <c r="G885" s="111"/>
      <c r="H885" s="111"/>
      <c r="I885" s="910"/>
      <c r="J885" s="910"/>
      <c r="K885" s="910"/>
      <c r="L885" s="910"/>
      <c r="M885" s="910"/>
      <c r="N885" s="910"/>
      <c r="Q885" s="116"/>
      <c r="R885" s="116"/>
      <c r="S885" s="117"/>
      <c r="T885" s="118"/>
      <c r="U885" s="118"/>
      <c r="V885" s="118"/>
      <c r="W885" s="118"/>
    </row>
    <row r="886" spans="1:23" s="115" customFormat="1" ht="18" customHeight="1">
      <c r="A886" s="111" t="s">
        <v>449</v>
      </c>
      <c r="B886" s="111"/>
      <c r="C886" s="111" t="s">
        <v>439</v>
      </c>
      <c r="D886" s="111" t="s">
        <v>463</v>
      </c>
      <c r="E886" s="111"/>
      <c r="F886" s="111"/>
      <c r="G886" s="111"/>
      <c r="H886" s="111"/>
      <c r="I886" s="910"/>
      <c r="J886" s="910"/>
      <c r="K886" s="910"/>
      <c r="L886" s="910"/>
      <c r="M886" s="910"/>
      <c r="N886" s="910"/>
      <c r="O886" s="180"/>
      <c r="Q886" s="116"/>
      <c r="R886" s="116"/>
      <c r="S886" s="117"/>
      <c r="T886" s="118"/>
      <c r="U886" s="118"/>
      <c r="V886" s="118"/>
      <c r="W886" s="118"/>
    </row>
    <row r="887" spans="1:23" s="115" customFormat="1" ht="18" customHeight="1" thickBot="1">
      <c r="A887" s="111" t="s">
        <v>456</v>
      </c>
      <c r="B887" s="111"/>
      <c r="C887" s="111" t="s">
        <v>439</v>
      </c>
      <c r="D887" s="111" t="s">
        <v>665</v>
      </c>
      <c r="E887" s="111"/>
      <c r="F887" s="111"/>
      <c r="G887" s="111"/>
      <c r="H887" s="111"/>
      <c r="I887" s="910"/>
      <c r="J887" s="910"/>
      <c r="K887" s="910"/>
      <c r="L887" s="910"/>
      <c r="M887" s="910"/>
      <c r="N887" s="910"/>
      <c r="O887" s="180"/>
      <c r="Q887" s="116"/>
      <c r="R887" s="116"/>
      <c r="S887" s="117"/>
      <c r="T887" s="118"/>
      <c r="U887" s="118"/>
      <c r="V887" s="118"/>
      <c r="W887" s="118"/>
    </row>
    <row r="888" spans="1:23" s="115" customFormat="1" ht="18" customHeight="1">
      <c r="A888" s="1532" t="s">
        <v>619</v>
      </c>
      <c r="B888" s="1533"/>
      <c r="C888" s="1533"/>
      <c r="D888" s="1533"/>
      <c r="E888" s="1534"/>
      <c r="F888" s="1533"/>
      <c r="G888" s="1535"/>
      <c r="H888" s="121"/>
      <c r="I888" s="1536" t="s">
        <v>623</v>
      </c>
      <c r="J888" s="1537"/>
      <c r="K888" s="1536" t="s">
        <v>623</v>
      </c>
      <c r="L888" s="1537"/>
      <c r="M888" s="122"/>
      <c r="N888" s="876"/>
      <c r="O888" s="180"/>
      <c r="Q888" s="116"/>
      <c r="R888" s="116"/>
      <c r="S888" s="117"/>
      <c r="T888" s="118"/>
      <c r="U888" s="118"/>
      <c r="V888" s="118"/>
      <c r="W888" s="118"/>
    </row>
    <row r="889" spans="1:23" s="115" customFormat="1" ht="18" customHeight="1">
      <c r="A889" s="123" t="s">
        <v>620</v>
      </c>
      <c r="B889" s="1544" t="s">
        <v>621</v>
      </c>
      <c r="C889" s="1545"/>
      <c r="D889" s="1546"/>
      <c r="E889" s="1547" t="s">
        <v>43</v>
      </c>
      <c r="F889" s="1548"/>
      <c r="G889" s="1549"/>
      <c r="H889" s="914" t="s">
        <v>44</v>
      </c>
      <c r="I889" s="1547" t="s">
        <v>1613</v>
      </c>
      <c r="J889" s="1549"/>
      <c r="K889" s="1548" t="s">
        <v>1660</v>
      </c>
      <c r="L889" s="1549"/>
      <c r="M889" s="124" t="s">
        <v>45</v>
      </c>
      <c r="N889" s="877"/>
      <c r="Q889" s="116"/>
      <c r="R889" s="116"/>
      <c r="S889" s="117"/>
      <c r="T889" s="118"/>
      <c r="U889" s="118"/>
      <c r="V889" s="118"/>
      <c r="W889" s="118"/>
    </row>
    <row r="890" spans="1:23" ht="18" customHeight="1">
      <c r="A890" s="125"/>
      <c r="B890" s="914"/>
      <c r="C890" s="915"/>
      <c r="D890" s="915"/>
      <c r="E890" s="914"/>
      <c r="F890" s="915"/>
      <c r="G890" s="916"/>
      <c r="H890" s="914" t="s">
        <v>46</v>
      </c>
      <c r="I890" s="1550"/>
      <c r="J890" s="1551"/>
      <c r="K890" s="1550"/>
      <c r="L890" s="1551"/>
      <c r="M890" s="124" t="s">
        <v>47</v>
      </c>
      <c r="N890" s="877"/>
    </row>
    <row r="891" spans="1:23" ht="18" customHeight="1">
      <c r="A891" s="125"/>
      <c r="B891" s="914"/>
      <c r="C891" s="915"/>
      <c r="D891" s="915"/>
      <c r="E891" s="914"/>
      <c r="F891" s="915"/>
      <c r="G891" s="126"/>
      <c r="H891" s="127"/>
      <c r="I891" s="128" t="s">
        <v>622</v>
      </c>
      <c r="J891" s="129" t="s">
        <v>48</v>
      </c>
      <c r="K891" s="128" t="s">
        <v>622</v>
      </c>
      <c r="L891" s="129" t="s">
        <v>48</v>
      </c>
      <c r="M891" s="124"/>
      <c r="N891" s="120"/>
    </row>
    <row r="892" spans="1:23" ht="18" customHeight="1" thickBot="1">
      <c r="A892" s="130"/>
      <c r="B892" s="1541"/>
      <c r="C892" s="1542"/>
      <c r="D892" s="1543"/>
      <c r="E892" s="1541"/>
      <c r="F892" s="1542"/>
      <c r="G892" s="1543"/>
      <c r="H892" s="131"/>
      <c r="I892" s="131"/>
      <c r="J892" s="131"/>
      <c r="K892" s="131"/>
      <c r="L892" s="131"/>
      <c r="M892" s="132"/>
      <c r="N892" s="883"/>
    </row>
    <row r="893" spans="1:23" ht="18" customHeight="1">
      <c r="A893" s="181"/>
      <c r="B893" s="119"/>
      <c r="C893" s="119"/>
      <c r="D893" s="119"/>
      <c r="E893" s="133"/>
      <c r="F893" s="119"/>
      <c r="G893" s="134"/>
      <c r="H893" s="135"/>
      <c r="I893" s="182"/>
      <c r="J893" s="137"/>
      <c r="K893" s="182"/>
      <c r="L893" s="137"/>
      <c r="M893" s="137"/>
      <c r="N893" s="880"/>
    </row>
    <row r="894" spans="1:23" s="146" customFormat="1" ht="18" customHeight="1">
      <c r="A894" s="183">
        <v>1</v>
      </c>
      <c r="B894" s="920"/>
      <c r="C894" s="920"/>
      <c r="D894" s="920"/>
      <c r="E894" s="154" t="s">
        <v>76</v>
      </c>
      <c r="F894" s="920"/>
      <c r="G894" s="140"/>
      <c r="H894" s="141" t="s">
        <v>424</v>
      </c>
      <c r="I894" s="184" t="s">
        <v>867</v>
      </c>
      <c r="J894" s="143">
        <v>946668</v>
      </c>
      <c r="K894" s="184" t="s">
        <v>66</v>
      </c>
      <c r="L894" s="143">
        <v>918792</v>
      </c>
      <c r="M894" s="144">
        <f>L894-J894</f>
        <v>-27876</v>
      </c>
      <c r="N894" s="879"/>
      <c r="O894" s="115">
        <v>935796</v>
      </c>
      <c r="P894" s="115"/>
      <c r="Q894" s="116"/>
      <c r="R894" s="116"/>
      <c r="S894" s="145"/>
    </row>
    <row r="895" spans="1:23" s="146" customFormat="1" ht="18" customHeight="1">
      <c r="A895" s="183"/>
      <c r="B895" s="920"/>
      <c r="C895" s="920"/>
      <c r="D895" s="920"/>
      <c r="E895" s="154" t="s">
        <v>879</v>
      </c>
      <c r="F895" s="920"/>
      <c r="G895" s="140"/>
      <c r="H895" s="141"/>
      <c r="I895" s="184"/>
      <c r="J895" s="143"/>
      <c r="K895" s="184"/>
      <c r="L895" s="143"/>
      <c r="M895" s="144"/>
      <c r="N895" s="879"/>
      <c r="O895" s="115"/>
      <c r="P895" s="115"/>
      <c r="Q895" s="116"/>
      <c r="R895" s="116"/>
      <c r="S895" s="145"/>
    </row>
    <row r="896" spans="1:23" s="146" customFormat="1" ht="18" customHeight="1">
      <c r="A896" s="183"/>
      <c r="B896" s="920"/>
      <c r="C896" s="920"/>
      <c r="D896" s="920"/>
      <c r="E896" s="154"/>
      <c r="F896" s="920"/>
      <c r="G896" s="140"/>
      <c r="H896" s="141"/>
      <c r="I896" s="184"/>
      <c r="J896" s="143"/>
      <c r="K896" s="184"/>
      <c r="L896" s="143"/>
      <c r="M896" s="144"/>
      <c r="N896" s="879"/>
      <c r="O896" s="115"/>
      <c r="P896" s="115"/>
      <c r="Q896" s="116"/>
      <c r="R896" s="116"/>
      <c r="S896" s="145"/>
    </row>
    <row r="897" spans="1:19" s="146" customFormat="1" ht="18" customHeight="1">
      <c r="A897" s="183"/>
      <c r="B897" s="957"/>
      <c r="C897" s="957"/>
      <c r="D897" s="957"/>
      <c r="E897" s="154"/>
      <c r="F897" s="957"/>
      <c r="G897" s="140"/>
      <c r="H897" s="141"/>
      <c r="I897" s="184"/>
      <c r="J897" s="143"/>
      <c r="K897" s="184"/>
      <c r="L897" s="143"/>
      <c r="M897" s="144"/>
      <c r="N897" s="879"/>
      <c r="O897" s="115"/>
      <c r="P897" s="115"/>
      <c r="Q897" s="116"/>
      <c r="R897" s="116"/>
      <c r="S897" s="145"/>
    </row>
    <row r="898" spans="1:19" s="146" customFormat="1" ht="18" customHeight="1">
      <c r="A898" s="183"/>
      <c r="B898" s="920"/>
      <c r="C898" s="920"/>
      <c r="D898" s="920"/>
      <c r="E898" s="154"/>
      <c r="F898" s="920"/>
      <c r="G898" s="140"/>
      <c r="H898" s="141"/>
      <c r="I898" s="185"/>
      <c r="J898" s="149"/>
      <c r="K898" s="185"/>
      <c r="L898" s="149"/>
      <c r="M898" s="144"/>
      <c r="N898" s="879"/>
      <c r="O898" s="115"/>
      <c r="P898" s="115"/>
      <c r="Q898" s="116"/>
      <c r="R898" s="116"/>
      <c r="S898" s="117"/>
    </row>
    <row r="899" spans="1:19" s="146" customFormat="1" ht="18" customHeight="1">
      <c r="A899" s="183">
        <v>2</v>
      </c>
      <c r="B899" s="920"/>
      <c r="C899" s="920"/>
      <c r="D899" s="920"/>
      <c r="E899" s="919" t="s">
        <v>945</v>
      </c>
      <c r="F899" s="920"/>
      <c r="G899" s="140"/>
      <c r="H899" s="141" t="s">
        <v>102</v>
      </c>
      <c r="I899" s="205" t="s">
        <v>426</v>
      </c>
      <c r="J899" s="143">
        <v>361848</v>
      </c>
      <c r="K899" s="205" t="s">
        <v>52</v>
      </c>
      <c r="L899" s="143">
        <v>373512</v>
      </c>
      <c r="M899" s="144">
        <f>L899-J899</f>
        <v>11664</v>
      </c>
      <c r="N899" s="879"/>
      <c r="O899" s="115">
        <f>M899+L899</f>
        <v>385176</v>
      </c>
      <c r="P899" s="115"/>
      <c r="Q899" s="116"/>
      <c r="R899" s="116"/>
      <c r="S899" s="117"/>
    </row>
    <row r="900" spans="1:19" s="146" customFormat="1" ht="18" customHeight="1">
      <c r="A900" s="183"/>
      <c r="B900" s="957"/>
      <c r="C900" s="957"/>
      <c r="D900" s="957"/>
      <c r="E900" s="154"/>
      <c r="F900" s="957"/>
      <c r="G900" s="140"/>
      <c r="H900" s="141"/>
      <c r="I900" s="185"/>
      <c r="J900" s="149"/>
      <c r="K900" s="185"/>
      <c r="L900" s="149"/>
      <c r="M900" s="144"/>
      <c r="N900" s="879"/>
      <c r="O900" s="115"/>
      <c r="P900" s="115"/>
      <c r="Q900" s="116"/>
      <c r="R900" s="116"/>
      <c r="S900" s="117"/>
    </row>
    <row r="901" spans="1:19" s="146" customFormat="1" ht="18" customHeight="1">
      <c r="A901" s="183"/>
      <c r="B901" s="957"/>
      <c r="C901" s="957"/>
      <c r="D901" s="957"/>
      <c r="E901" s="154"/>
      <c r="F901" s="957"/>
      <c r="G901" s="140"/>
      <c r="H901" s="141"/>
      <c r="I901" s="185"/>
      <c r="J901" s="149"/>
      <c r="K901" s="185"/>
      <c r="L901" s="149"/>
      <c r="M901" s="144"/>
      <c r="N901" s="879"/>
      <c r="O901" s="115"/>
      <c r="P901" s="115"/>
      <c r="Q901" s="116"/>
      <c r="R901" s="116"/>
      <c r="S901" s="117"/>
    </row>
    <row r="902" spans="1:19" s="146" customFormat="1" ht="18" customHeight="1">
      <c r="A902" s="183"/>
      <c r="B902" s="957"/>
      <c r="C902" s="957"/>
      <c r="D902" s="957"/>
      <c r="E902" s="154"/>
      <c r="F902" s="957"/>
      <c r="G902" s="140"/>
      <c r="H902" s="141"/>
      <c r="I902" s="185"/>
      <c r="J902" s="149"/>
      <c r="K902" s="185"/>
      <c r="L902" s="149"/>
      <c r="M902" s="144"/>
      <c r="N902" s="879"/>
      <c r="O902" s="115"/>
      <c r="P902" s="115"/>
      <c r="Q902" s="116"/>
      <c r="R902" s="116"/>
      <c r="S902" s="117"/>
    </row>
    <row r="903" spans="1:19" s="146" customFormat="1" ht="18" customHeight="1">
      <c r="A903" s="183">
        <v>3</v>
      </c>
      <c r="B903" s="920"/>
      <c r="C903" s="920"/>
      <c r="D903" s="920"/>
      <c r="E903" s="154" t="s">
        <v>110</v>
      </c>
      <c r="F903" s="920"/>
      <c r="G903" s="140"/>
      <c r="H903" s="141" t="s">
        <v>111</v>
      </c>
      <c r="I903" s="184" t="s">
        <v>1441</v>
      </c>
      <c r="J903" s="143">
        <v>235968</v>
      </c>
      <c r="K903" s="184" t="s">
        <v>1441</v>
      </c>
      <c r="L903" s="143">
        <v>246444</v>
      </c>
      <c r="M903" s="144">
        <f>L903-J903</f>
        <v>10476</v>
      </c>
      <c r="N903" s="879"/>
      <c r="O903" s="115">
        <f>L904+M903+M904</f>
        <v>259672</v>
      </c>
      <c r="P903" s="115"/>
      <c r="Q903" s="116"/>
      <c r="R903" s="116"/>
      <c r="S903" s="145"/>
    </row>
    <row r="904" spans="1:19" s="146" customFormat="1" ht="18" customHeight="1">
      <c r="A904" s="183"/>
      <c r="B904" s="920"/>
      <c r="C904" s="920"/>
      <c r="D904" s="920"/>
      <c r="E904" s="154"/>
      <c r="F904" s="920"/>
      <c r="G904" s="140"/>
      <c r="H904" s="141"/>
      <c r="I904" s="184"/>
      <c r="J904" s="149"/>
      <c r="K904" s="184" t="s">
        <v>1672</v>
      </c>
      <c r="L904" s="143">
        <v>248508</v>
      </c>
      <c r="M904" s="144">
        <v>688</v>
      </c>
      <c r="N904" s="879">
        <f>(L904-L903)*4/12</f>
        <v>688</v>
      </c>
      <c r="O904" s="115"/>
      <c r="P904" s="115"/>
      <c r="Q904" s="116"/>
      <c r="R904" s="116"/>
      <c r="S904" s="145"/>
    </row>
    <row r="905" spans="1:19" s="146" customFormat="1" ht="18" customHeight="1">
      <c r="A905" s="183"/>
      <c r="B905" s="920"/>
      <c r="C905" s="920"/>
      <c r="D905" s="920"/>
      <c r="E905" s="154"/>
      <c r="F905" s="920"/>
      <c r="G905" s="140"/>
      <c r="H905" s="141"/>
      <c r="I905" s="184"/>
      <c r="J905" s="149"/>
      <c r="K905" s="184"/>
      <c r="L905" s="149">
        <v>45185</v>
      </c>
      <c r="M905" s="144"/>
      <c r="N905" s="879"/>
      <c r="O905" s="115"/>
      <c r="P905" s="115"/>
      <c r="Q905" s="116"/>
      <c r="R905" s="116"/>
      <c r="S905" s="145"/>
    </row>
    <row r="906" spans="1:19" s="146" customFormat="1" ht="18" customHeight="1">
      <c r="A906" s="183"/>
      <c r="B906" s="957"/>
      <c r="C906" s="957"/>
      <c r="D906" s="957"/>
      <c r="E906" s="154"/>
      <c r="F906" s="957"/>
      <c r="G906" s="140"/>
      <c r="H906" s="141"/>
      <c r="I906" s="184"/>
      <c r="J906" s="149"/>
      <c r="K906" s="184"/>
      <c r="L906" s="149"/>
      <c r="M906" s="144"/>
      <c r="N906" s="879"/>
      <c r="O906" s="115"/>
      <c r="P906" s="115"/>
      <c r="Q906" s="116"/>
      <c r="R906" s="116"/>
      <c r="S906" s="145"/>
    </row>
    <row r="907" spans="1:19" s="146" customFormat="1" ht="18" customHeight="1">
      <c r="A907" s="183">
        <v>4</v>
      </c>
      <c r="B907" s="920"/>
      <c r="C907" s="920"/>
      <c r="D907" s="920"/>
      <c r="E907" s="154" t="s">
        <v>110</v>
      </c>
      <c r="F907" s="920"/>
      <c r="G907" s="140"/>
      <c r="H907" s="141" t="s">
        <v>416</v>
      </c>
      <c r="I907" s="184" t="s">
        <v>920</v>
      </c>
      <c r="J907" s="143">
        <v>230148</v>
      </c>
      <c r="K907" s="184" t="s">
        <v>920</v>
      </c>
      <c r="L907" s="143">
        <v>240360</v>
      </c>
      <c r="M907" s="144">
        <f>L907-J907</f>
        <v>10212</v>
      </c>
      <c r="N907" s="879"/>
      <c r="O907" s="115">
        <f>M907+L907</f>
        <v>250572</v>
      </c>
      <c r="P907" s="115"/>
      <c r="Q907" s="116"/>
      <c r="R907" s="116"/>
      <c r="S907" s="145"/>
    </row>
    <row r="908" spans="1:19" s="146" customFormat="1" ht="18" customHeight="1">
      <c r="A908" s="183"/>
      <c r="B908" s="957"/>
      <c r="C908" s="957"/>
      <c r="D908" s="957"/>
      <c r="E908" s="154"/>
      <c r="F908" s="957"/>
      <c r="G908" s="140"/>
      <c r="H908" s="141"/>
      <c r="I908" s="184"/>
      <c r="J908" s="143"/>
      <c r="K908" s="184"/>
      <c r="L908" s="143"/>
      <c r="M908" s="144"/>
      <c r="N908" s="879"/>
      <c r="O908" s="115"/>
      <c r="P908" s="115"/>
      <c r="Q908" s="116"/>
      <c r="R908" s="116"/>
      <c r="S908" s="145"/>
    </row>
    <row r="909" spans="1:19" s="146" customFormat="1" ht="18" customHeight="1">
      <c r="A909" s="183"/>
      <c r="B909" s="920"/>
      <c r="C909" s="920"/>
      <c r="D909" s="920"/>
      <c r="E909" s="154"/>
      <c r="F909" s="920"/>
      <c r="G909" s="140"/>
      <c r="H909" s="141"/>
      <c r="I909" s="184"/>
      <c r="J909" s="143"/>
      <c r="K909" s="184"/>
      <c r="L909" s="143"/>
      <c r="M909" s="144"/>
      <c r="N909" s="879"/>
      <c r="O909" s="115"/>
      <c r="P909" s="115"/>
      <c r="Q909" s="116"/>
      <c r="R909" s="116"/>
      <c r="S909" s="145"/>
    </row>
    <row r="910" spans="1:19" s="146" customFormat="1" ht="18" customHeight="1">
      <c r="A910" s="183"/>
      <c r="B910" s="920"/>
      <c r="C910" s="920"/>
      <c r="D910" s="920"/>
      <c r="E910" s="154"/>
      <c r="F910" s="920"/>
      <c r="G910" s="140"/>
      <c r="H910" s="141"/>
      <c r="I910" s="185"/>
      <c r="J910" s="143"/>
      <c r="K910" s="185"/>
      <c r="L910" s="143"/>
      <c r="M910" s="144"/>
      <c r="N910" s="879"/>
      <c r="O910" s="115"/>
      <c r="P910" s="115"/>
      <c r="Q910" s="116"/>
      <c r="R910" s="116"/>
      <c r="S910" s="117"/>
    </row>
    <row r="911" spans="1:19" s="146" customFormat="1" ht="18" customHeight="1">
      <c r="A911" s="183">
        <v>5</v>
      </c>
      <c r="B911" s="920"/>
      <c r="C911" s="920"/>
      <c r="D911" s="920"/>
      <c r="E911" s="154" t="s">
        <v>110</v>
      </c>
      <c r="F911" s="920"/>
      <c r="G911" s="140"/>
      <c r="H911" s="141" t="s">
        <v>940</v>
      </c>
      <c r="I911" s="184" t="s">
        <v>386</v>
      </c>
      <c r="J911" s="143">
        <v>228240</v>
      </c>
      <c r="K911" s="184" t="s">
        <v>386</v>
      </c>
      <c r="L911" s="143">
        <v>238380</v>
      </c>
      <c r="M911" s="144">
        <f>L911-J911</f>
        <v>10140</v>
      </c>
      <c r="N911" s="879"/>
      <c r="O911" s="115">
        <f>M911+L911</f>
        <v>248520</v>
      </c>
      <c r="P911" s="115"/>
      <c r="Q911" s="116"/>
      <c r="R911" s="116"/>
      <c r="S911" s="145"/>
    </row>
    <row r="912" spans="1:19" s="146" customFormat="1" ht="18" customHeight="1">
      <c r="A912" s="183"/>
      <c r="B912" s="920"/>
      <c r="C912" s="920"/>
      <c r="D912" s="920"/>
      <c r="E912" s="154"/>
      <c r="F912" s="920"/>
      <c r="G912" s="140"/>
      <c r="H912" s="141"/>
      <c r="I912" s="184"/>
      <c r="J912" s="143"/>
      <c r="K912" s="184"/>
      <c r="L912" s="143"/>
      <c r="M912" s="144"/>
      <c r="N912" s="879"/>
      <c r="O912" s="115"/>
      <c r="P912" s="115"/>
      <c r="Q912" s="116"/>
      <c r="R912" s="116"/>
      <c r="S912" s="145"/>
    </row>
    <row r="913" spans="1:19" s="146" customFormat="1" ht="18" customHeight="1">
      <c r="A913" s="183"/>
      <c r="B913" s="920"/>
      <c r="C913" s="920"/>
      <c r="D913" s="920"/>
      <c r="E913" s="154"/>
      <c r="F913" s="920"/>
      <c r="G913" s="140"/>
      <c r="H913" s="141"/>
      <c r="I913" s="184"/>
      <c r="J913" s="143"/>
      <c r="K913" s="184"/>
      <c r="L913" s="143"/>
      <c r="M913" s="144"/>
      <c r="N913" s="879"/>
      <c r="O913" s="115"/>
      <c r="P913" s="115"/>
      <c r="Q913" s="116"/>
      <c r="R913" s="116"/>
      <c r="S913" s="145"/>
    </row>
    <row r="914" spans="1:19" s="146" customFormat="1" ht="18" customHeight="1">
      <c r="A914" s="183"/>
      <c r="B914" s="920"/>
      <c r="C914" s="920"/>
      <c r="D914" s="920"/>
      <c r="E914" s="154"/>
      <c r="F914" s="920"/>
      <c r="G914" s="140"/>
      <c r="H914" s="141"/>
      <c r="I914" s="185"/>
      <c r="J914" s="143"/>
      <c r="K914" s="185"/>
      <c r="L914" s="143"/>
      <c r="M914" s="144"/>
      <c r="N914" s="879"/>
      <c r="O914" s="115"/>
      <c r="P914" s="115"/>
      <c r="Q914" s="116"/>
      <c r="R914" s="116"/>
      <c r="S914" s="117"/>
    </row>
    <row r="915" spans="1:19" s="146" customFormat="1" ht="18" customHeight="1">
      <c r="A915" s="183">
        <v>6</v>
      </c>
      <c r="B915" s="920"/>
      <c r="C915" s="920"/>
      <c r="D915" s="920"/>
      <c r="E915" s="154" t="s">
        <v>110</v>
      </c>
      <c r="F915" s="920"/>
      <c r="G915" s="140"/>
      <c r="H915" s="141" t="s">
        <v>417</v>
      </c>
      <c r="I915" s="184" t="s">
        <v>920</v>
      </c>
      <c r="J915" s="143">
        <v>230148</v>
      </c>
      <c r="K915" s="184" t="s">
        <v>920</v>
      </c>
      <c r="L915" s="143">
        <v>240360</v>
      </c>
      <c r="M915" s="144">
        <f>L915-J915</f>
        <v>10212</v>
      </c>
      <c r="N915" s="879"/>
      <c r="O915" s="115">
        <f>M915+L915</f>
        <v>250572</v>
      </c>
      <c r="P915" s="115"/>
      <c r="Q915" s="116"/>
      <c r="R915" s="116"/>
      <c r="S915" s="145"/>
    </row>
    <row r="916" spans="1:19" s="146" customFormat="1" ht="18" customHeight="1">
      <c r="A916" s="183"/>
      <c r="B916" s="920"/>
      <c r="C916" s="920"/>
      <c r="D916" s="920"/>
      <c r="E916" s="154"/>
      <c r="F916" s="920"/>
      <c r="G916" s="140"/>
      <c r="H916" s="141"/>
      <c r="I916" s="184"/>
      <c r="J916" s="143"/>
      <c r="K916" s="184"/>
      <c r="L916" s="143"/>
      <c r="M916" s="144"/>
      <c r="N916" s="879"/>
      <c r="O916" s="115"/>
      <c r="P916" s="115"/>
      <c r="Q916" s="116"/>
      <c r="R916" s="116"/>
      <c r="S916" s="145"/>
    </row>
    <row r="917" spans="1:19" s="146" customFormat="1" ht="18" customHeight="1">
      <c r="A917" s="183"/>
      <c r="B917" s="920"/>
      <c r="C917" s="920"/>
      <c r="D917" s="920"/>
      <c r="E917" s="154"/>
      <c r="F917" s="920"/>
      <c r="G917" s="140"/>
      <c r="H917" s="141"/>
      <c r="I917" s="184"/>
      <c r="J917" s="143"/>
      <c r="K917" s="184"/>
      <c r="L917" s="143"/>
      <c r="M917" s="144"/>
      <c r="N917" s="879"/>
      <c r="O917" s="115"/>
      <c r="P917" s="115"/>
      <c r="Q917" s="116"/>
      <c r="R917" s="116"/>
      <c r="S917" s="145"/>
    </row>
    <row r="918" spans="1:19" s="146" customFormat="1" ht="18" customHeight="1">
      <c r="A918" s="183"/>
      <c r="B918" s="920"/>
      <c r="C918" s="920"/>
      <c r="D918" s="920"/>
      <c r="E918" s="154"/>
      <c r="F918" s="920"/>
      <c r="G918" s="140"/>
      <c r="H918" s="141"/>
      <c r="I918" s="185"/>
      <c r="J918" s="143"/>
      <c r="K918" s="185"/>
      <c r="L918" s="143"/>
      <c r="M918" s="144"/>
      <c r="N918" s="879"/>
      <c r="O918" s="115"/>
      <c r="P918" s="115"/>
      <c r="Q918" s="116"/>
      <c r="R918" s="116"/>
      <c r="S918" s="117"/>
    </row>
    <row r="919" spans="1:19" s="146" customFormat="1" ht="18" customHeight="1">
      <c r="A919" s="183">
        <v>7</v>
      </c>
      <c r="B919" s="920"/>
      <c r="C919" s="920"/>
      <c r="D919" s="920"/>
      <c r="E919" s="154" t="s">
        <v>110</v>
      </c>
      <c r="F919" s="920"/>
      <c r="G919" s="140"/>
      <c r="H919" s="141" t="s">
        <v>1489</v>
      </c>
      <c r="I919" s="184" t="s">
        <v>137</v>
      </c>
      <c r="J919" s="143">
        <v>226344</v>
      </c>
      <c r="K919" s="184" t="s">
        <v>137</v>
      </c>
      <c r="L919" s="143">
        <v>236400</v>
      </c>
      <c r="M919" s="144">
        <f>L919-J919</f>
        <v>10056</v>
      </c>
      <c r="N919" s="879"/>
      <c r="O919" s="115">
        <f>L920+M919+M920</f>
        <v>250251</v>
      </c>
      <c r="P919" s="115"/>
      <c r="Q919" s="116"/>
      <c r="R919" s="116"/>
      <c r="S919" s="145"/>
    </row>
    <row r="920" spans="1:19" s="146" customFormat="1" ht="18" customHeight="1">
      <c r="A920" s="183"/>
      <c r="B920" s="920"/>
      <c r="C920" s="920"/>
      <c r="D920" s="920"/>
      <c r="E920" s="154"/>
      <c r="F920" s="920"/>
      <c r="G920" s="140"/>
      <c r="H920" s="141"/>
      <c r="I920" s="184"/>
      <c r="J920" s="143"/>
      <c r="K920" s="184" t="s">
        <v>386</v>
      </c>
      <c r="L920" s="143">
        <v>238380</v>
      </c>
      <c r="M920" s="144">
        <v>1815</v>
      </c>
      <c r="N920" s="879"/>
      <c r="O920" s="115"/>
      <c r="P920" s="115"/>
      <c r="Q920" s="116"/>
      <c r="R920" s="116"/>
      <c r="S920" s="117"/>
    </row>
    <row r="921" spans="1:19" s="146" customFormat="1" ht="18" customHeight="1">
      <c r="A921" s="183"/>
      <c r="B921" s="920"/>
      <c r="C921" s="920"/>
      <c r="D921" s="920"/>
      <c r="E921" s="154"/>
      <c r="F921" s="920"/>
      <c r="G921" s="140"/>
      <c r="H921" s="141"/>
      <c r="I921" s="184"/>
      <c r="J921" s="143"/>
      <c r="K921" s="184"/>
      <c r="L921" s="149">
        <v>44962</v>
      </c>
      <c r="M921" s="144"/>
      <c r="N921" s="879"/>
      <c r="O921" s="115"/>
      <c r="P921" s="115"/>
      <c r="Q921" s="116"/>
      <c r="R921" s="116"/>
      <c r="S921" s="117"/>
    </row>
    <row r="922" spans="1:19" s="146" customFormat="1" ht="18" customHeight="1">
      <c r="A922" s="183"/>
      <c r="B922" s="920"/>
      <c r="C922" s="920"/>
      <c r="D922" s="920"/>
      <c r="E922" s="154"/>
      <c r="F922" s="920"/>
      <c r="G922" s="140"/>
      <c r="H922" s="141"/>
      <c r="I922" s="185"/>
      <c r="J922" s="143"/>
      <c r="K922" s="185"/>
      <c r="L922" s="143"/>
      <c r="M922" s="144"/>
      <c r="N922" s="879"/>
      <c r="O922" s="115"/>
      <c r="P922" s="115"/>
      <c r="Q922" s="116"/>
      <c r="R922" s="116"/>
      <c r="S922" s="117"/>
    </row>
    <row r="923" spans="1:19" s="146" customFormat="1" ht="18" customHeight="1">
      <c r="A923" s="183">
        <v>8</v>
      </c>
      <c r="B923" s="920"/>
      <c r="C923" s="920"/>
      <c r="D923" s="920"/>
      <c r="E923" s="154" t="s">
        <v>110</v>
      </c>
      <c r="F923" s="920"/>
      <c r="G923" s="140"/>
      <c r="H923" s="141" t="s">
        <v>244</v>
      </c>
      <c r="I923" s="184" t="s">
        <v>920</v>
      </c>
      <c r="J923" s="143">
        <v>230148</v>
      </c>
      <c r="K923" s="184" t="s">
        <v>920</v>
      </c>
      <c r="L923" s="143">
        <v>240360</v>
      </c>
      <c r="M923" s="144">
        <f>L923-J923</f>
        <v>10212</v>
      </c>
      <c r="N923" s="879"/>
      <c r="O923" s="115">
        <f>L924+M923+M924</f>
        <v>254436</v>
      </c>
      <c r="P923" s="115"/>
      <c r="Q923" s="116"/>
      <c r="R923" s="116"/>
      <c r="S923" s="145"/>
    </row>
    <row r="924" spans="1:19" s="146" customFormat="1" ht="18" customHeight="1">
      <c r="A924" s="183"/>
      <c r="B924" s="920"/>
      <c r="C924" s="920"/>
      <c r="D924" s="920"/>
      <c r="E924" s="154"/>
      <c r="F924" s="920"/>
      <c r="G924" s="140"/>
      <c r="H924" s="141"/>
      <c r="I924" s="184"/>
      <c r="J924" s="149"/>
      <c r="K924" s="184" t="s">
        <v>1633</v>
      </c>
      <c r="L924" s="143">
        <v>242376</v>
      </c>
      <c r="M924" s="144">
        <v>1848</v>
      </c>
      <c r="N924" s="879">
        <f>(L924-L923)*11/12</f>
        <v>1848</v>
      </c>
      <c r="O924" s="115"/>
      <c r="P924" s="115"/>
      <c r="Q924" s="116"/>
      <c r="R924" s="116"/>
      <c r="S924" s="145"/>
    </row>
    <row r="925" spans="1:19" s="146" customFormat="1" ht="18" customHeight="1">
      <c r="A925" s="183"/>
      <c r="B925" s="920"/>
      <c r="C925" s="920"/>
      <c r="D925" s="920"/>
      <c r="E925" s="154"/>
      <c r="F925" s="920"/>
      <c r="G925" s="140"/>
      <c r="H925" s="141"/>
      <c r="I925" s="184"/>
      <c r="J925" s="149"/>
      <c r="K925" s="184"/>
      <c r="L925" s="149">
        <v>44960</v>
      </c>
      <c r="M925" s="144"/>
      <c r="N925" s="879"/>
      <c r="O925" s="115"/>
      <c r="P925" s="115"/>
      <c r="Q925" s="116"/>
      <c r="R925" s="116"/>
      <c r="S925" s="145"/>
    </row>
    <row r="926" spans="1:19" s="146" customFormat="1" ht="18" customHeight="1">
      <c r="A926" s="183"/>
      <c r="B926" s="920"/>
      <c r="C926" s="920"/>
      <c r="D926" s="920"/>
      <c r="E926" s="154"/>
      <c r="F926" s="920"/>
      <c r="G926" s="140"/>
      <c r="H926" s="141"/>
      <c r="I926" s="185"/>
      <c r="J926" s="149"/>
      <c r="K926" s="185"/>
      <c r="L926" s="149"/>
      <c r="M926" s="144"/>
      <c r="N926" s="879"/>
      <c r="O926" s="115"/>
      <c r="P926" s="115"/>
      <c r="Q926" s="116"/>
      <c r="R926" s="116"/>
      <c r="S926" s="117"/>
    </row>
    <row r="927" spans="1:19" s="146" customFormat="1" ht="18" customHeight="1">
      <c r="A927" s="183">
        <v>9</v>
      </c>
      <c r="B927" s="920"/>
      <c r="C927" s="920"/>
      <c r="D927" s="920"/>
      <c r="E927" s="154" t="s">
        <v>110</v>
      </c>
      <c r="F927" s="920"/>
      <c r="G927" s="140"/>
      <c r="H927" s="141" t="s">
        <v>112</v>
      </c>
      <c r="I927" s="184" t="s">
        <v>1441</v>
      </c>
      <c r="J927" s="143">
        <v>235968</v>
      </c>
      <c r="K927" s="184" t="s">
        <v>1441</v>
      </c>
      <c r="L927" s="143">
        <v>246444</v>
      </c>
      <c r="M927" s="144">
        <f>L927-J927</f>
        <v>10476</v>
      </c>
      <c r="N927" s="879"/>
      <c r="O927" s="115">
        <f>L928+M927+M928</f>
        <v>259672</v>
      </c>
      <c r="P927" s="115"/>
      <c r="Q927" s="116"/>
      <c r="R927" s="116"/>
      <c r="S927" s="145"/>
    </row>
    <row r="928" spans="1:19" s="146" customFormat="1" ht="18" customHeight="1">
      <c r="A928" s="183"/>
      <c r="B928" s="920"/>
      <c r="C928" s="920"/>
      <c r="D928" s="920"/>
      <c r="E928" s="154"/>
      <c r="F928" s="920"/>
      <c r="G928" s="140"/>
      <c r="H928" s="141"/>
      <c r="I928" s="184"/>
      <c r="J928" s="149"/>
      <c r="K928" s="184" t="s">
        <v>1672</v>
      </c>
      <c r="L928" s="143">
        <v>248508</v>
      </c>
      <c r="M928" s="144">
        <v>688</v>
      </c>
      <c r="N928" s="879">
        <f>(L928-L927)*4/12</f>
        <v>688</v>
      </c>
      <c r="O928" s="115"/>
      <c r="P928" s="115"/>
      <c r="Q928" s="116"/>
      <c r="R928" s="116"/>
      <c r="S928" s="145"/>
    </row>
    <row r="929" spans="1:19" s="146" customFormat="1" ht="18" customHeight="1">
      <c r="A929" s="183"/>
      <c r="B929" s="920"/>
      <c r="C929" s="920"/>
      <c r="D929" s="920"/>
      <c r="E929" s="154"/>
      <c r="F929" s="920"/>
      <c r="G929" s="140"/>
      <c r="H929" s="141"/>
      <c r="I929" s="184"/>
      <c r="J929" s="149"/>
      <c r="K929" s="184"/>
      <c r="L929" s="149">
        <v>45185</v>
      </c>
      <c r="M929" s="144"/>
      <c r="N929" s="879"/>
      <c r="O929" s="115"/>
      <c r="P929" s="115"/>
      <c r="Q929" s="116"/>
      <c r="R929" s="116"/>
      <c r="S929" s="145"/>
    </row>
    <row r="930" spans="1:19" s="146" customFormat="1" ht="18" customHeight="1">
      <c r="A930" s="183"/>
      <c r="B930" s="957"/>
      <c r="C930" s="957"/>
      <c r="D930" s="957"/>
      <c r="E930" s="154"/>
      <c r="F930" s="957"/>
      <c r="G930" s="140"/>
      <c r="H930" s="141"/>
      <c r="I930" s="184"/>
      <c r="J930" s="149"/>
      <c r="K930" s="184"/>
      <c r="L930" s="149"/>
      <c r="M930" s="144"/>
      <c r="N930" s="879"/>
      <c r="O930" s="115"/>
      <c r="P930" s="115"/>
      <c r="Q930" s="116"/>
      <c r="R930" s="116"/>
      <c r="S930" s="145"/>
    </row>
    <row r="931" spans="1:19" s="146" customFormat="1" ht="18" customHeight="1">
      <c r="A931" s="183"/>
      <c r="B931" s="957"/>
      <c r="C931" s="957"/>
      <c r="D931" s="957"/>
      <c r="E931" s="154"/>
      <c r="F931" s="957"/>
      <c r="G931" s="140"/>
      <c r="H931" s="141"/>
      <c r="I931" s="184"/>
      <c r="J931" s="149"/>
      <c r="K931" s="184"/>
      <c r="L931" s="149"/>
      <c r="M931" s="144"/>
      <c r="N931" s="879"/>
      <c r="O931" s="115"/>
      <c r="P931" s="115"/>
      <c r="Q931" s="116"/>
      <c r="R931" s="116"/>
      <c r="S931" s="145"/>
    </row>
    <row r="932" spans="1:19" s="146" customFormat="1" ht="18" customHeight="1">
      <c r="A932" s="183"/>
      <c r="B932" s="957"/>
      <c r="C932" s="957"/>
      <c r="D932" s="957"/>
      <c r="E932" s="154"/>
      <c r="F932" s="957"/>
      <c r="G932" s="140"/>
      <c r="H932" s="141"/>
      <c r="I932" s="184"/>
      <c r="J932" s="149"/>
      <c r="K932" s="184"/>
      <c r="L932" s="149"/>
      <c r="M932" s="144"/>
      <c r="N932" s="879"/>
      <c r="O932" s="115"/>
      <c r="P932" s="115"/>
      <c r="Q932" s="116"/>
      <c r="R932" s="116"/>
      <c r="S932" s="145"/>
    </row>
    <row r="933" spans="1:19" s="146" customFormat="1" ht="18" customHeight="1">
      <c r="A933" s="183"/>
      <c r="B933" s="957"/>
      <c r="C933" s="957"/>
      <c r="D933" s="957"/>
      <c r="E933" s="154"/>
      <c r="F933" s="957"/>
      <c r="G933" s="140"/>
      <c r="H933" s="141"/>
      <c r="I933" s="184"/>
      <c r="J933" s="149"/>
      <c r="K933" s="184"/>
      <c r="L933" s="149"/>
      <c r="M933" s="144"/>
      <c r="N933" s="879"/>
      <c r="O933" s="115"/>
      <c r="P933" s="115"/>
      <c r="Q933" s="116"/>
      <c r="R933" s="116"/>
      <c r="S933" s="145"/>
    </row>
    <row r="934" spans="1:19" s="146" customFormat="1" ht="18" customHeight="1">
      <c r="A934" s="183"/>
      <c r="B934" s="957"/>
      <c r="C934" s="957"/>
      <c r="D934" s="957"/>
      <c r="E934" s="154"/>
      <c r="F934" s="957"/>
      <c r="G934" s="140"/>
      <c r="H934" s="141"/>
      <c r="I934" s="184"/>
      <c r="J934" s="149"/>
      <c r="K934" s="184"/>
      <c r="L934" s="149"/>
      <c r="M934" s="144"/>
      <c r="N934" s="879"/>
      <c r="O934" s="115"/>
      <c r="P934" s="115"/>
      <c r="Q934" s="116"/>
      <c r="R934" s="116"/>
      <c r="S934" s="145"/>
    </row>
    <row r="935" spans="1:19" s="146" customFormat="1" ht="18" customHeight="1">
      <c r="A935" s="183"/>
      <c r="B935" s="957"/>
      <c r="C935" s="957"/>
      <c r="D935" s="957"/>
      <c r="E935" s="154"/>
      <c r="F935" s="957"/>
      <c r="G935" s="140"/>
      <c r="H935" s="141"/>
      <c r="I935" s="184"/>
      <c r="J935" s="149"/>
      <c r="K935" s="184"/>
      <c r="L935" s="149"/>
      <c r="M935" s="144"/>
      <c r="N935" s="879"/>
      <c r="O935" s="115"/>
      <c r="P935" s="115"/>
      <c r="Q935" s="116"/>
      <c r="R935" s="116"/>
      <c r="S935" s="145"/>
    </row>
    <row r="936" spans="1:19" s="146" customFormat="1" ht="18" customHeight="1">
      <c r="A936" s="183"/>
      <c r="B936" s="920"/>
      <c r="C936" s="920"/>
      <c r="D936" s="920"/>
      <c r="E936" s="154"/>
      <c r="F936" s="920"/>
      <c r="G936" s="140"/>
      <c r="H936" s="141"/>
      <c r="I936" s="184"/>
      <c r="J936" s="143"/>
      <c r="K936" s="184"/>
      <c r="L936" s="143"/>
      <c r="M936" s="144"/>
      <c r="N936" s="879"/>
      <c r="O936" s="115"/>
      <c r="P936" s="115"/>
      <c r="Q936" s="116"/>
      <c r="R936" s="116"/>
      <c r="S936" s="117"/>
    </row>
    <row r="937" spans="1:19" s="146" customFormat="1" ht="18" customHeight="1">
      <c r="A937" s="183"/>
      <c r="B937" s="920"/>
      <c r="C937" s="920"/>
      <c r="D937" s="920"/>
      <c r="E937" s="919"/>
      <c r="F937" s="920"/>
      <c r="G937" s="140"/>
      <c r="H937" s="141"/>
      <c r="I937" s="205"/>
      <c r="J937" s="143"/>
      <c r="K937" s="205"/>
      <c r="L937" s="149"/>
      <c r="M937" s="144"/>
      <c r="N937" s="879"/>
      <c r="O937" s="115"/>
      <c r="P937" s="115"/>
      <c r="Q937" s="116"/>
      <c r="R937" s="116"/>
      <c r="S937" s="117"/>
    </row>
    <row r="938" spans="1:19" s="146" customFormat="1" ht="18" customHeight="1">
      <c r="A938" s="183"/>
      <c r="B938" s="920"/>
      <c r="C938" s="920"/>
      <c r="D938" s="920"/>
      <c r="E938" s="919"/>
      <c r="F938" s="920"/>
      <c r="G938" s="140"/>
      <c r="H938" s="141"/>
      <c r="I938" s="142"/>
      <c r="J938" s="143"/>
      <c r="K938" s="142"/>
      <c r="L938" s="143"/>
      <c r="M938" s="143"/>
      <c r="N938" s="170"/>
      <c r="O938" s="115"/>
      <c r="P938" s="115"/>
      <c r="Q938" s="116"/>
      <c r="R938" s="116"/>
      <c r="S938" s="117"/>
    </row>
    <row r="939" spans="1:19" s="168" customFormat="1" ht="18" customHeight="1" thickBot="1">
      <c r="A939" s="161"/>
      <c r="B939" s="158"/>
      <c r="C939" s="158"/>
      <c r="D939" s="158"/>
      <c r="E939" s="186"/>
      <c r="F939" s="158"/>
      <c r="G939" s="160"/>
      <c r="H939" s="161" t="s">
        <v>15</v>
      </c>
      <c r="I939" s="187"/>
      <c r="J939" s="164">
        <f>SUM(J894:J938)</f>
        <v>2925480</v>
      </c>
      <c r="K939" s="187"/>
      <c r="L939" s="164"/>
      <c r="M939" s="164">
        <f>SUM(M894:M938)</f>
        <v>60611</v>
      </c>
      <c r="N939" s="171"/>
      <c r="O939" s="165">
        <f>SUM(O894:O937)</f>
        <v>3094667</v>
      </c>
      <c r="P939" s="165"/>
      <c r="Q939" s="166"/>
      <c r="R939" s="166"/>
      <c r="S939" s="167"/>
    </row>
    <row r="940" spans="1:19" s="146" customFormat="1" ht="18" customHeight="1" thickTop="1">
      <c r="A940" s="920"/>
      <c r="B940" s="920"/>
      <c r="C940" s="920"/>
      <c r="D940" s="920"/>
      <c r="E940" s="920"/>
      <c r="F940" s="920"/>
      <c r="G940" s="155"/>
      <c r="H940" s="155"/>
      <c r="I940" s="920"/>
      <c r="J940" s="171"/>
      <c r="K940" s="152"/>
      <c r="L940" s="171"/>
      <c r="M940" s="171"/>
      <c r="N940" s="171"/>
      <c r="O940" s="115"/>
      <c r="P940" s="115"/>
      <c r="Q940" s="116"/>
      <c r="R940" s="116"/>
      <c r="S940" s="117"/>
    </row>
    <row r="941" spans="1:19" s="146" customFormat="1" ht="18" customHeight="1">
      <c r="A941" s="920"/>
      <c r="B941" s="920"/>
      <c r="C941" s="920"/>
      <c r="D941" s="920"/>
      <c r="E941" s="920"/>
      <c r="F941" s="920"/>
      <c r="G941" s="155"/>
      <c r="H941" s="155"/>
      <c r="I941" s="920"/>
      <c r="J941" s="171"/>
      <c r="K941" s="152"/>
      <c r="L941" s="171"/>
      <c r="M941" s="171"/>
      <c r="N941" s="171"/>
      <c r="O941" s="115"/>
      <c r="P941" s="115"/>
      <c r="Q941" s="116"/>
      <c r="R941" s="116"/>
      <c r="S941" s="117"/>
    </row>
    <row r="942" spans="1:19" s="146" customFormat="1" ht="18" customHeight="1">
      <c r="A942" s="920"/>
      <c r="B942" s="920"/>
      <c r="C942" s="920"/>
      <c r="D942" s="920"/>
      <c r="E942" s="920"/>
      <c r="F942" s="920"/>
      <c r="G942" s="155"/>
      <c r="H942" s="155"/>
      <c r="I942" s="920"/>
      <c r="J942" s="170"/>
      <c r="K942" s="152"/>
      <c r="L942" s="170"/>
      <c r="M942" s="170"/>
      <c r="N942" s="170"/>
      <c r="O942" s="115"/>
      <c r="P942" s="115"/>
      <c r="Q942" s="116"/>
      <c r="R942" s="116"/>
      <c r="S942" s="117"/>
    </row>
    <row r="943" spans="1:19" s="146" customFormat="1" ht="18" customHeight="1">
      <c r="A943" s="173" t="s">
        <v>614</v>
      </c>
      <c r="B943" s="173"/>
      <c r="C943" s="912"/>
      <c r="D943" s="912"/>
      <c r="E943" s="174"/>
      <c r="F943" s="174"/>
      <c r="G943" s="174"/>
      <c r="H943" s="173" t="s">
        <v>615</v>
      </c>
      <c r="I943" s="174"/>
      <c r="K943" s="173" t="s">
        <v>253</v>
      </c>
      <c r="L943" s="175"/>
      <c r="M943" s="175"/>
      <c r="N943" s="175"/>
      <c r="O943" s="115"/>
      <c r="P943" s="115"/>
      <c r="Q943" s="116"/>
      <c r="R943" s="116"/>
      <c r="S943" s="117"/>
    </row>
    <row r="944" spans="1:19" s="146" customFormat="1" ht="18" customHeight="1">
      <c r="A944" s="174"/>
      <c r="B944" s="174"/>
      <c r="C944" s="913"/>
      <c r="D944" s="913"/>
      <c r="E944" s="174"/>
      <c r="F944" s="174"/>
      <c r="G944" s="174"/>
      <c r="H944" s="174"/>
      <c r="I944" s="174"/>
      <c r="J944" s="174"/>
      <c r="K944" s="176"/>
      <c r="L944" s="175"/>
      <c r="M944" s="175"/>
      <c r="N944" s="175"/>
      <c r="O944" s="115"/>
      <c r="P944" s="115"/>
      <c r="Q944" s="116"/>
      <c r="R944" s="116"/>
      <c r="S944" s="117"/>
    </row>
    <row r="945" spans="1:19" s="146" customFormat="1" ht="18" customHeight="1">
      <c r="A945" s="1531" t="s">
        <v>242</v>
      </c>
      <c r="B945" s="1531"/>
      <c r="C945" s="1531"/>
      <c r="D945" s="1531"/>
      <c r="E945" s="1531"/>
      <c r="F945" s="1531"/>
      <c r="G945" s="174"/>
      <c r="H945" s="1531" t="s">
        <v>17</v>
      </c>
      <c r="I945" s="1531"/>
      <c r="J945" s="174"/>
      <c r="K945" s="1531" t="s">
        <v>1436</v>
      </c>
      <c r="L945" s="1531"/>
      <c r="M945" s="1531"/>
      <c r="N945" s="912"/>
      <c r="O945" s="115"/>
      <c r="P945" s="115"/>
      <c r="Q945" s="116"/>
      <c r="R945" s="116"/>
      <c r="S945" s="117"/>
    </row>
    <row r="946" spans="1:19" s="146" customFormat="1" ht="18" customHeight="1">
      <c r="A946" s="1520" t="s">
        <v>422</v>
      </c>
      <c r="B946" s="1520"/>
      <c r="C946" s="1520"/>
      <c r="D946" s="1520"/>
      <c r="E946" s="1520"/>
      <c r="F946" s="1520"/>
      <c r="G946" s="177"/>
      <c r="H946" s="1520" t="s">
        <v>18</v>
      </c>
      <c r="I946" s="1520"/>
      <c r="J946" s="912"/>
      <c r="K946" s="1520" t="s">
        <v>14</v>
      </c>
      <c r="L946" s="1520"/>
      <c r="M946" s="1520"/>
      <c r="N946" s="913"/>
      <c r="O946" s="115"/>
      <c r="P946" s="115"/>
      <c r="Q946" s="116"/>
      <c r="R946" s="116"/>
      <c r="S946" s="117"/>
    </row>
    <row r="947" spans="1:19" s="146" customFormat="1" ht="18" customHeight="1">
      <c r="A947" s="913"/>
      <c r="B947" s="913"/>
      <c r="C947" s="913"/>
      <c r="D947" s="913"/>
      <c r="E947" s="913"/>
      <c r="F947" s="913"/>
      <c r="G947" s="177"/>
      <c r="H947" s="913"/>
      <c r="I947" s="913"/>
      <c r="J947" s="912"/>
      <c r="K947" s="913"/>
      <c r="L947" s="913"/>
      <c r="M947" s="913"/>
      <c r="N947" s="913"/>
      <c r="O947" s="115"/>
      <c r="P947" s="115"/>
      <c r="Q947" s="116"/>
      <c r="R947" s="116"/>
      <c r="S947" s="117"/>
    </row>
    <row r="948" spans="1:19" s="146" customFormat="1" ht="18" customHeight="1">
      <c r="A948" s="913"/>
      <c r="B948" s="913"/>
      <c r="C948" s="913"/>
      <c r="D948" s="913"/>
      <c r="E948" s="913"/>
      <c r="F948" s="913"/>
      <c r="G948" s="177"/>
      <c r="H948" s="913"/>
      <c r="I948" s="913"/>
      <c r="J948" s="912"/>
      <c r="K948" s="913"/>
      <c r="L948" s="913"/>
      <c r="M948" s="913"/>
      <c r="N948" s="913"/>
      <c r="O948" s="115"/>
      <c r="P948" s="115"/>
      <c r="Q948" s="116"/>
      <c r="R948" s="116"/>
      <c r="S948" s="117"/>
    </row>
    <row r="949" spans="1:19" s="146" customFormat="1" ht="18" customHeight="1">
      <c r="A949" s="913"/>
      <c r="B949" s="913"/>
      <c r="C949" s="913"/>
      <c r="D949" s="913"/>
      <c r="E949" s="913"/>
      <c r="F949" s="913"/>
      <c r="G949" s="177"/>
      <c r="H949" s="913"/>
      <c r="I949" s="913"/>
      <c r="J949" s="912"/>
      <c r="K949" s="913"/>
      <c r="L949" s="913"/>
      <c r="M949" s="913"/>
      <c r="N949" s="913"/>
      <c r="O949" s="115"/>
      <c r="P949" s="115"/>
      <c r="Q949" s="116"/>
      <c r="R949" s="116"/>
      <c r="S949" s="117"/>
    </row>
    <row r="950" spans="1:19" s="146" customFormat="1" ht="18" customHeight="1">
      <c r="A950" s="913"/>
      <c r="B950" s="913"/>
      <c r="C950" s="913"/>
      <c r="D950" s="913"/>
      <c r="E950" s="913"/>
      <c r="F950" s="913"/>
      <c r="G950" s="177"/>
      <c r="H950" s="913"/>
      <c r="I950" s="913"/>
      <c r="J950" s="912"/>
      <c r="K950" s="913"/>
      <c r="L950" s="913"/>
      <c r="M950" s="913"/>
      <c r="N950" s="913"/>
      <c r="O950" s="115"/>
      <c r="P950" s="115"/>
      <c r="Q950" s="116"/>
      <c r="R950" s="116"/>
      <c r="S950" s="117"/>
    </row>
    <row r="951" spans="1:19" s="146" customFormat="1" ht="18" customHeight="1">
      <c r="A951" s="913"/>
      <c r="B951" s="913"/>
      <c r="C951" s="913"/>
      <c r="D951" s="913"/>
      <c r="E951" s="913"/>
      <c r="F951" s="913"/>
      <c r="G951" s="177"/>
      <c r="H951" s="913"/>
      <c r="I951" s="913"/>
      <c r="J951" s="912"/>
      <c r="K951" s="913"/>
      <c r="L951" s="913"/>
      <c r="M951" s="913"/>
      <c r="N951" s="913"/>
      <c r="O951" s="115"/>
      <c r="P951" s="115"/>
      <c r="Q951" s="116"/>
      <c r="R951" s="116"/>
      <c r="S951" s="117"/>
    </row>
    <row r="952" spans="1:19" s="146" customFormat="1" ht="18" customHeight="1">
      <c r="A952" s="913"/>
      <c r="B952" s="913"/>
      <c r="C952" s="913"/>
      <c r="D952" s="913"/>
      <c r="E952" s="913"/>
      <c r="F952" s="913"/>
      <c r="G952" s="177"/>
      <c r="H952" s="913"/>
      <c r="I952" s="913"/>
      <c r="J952" s="912"/>
      <c r="K952" s="913"/>
      <c r="L952" s="913"/>
      <c r="M952" s="913"/>
      <c r="N952" s="913"/>
      <c r="O952" s="115"/>
      <c r="P952" s="115"/>
      <c r="Q952" s="116"/>
      <c r="R952" s="116"/>
      <c r="S952" s="117"/>
    </row>
    <row r="953" spans="1:19" s="146" customFormat="1" ht="18" customHeight="1">
      <c r="A953" s="913"/>
      <c r="B953" s="913"/>
      <c r="C953" s="913"/>
      <c r="D953" s="913"/>
      <c r="E953" s="913"/>
      <c r="F953" s="913"/>
      <c r="G953" s="177"/>
      <c r="H953" s="913"/>
      <c r="I953" s="913"/>
      <c r="J953" s="912"/>
      <c r="K953" s="913"/>
      <c r="L953" s="913"/>
      <c r="M953" s="913"/>
      <c r="N953" s="913"/>
      <c r="O953" s="115"/>
      <c r="P953" s="115"/>
      <c r="Q953" s="116"/>
      <c r="R953" s="116"/>
      <c r="S953" s="117"/>
    </row>
    <row r="954" spans="1:19" ht="18" customHeight="1">
      <c r="A954" s="111"/>
      <c r="B954" s="111"/>
      <c r="C954" s="910"/>
      <c r="D954" s="910"/>
      <c r="E954" s="1540"/>
      <c r="F954" s="1540"/>
      <c r="G954" s="1540"/>
      <c r="H954" s="910"/>
      <c r="I954" s="910"/>
      <c r="J954" s="910"/>
      <c r="K954" s="1540"/>
      <c r="L954" s="1540"/>
      <c r="M954" s="1540"/>
      <c r="N954" s="910"/>
    </row>
    <row r="955" spans="1:19" ht="18" customHeight="1">
      <c r="A955" s="111"/>
      <c r="B955" s="111"/>
      <c r="C955" s="910"/>
      <c r="D955" s="910"/>
      <c r="E955" s="111"/>
      <c r="F955" s="111"/>
      <c r="G955" s="111"/>
      <c r="H955" s="111"/>
      <c r="I955" s="111"/>
      <c r="J955" s="111"/>
      <c r="K955" s="112"/>
      <c r="M955" s="113"/>
      <c r="N955" s="113"/>
    </row>
    <row r="956" spans="1:19" ht="18" customHeight="1">
      <c r="A956" s="111"/>
      <c r="B956" s="111"/>
      <c r="C956" s="910"/>
      <c r="D956" s="910"/>
      <c r="E956" s="111"/>
      <c r="F956" s="111"/>
      <c r="G956" s="111"/>
      <c r="H956" s="111"/>
      <c r="I956" s="111"/>
      <c r="J956" s="111"/>
      <c r="K956" s="112"/>
      <c r="M956" s="113"/>
      <c r="N956" s="113"/>
    </row>
    <row r="957" spans="1:19" ht="20.100000000000001" customHeight="1">
      <c r="A957" s="1448" t="s">
        <v>962</v>
      </c>
      <c r="B957" s="1448"/>
      <c r="C957" s="1448"/>
      <c r="D957" s="1448"/>
      <c r="E957" s="1448"/>
      <c r="F957" s="1448"/>
      <c r="G957" s="1448"/>
      <c r="H957" s="1448"/>
      <c r="I957" s="1448"/>
      <c r="J957" s="1448"/>
      <c r="K957" s="1448"/>
      <c r="L957" s="1448"/>
      <c r="M957" s="1448"/>
      <c r="N957" s="918"/>
    </row>
    <row r="958" spans="1:19" ht="18" customHeight="1">
      <c r="A958" s="110"/>
      <c r="B958" s="110"/>
      <c r="C958" s="917"/>
      <c r="D958" s="917"/>
      <c r="E958" s="111"/>
      <c r="F958" s="111"/>
      <c r="G958" s="111"/>
      <c r="H958" s="111"/>
      <c r="I958" s="111"/>
      <c r="J958" s="111"/>
      <c r="K958" s="112"/>
      <c r="M958" s="114"/>
      <c r="N958" s="114"/>
    </row>
    <row r="959" spans="1:19" ht="18" customHeight="1">
      <c r="A959" s="1538" t="s">
        <v>1663</v>
      </c>
      <c r="B959" s="1538"/>
      <c r="C959" s="1538"/>
      <c r="D959" s="1538"/>
      <c r="E959" s="1538"/>
      <c r="F959" s="1538"/>
      <c r="G959" s="1538"/>
      <c r="H959" s="1538"/>
      <c r="I959" s="1538"/>
      <c r="J959" s="1538"/>
      <c r="K959" s="1538"/>
      <c r="L959" s="1538"/>
      <c r="M959" s="1538"/>
      <c r="N959" s="908"/>
    </row>
    <row r="960" spans="1:19" ht="18" customHeight="1">
      <c r="A960" s="1539" t="s">
        <v>351</v>
      </c>
      <c r="B960" s="1539"/>
      <c r="C960" s="1539"/>
      <c r="D960" s="1539"/>
      <c r="E960" s="1539"/>
      <c r="F960" s="1539"/>
      <c r="G960" s="1539"/>
      <c r="H960" s="1539"/>
      <c r="I960" s="1539"/>
      <c r="J960" s="1539"/>
      <c r="K960" s="1539"/>
      <c r="L960" s="1539"/>
      <c r="M960" s="1539"/>
      <c r="N960" s="909"/>
    </row>
    <row r="961" spans="1:19" ht="18" customHeight="1">
      <c r="A961" s="1540"/>
      <c r="B961" s="1540"/>
      <c r="C961" s="1540"/>
      <c r="D961" s="1540"/>
      <c r="E961" s="1540"/>
      <c r="F961" s="1540"/>
      <c r="G961" s="1540"/>
      <c r="H961" s="1540"/>
      <c r="I961" s="1540"/>
      <c r="J961" s="1540"/>
      <c r="K961" s="1540"/>
      <c r="L961" s="1540"/>
      <c r="M961" s="1540"/>
      <c r="N961" s="910"/>
    </row>
    <row r="962" spans="1:19" ht="18" customHeight="1">
      <c r="A962" s="910"/>
      <c r="B962" s="910"/>
      <c r="C962" s="910"/>
      <c r="D962" s="910"/>
      <c r="E962" s="910"/>
      <c r="F962" s="910"/>
      <c r="G962" s="910"/>
      <c r="H962" s="910"/>
      <c r="I962" s="910"/>
      <c r="J962" s="910"/>
      <c r="K962" s="910"/>
      <c r="L962" s="910"/>
      <c r="M962" s="910"/>
      <c r="N962" s="910"/>
    </row>
    <row r="963" spans="1:19" ht="18" customHeight="1">
      <c r="A963" s="111" t="s">
        <v>441</v>
      </c>
      <c r="B963" s="111"/>
      <c r="C963" s="111" t="s">
        <v>439</v>
      </c>
      <c r="D963" s="111" t="s">
        <v>466</v>
      </c>
      <c r="E963" s="111"/>
      <c r="F963" s="111"/>
      <c r="G963" s="111"/>
      <c r="H963" s="111"/>
      <c r="I963" s="910"/>
      <c r="J963" s="910"/>
      <c r="K963" s="910"/>
      <c r="L963" s="910"/>
      <c r="M963" s="910"/>
      <c r="N963" s="910"/>
    </row>
    <row r="964" spans="1:19" ht="18" customHeight="1">
      <c r="A964" s="111" t="s">
        <v>464</v>
      </c>
      <c r="B964" s="111"/>
      <c r="C964" s="111" t="s">
        <v>439</v>
      </c>
      <c r="D964" s="111" t="s">
        <v>465</v>
      </c>
      <c r="E964" s="111"/>
      <c r="F964" s="111"/>
      <c r="G964" s="111"/>
      <c r="H964" s="111"/>
      <c r="I964" s="910"/>
      <c r="J964" s="910"/>
      <c r="K964" s="910"/>
      <c r="L964" s="910"/>
      <c r="M964" s="910"/>
      <c r="N964" s="910"/>
      <c r="O964" s="180"/>
    </row>
    <row r="965" spans="1:19" ht="18" customHeight="1" thickBot="1">
      <c r="A965" s="111" t="s">
        <v>446</v>
      </c>
      <c r="B965" s="111"/>
      <c r="C965" s="111" t="s">
        <v>439</v>
      </c>
      <c r="D965" s="111" t="s">
        <v>666</v>
      </c>
      <c r="E965" s="111"/>
      <c r="F965" s="111"/>
      <c r="G965" s="111"/>
      <c r="H965" s="111"/>
      <c r="I965" s="910"/>
      <c r="J965" s="910"/>
      <c r="K965" s="910"/>
      <c r="L965" s="910"/>
      <c r="M965" s="910"/>
      <c r="N965" s="910"/>
      <c r="O965" s="180"/>
    </row>
    <row r="966" spans="1:19" ht="18" customHeight="1">
      <c r="A966" s="1532" t="s">
        <v>619</v>
      </c>
      <c r="B966" s="1533"/>
      <c r="C966" s="1533"/>
      <c r="D966" s="1533"/>
      <c r="E966" s="1534"/>
      <c r="F966" s="1533"/>
      <c r="G966" s="1535"/>
      <c r="H966" s="121"/>
      <c r="I966" s="1536" t="s">
        <v>623</v>
      </c>
      <c r="J966" s="1537"/>
      <c r="K966" s="1536" t="s">
        <v>623</v>
      </c>
      <c r="L966" s="1537"/>
      <c r="M966" s="122"/>
      <c r="N966" s="876"/>
      <c r="O966" s="180"/>
    </row>
    <row r="967" spans="1:19" ht="18" customHeight="1">
      <c r="A967" s="123" t="s">
        <v>620</v>
      </c>
      <c r="B967" s="1544" t="s">
        <v>621</v>
      </c>
      <c r="C967" s="1545"/>
      <c r="D967" s="1546"/>
      <c r="E967" s="1547" t="s">
        <v>43</v>
      </c>
      <c r="F967" s="1548"/>
      <c r="G967" s="1549"/>
      <c r="H967" s="914" t="s">
        <v>44</v>
      </c>
      <c r="I967" s="1547" t="s">
        <v>1613</v>
      </c>
      <c r="J967" s="1549"/>
      <c r="K967" s="1548" t="s">
        <v>1660</v>
      </c>
      <c r="L967" s="1549"/>
      <c r="M967" s="124" t="s">
        <v>45</v>
      </c>
      <c r="N967" s="877"/>
    </row>
    <row r="968" spans="1:19" ht="18" customHeight="1">
      <c r="A968" s="125"/>
      <c r="B968" s="914"/>
      <c r="C968" s="915"/>
      <c r="D968" s="915"/>
      <c r="E968" s="914"/>
      <c r="F968" s="915"/>
      <c r="G968" s="916"/>
      <c r="H968" s="914" t="s">
        <v>46</v>
      </c>
      <c r="I968" s="1550"/>
      <c r="J968" s="1551"/>
      <c r="K968" s="1550"/>
      <c r="L968" s="1551"/>
      <c r="M968" s="124" t="s">
        <v>47</v>
      </c>
      <c r="N968" s="877"/>
    </row>
    <row r="969" spans="1:19" ht="18" customHeight="1">
      <c r="A969" s="125"/>
      <c r="B969" s="914"/>
      <c r="C969" s="915"/>
      <c r="D969" s="915"/>
      <c r="E969" s="914"/>
      <c r="F969" s="915"/>
      <c r="G969" s="126"/>
      <c r="H969" s="127"/>
      <c r="I969" s="128" t="s">
        <v>622</v>
      </c>
      <c r="J969" s="129" t="s">
        <v>48</v>
      </c>
      <c r="K969" s="128" t="s">
        <v>622</v>
      </c>
      <c r="L969" s="129" t="s">
        <v>48</v>
      </c>
      <c r="M969" s="124"/>
      <c r="N969" s="120"/>
    </row>
    <row r="970" spans="1:19" ht="18" customHeight="1" thickBot="1">
      <c r="A970" s="130"/>
      <c r="B970" s="1541"/>
      <c r="C970" s="1542"/>
      <c r="D970" s="1543"/>
      <c r="E970" s="1541"/>
      <c r="F970" s="1542"/>
      <c r="G970" s="1543"/>
      <c r="H970" s="131"/>
      <c r="I970" s="131"/>
      <c r="J970" s="131"/>
      <c r="K970" s="131"/>
      <c r="L970" s="131"/>
      <c r="M970" s="132"/>
      <c r="N970" s="883"/>
    </row>
    <row r="971" spans="1:19" ht="18" customHeight="1">
      <c r="A971" s="181"/>
      <c r="B971" s="119"/>
      <c r="C971" s="119"/>
      <c r="D971" s="217"/>
      <c r="E971" s="119"/>
      <c r="F971" s="119"/>
      <c r="G971" s="217"/>
      <c r="H971" s="181"/>
      <c r="I971" s="181"/>
      <c r="J971" s="181"/>
      <c r="K971" s="181"/>
      <c r="L971" s="181"/>
      <c r="M971" s="181"/>
      <c r="N971" s="119"/>
    </row>
    <row r="972" spans="1:19" s="146" customFormat="1" ht="18" customHeight="1">
      <c r="A972" s="183">
        <v>1</v>
      </c>
      <c r="B972" s="920"/>
      <c r="C972" s="920"/>
      <c r="D972" s="921"/>
      <c r="E972" s="140" t="s">
        <v>884</v>
      </c>
      <c r="F972" s="155"/>
      <c r="G972" s="140"/>
      <c r="H972" s="141" t="s">
        <v>113</v>
      </c>
      <c r="I972" s="184" t="s">
        <v>1628</v>
      </c>
      <c r="J972" s="143">
        <v>1169160</v>
      </c>
      <c r="K972" s="184" t="s">
        <v>1628</v>
      </c>
      <c r="L972" s="143">
        <v>1191216</v>
      </c>
      <c r="M972" s="144">
        <f>L972-J972</f>
        <v>22056</v>
      </c>
      <c r="N972" s="879"/>
      <c r="O972" s="115">
        <f>M972+L972</f>
        <v>1213272</v>
      </c>
      <c r="P972" s="115"/>
      <c r="Q972" s="116"/>
      <c r="R972" s="116"/>
      <c r="S972" s="145"/>
    </row>
    <row r="973" spans="1:19" s="146" customFormat="1" ht="18" customHeight="1">
      <c r="A973" s="183"/>
      <c r="B973" s="920"/>
      <c r="C973" s="920"/>
      <c r="D973" s="921"/>
      <c r="E973" s="140" t="s">
        <v>885</v>
      </c>
      <c r="F973" s="155"/>
      <c r="G973" s="140"/>
      <c r="H973" s="141"/>
      <c r="I973" s="184"/>
      <c r="J973" s="143"/>
      <c r="K973" s="184"/>
      <c r="L973" s="143"/>
      <c r="M973" s="144"/>
      <c r="N973" s="879"/>
      <c r="O973" s="115"/>
      <c r="P973" s="115"/>
      <c r="Q973" s="116"/>
      <c r="R973" s="116"/>
      <c r="S973" s="117"/>
    </row>
    <row r="974" spans="1:19" s="146" customFormat="1" ht="18" customHeight="1">
      <c r="A974" s="183"/>
      <c r="B974" s="920"/>
      <c r="C974" s="920"/>
      <c r="D974" s="920"/>
      <c r="E974" s="919"/>
      <c r="F974" s="920"/>
      <c r="G974" s="140"/>
      <c r="H974" s="141"/>
      <c r="I974" s="185"/>
      <c r="J974" s="149"/>
      <c r="K974" s="185"/>
      <c r="L974" s="149"/>
      <c r="M974" s="144"/>
      <c r="N974" s="879"/>
      <c r="O974" s="115"/>
      <c r="P974" s="115"/>
      <c r="Q974" s="116"/>
      <c r="R974" s="116"/>
      <c r="S974" s="117"/>
    </row>
    <row r="975" spans="1:19" s="146" customFormat="1" ht="18" customHeight="1">
      <c r="A975" s="183">
        <v>2</v>
      </c>
      <c r="B975" s="1552"/>
      <c r="C975" s="1553"/>
      <c r="D975" s="1554"/>
      <c r="E975" s="154" t="s">
        <v>1645</v>
      </c>
      <c r="F975" s="930"/>
      <c r="G975" s="140"/>
      <c r="H975" s="141" t="s">
        <v>102</v>
      </c>
      <c r="I975" s="142" t="s">
        <v>1646</v>
      </c>
      <c r="J975" s="143">
        <v>749388</v>
      </c>
      <c r="K975" s="142" t="s">
        <v>1646</v>
      </c>
      <c r="L975" s="143">
        <v>767964</v>
      </c>
      <c r="M975" s="144">
        <f>L975-J975</f>
        <v>18576</v>
      </c>
      <c r="N975" s="879"/>
      <c r="O975" s="115">
        <f>M975+L975</f>
        <v>786540</v>
      </c>
      <c r="P975" s="115"/>
      <c r="Q975" s="116"/>
      <c r="R975" s="116"/>
      <c r="S975" s="145"/>
    </row>
    <row r="976" spans="1:19" s="146" customFormat="1" ht="18" customHeight="1">
      <c r="A976" s="183"/>
      <c r="B976" s="957"/>
      <c r="C976" s="957"/>
      <c r="D976" s="957"/>
      <c r="E976" s="956"/>
      <c r="F976" s="957"/>
      <c r="G976" s="140"/>
      <c r="H976" s="141"/>
      <c r="I976" s="185"/>
      <c r="J976" s="149"/>
      <c r="K976" s="185"/>
      <c r="L976" s="149"/>
      <c r="M976" s="144"/>
      <c r="N976" s="879"/>
      <c r="O976" s="115"/>
      <c r="P976" s="115"/>
      <c r="Q976" s="116"/>
      <c r="R976" s="116"/>
      <c r="S976" s="117"/>
    </row>
    <row r="977" spans="1:19" s="146" customFormat="1" ht="18" customHeight="1">
      <c r="A977" s="183">
        <v>3</v>
      </c>
      <c r="B977" s="920"/>
      <c r="C977" s="920"/>
      <c r="D977" s="920"/>
      <c r="E977" s="154" t="s">
        <v>114</v>
      </c>
      <c r="F977" s="920"/>
      <c r="G977" s="140"/>
      <c r="H977" s="141" t="s">
        <v>115</v>
      </c>
      <c r="I977" s="184" t="s">
        <v>919</v>
      </c>
      <c r="J977" s="143">
        <v>532080</v>
      </c>
      <c r="K977" s="184" t="s">
        <v>919</v>
      </c>
      <c r="L977" s="143">
        <v>550344</v>
      </c>
      <c r="M977" s="144">
        <f>L977-J977</f>
        <v>18264</v>
      </c>
      <c r="N977" s="879"/>
      <c r="O977" s="115">
        <f>M977+L977</f>
        <v>568608</v>
      </c>
      <c r="P977" s="115"/>
      <c r="Q977" s="116"/>
      <c r="R977" s="116"/>
      <c r="S977" s="145"/>
    </row>
    <row r="978" spans="1:19" s="146" customFormat="1" ht="18" customHeight="1">
      <c r="A978" s="183"/>
      <c r="B978" s="920"/>
      <c r="C978" s="920"/>
      <c r="D978" s="920"/>
      <c r="E978" s="154"/>
      <c r="F978" s="920"/>
      <c r="G978" s="140"/>
      <c r="H978" s="141"/>
      <c r="I978" s="184"/>
      <c r="J978" s="143"/>
      <c r="K978" s="184"/>
      <c r="L978" s="143"/>
      <c r="M978" s="144"/>
      <c r="N978" s="879"/>
      <c r="O978" s="115"/>
      <c r="P978" s="115"/>
      <c r="Q978" s="116"/>
      <c r="R978" s="116"/>
      <c r="S978" s="145"/>
    </row>
    <row r="979" spans="1:19" s="146" customFormat="1" ht="18" customHeight="1">
      <c r="A979" s="183">
        <v>4</v>
      </c>
      <c r="B979" s="1552"/>
      <c r="C979" s="1553"/>
      <c r="D979" s="1554"/>
      <c r="E979" s="154" t="s">
        <v>116</v>
      </c>
      <c r="F979" s="920"/>
      <c r="G979" s="140"/>
      <c r="H979" s="141" t="s">
        <v>117</v>
      </c>
      <c r="I979" s="184" t="s">
        <v>1632</v>
      </c>
      <c r="J979" s="143">
        <v>537996</v>
      </c>
      <c r="K979" s="184" t="s">
        <v>1632</v>
      </c>
      <c r="L979" s="143">
        <v>556260</v>
      </c>
      <c r="M979" s="144">
        <f>L979-J979</f>
        <v>18264</v>
      </c>
      <c r="N979" s="879"/>
      <c r="O979" s="115">
        <f>M979+L979</f>
        <v>574524</v>
      </c>
      <c r="P979" s="115"/>
      <c r="Q979" s="116"/>
      <c r="R979" s="116"/>
      <c r="S979" s="145"/>
    </row>
    <row r="980" spans="1:19" s="146" customFormat="1" ht="18" customHeight="1">
      <c r="A980" s="183"/>
      <c r="B980" s="920"/>
      <c r="C980" s="920"/>
      <c r="D980" s="920"/>
      <c r="E980" s="154"/>
      <c r="F980" s="920"/>
      <c r="G980" s="140"/>
      <c r="H980" s="141"/>
      <c r="I980" s="184"/>
      <c r="J980" s="143"/>
      <c r="K980" s="184"/>
      <c r="L980" s="143"/>
      <c r="M980" s="144"/>
      <c r="N980" s="879"/>
      <c r="O980" s="115"/>
      <c r="P980" s="115"/>
      <c r="Q980" s="116"/>
      <c r="R980" s="116"/>
      <c r="S980" s="145"/>
    </row>
    <row r="981" spans="1:19" s="146" customFormat="1" ht="18" customHeight="1">
      <c r="A981" s="183">
        <v>5</v>
      </c>
      <c r="B981" s="920"/>
      <c r="C981" s="920"/>
      <c r="D981" s="920"/>
      <c r="E981" s="154" t="s">
        <v>374</v>
      </c>
      <c r="F981" s="920"/>
      <c r="G981" s="140"/>
      <c r="H981" s="141" t="s">
        <v>118</v>
      </c>
      <c r="I981" s="184" t="s">
        <v>119</v>
      </c>
      <c r="J981" s="143">
        <v>189816</v>
      </c>
      <c r="K981" s="184" t="s">
        <v>119</v>
      </c>
      <c r="L981" s="143">
        <v>197316</v>
      </c>
      <c r="M981" s="144">
        <f>L981-J981</f>
        <v>7500</v>
      </c>
      <c r="N981" s="879"/>
      <c r="O981" s="115">
        <f>M981+L981</f>
        <v>204816</v>
      </c>
      <c r="P981" s="115"/>
      <c r="Q981" s="116"/>
      <c r="R981" s="116"/>
      <c r="S981" s="145"/>
    </row>
    <row r="982" spans="1:19" s="146" customFormat="1" ht="18" customHeight="1">
      <c r="A982" s="183"/>
      <c r="B982" s="920"/>
      <c r="C982" s="920"/>
      <c r="D982" s="920"/>
      <c r="E982" s="154"/>
      <c r="F982" s="920"/>
      <c r="G982" s="140"/>
      <c r="H982" s="141"/>
      <c r="I982" s="184"/>
      <c r="J982" s="143"/>
      <c r="K982" s="184"/>
      <c r="L982" s="143"/>
      <c r="M982" s="144"/>
      <c r="N982" s="879"/>
      <c r="O982" s="115"/>
      <c r="P982" s="115"/>
      <c r="Q982" s="116"/>
      <c r="R982" s="116"/>
      <c r="S982" s="117"/>
    </row>
    <row r="983" spans="1:19" s="146" customFormat="1" ht="18" customHeight="1">
      <c r="A983" s="183">
        <v>6</v>
      </c>
      <c r="B983" s="920"/>
      <c r="C983" s="920"/>
      <c r="D983" s="920"/>
      <c r="E983" s="154" t="s">
        <v>120</v>
      </c>
      <c r="F983" s="920"/>
      <c r="G983" s="140"/>
      <c r="H983" s="141" t="s">
        <v>133</v>
      </c>
      <c r="I983" s="184" t="s">
        <v>1443</v>
      </c>
      <c r="J983" s="143">
        <v>361332</v>
      </c>
      <c r="K983" s="184" t="s">
        <v>1443</v>
      </c>
      <c r="L983" s="143">
        <v>379596</v>
      </c>
      <c r="M983" s="144">
        <f>L983-J983</f>
        <v>18264</v>
      </c>
      <c r="N983" s="879"/>
      <c r="O983" s="115">
        <f>L984+M983+M984</f>
        <v>404180</v>
      </c>
      <c r="P983" s="115"/>
      <c r="Q983" s="116"/>
      <c r="R983" s="116"/>
      <c r="S983" s="145"/>
    </row>
    <row r="984" spans="1:19" s="146" customFormat="1" ht="18" customHeight="1">
      <c r="A984" s="183"/>
      <c r="B984" s="920"/>
      <c r="C984" s="920"/>
      <c r="D984" s="920"/>
      <c r="E984" s="154"/>
      <c r="F984" s="920"/>
      <c r="G984" s="140"/>
      <c r="H984" s="141"/>
      <c r="I984" s="184"/>
      <c r="J984" s="143"/>
      <c r="K984" s="184" t="s">
        <v>1673</v>
      </c>
      <c r="L984" s="143">
        <v>383388</v>
      </c>
      <c r="M984" s="144">
        <v>2528</v>
      </c>
      <c r="N984" s="879">
        <f>(L984-L983)*8/12</f>
        <v>2528</v>
      </c>
      <c r="O984" s="115"/>
      <c r="P984" s="115"/>
      <c r="Q984" s="116"/>
      <c r="R984" s="116"/>
      <c r="S984" s="145"/>
    </row>
    <row r="985" spans="1:19" s="146" customFormat="1" ht="18" customHeight="1">
      <c r="A985" s="183"/>
      <c r="B985" s="920"/>
      <c r="C985" s="920"/>
      <c r="D985" s="920"/>
      <c r="E985" s="154"/>
      <c r="F985" s="920"/>
      <c r="G985" s="140"/>
      <c r="H985" s="141"/>
      <c r="I985" s="184"/>
      <c r="J985" s="143"/>
      <c r="K985" s="184"/>
      <c r="L985" s="149">
        <v>45062</v>
      </c>
      <c r="M985" s="144"/>
      <c r="N985" s="879"/>
      <c r="O985" s="115"/>
      <c r="P985" s="115"/>
      <c r="Q985" s="116"/>
      <c r="R985" s="116"/>
      <c r="S985" s="117"/>
    </row>
    <row r="986" spans="1:19" s="146" customFormat="1" ht="18" customHeight="1">
      <c r="A986" s="183"/>
      <c r="B986" s="957"/>
      <c r="C986" s="957"/>
      <c r="D986" s="957"/>
      <c r="E986" s="154"/>
      <c r="F986" s="957"/>
      <c r="G986" s="140"/>
      <c r="H986" s="141"/>
      <c r="I986" s="184"/>
      <c r="J986" s="143"/>
      <c r="K986" s="184"/>
      <c r="L986" s="149"/>
      <c r="M986" s="144"/>
      <c r="N986" s="879"/>
      <c r="O986" s="115"/>
      <c r="P986" s="115"/>
      <c r="Q986" s="116"/>
      <c r="R986" s="116"/>
      <c r="S986" s="117"/>
    </row>
    <row r="987" spans="1:19" s="146" customFormat="1" ht="18" customHeight="1">
      <c r="A987" s="183">
        <v>7</v>
      </c>
      <c r="B987" s="957"/>
      <c r="C987" s="957"/>
      <c r="D987" s="957"/>
      <c r="E987" s="154" t="s">
        <v>120</v>
      </c>
      <c r="F987" s="957"/>
      <c r="G987" s="140"/>
      <c r="H987" s="141" t="s">
        <v>122</v>
      </c>
      <c r="I987" s="184" t="s">
        <v>385</v>
      </c>
      <c r="J987" s="143">
        <v>384828</v>
      </c>
      <c r="K987" s="184" t="s">
        <v>385</v>
      </c>
      <c r="L987" s="143">
        <v>403092</v>
      </c>
      <c r="M987" s="144">
        <f>L987-J987</f>
        <v>18264</v>
      </c>
      <c r="N987" s="879"/>
      <c r="O987" s="115">
        <f>M987+L987</f>
        <v>421356</v>
      </c>
      <c r="P987" s="115"/>
      <c r="Q987" s="116"/>
      <c r="R987" s="116"/>
      <c r="S987" s="145"/>
    </row>
    <row r="988" spans="1:19" s="146" customFormat="1" ht="18" customHeight="1">
      <c r="A988" s="183"/>
      <c r="B988" s="957"/>
      <c r="C988" s="957"/>
      <c r="D988" s="957"/>
      <c r="E988" s="154"/>
      <c r="F988" s="957"/>
      <c r="G988" s="140"/>
      <c r="H988" s="141"/>
      <c r="I988" s="184"/>
      <c r="J988" s="143"/>
      <c r="K988" s="184"/>
      <c r="L988" s="149"/>
      <c r="M988" s="144"/>
      <c r="N988" s="879"/>
      <c r="O988" s="115"/>
      <c r="P988" s="115"/>
      <c r="Q988" s="116"/>
      <c r="R988" s="116"/>
      <c r="S988" s="145"/>
    </row>
    <row r="989" spans="1:19" s="146" customFormat="1" ht="18" customHeight="1">
      <c r="A989" s="183">
        <v>8</v>
      </c>
      <c r="B989" s="920"/>
      <c r="C989" s="920"/>
      <c r="D989" s="920"/>
      <c r="E989" s="154" t="s">
        <v>123</v>
      </c>
      <c r="F989" s="920"/>
      <c r="G989" s="140"/>
      <c r="H989" s="141" t="s">
        <v>418</v>
      </c>
      <c r="I989" s="184" t="s">
        <v>130</v>
      </c>
      <c r="J989" s="143">
        <v>308676</v>
      </c>
      <c r="K989" s="184" t="s">
        <v>130</v>
      </c>
      <c r="L989" s="143">
        <v>327408</v>
      </c>
      <c r="M989" s="144">
        <f>L989-J989</f>
        <v>18732</v>
      </c>
      <c r="N989" s="879"/>
      <c r="O989" s="115">
        <f>L990+M989+M990</f>
        <v>351920</v>
      </c>
      <c r="P989" s="115"/>
      <c r="Q989" s="116"/>
      <c r="R989" s="116"/>
      <c r="S989" s="145"/>
    </row>
    <row r="990" spans="1:19" s="146" customFormat="1" ht="18" customHeight="1">
      <c r="A990" s="183"/>
      <c r="B990" s="920"/>
      <c r="C990" s="920"/>
      <c r="D990" s="920"/>
      <c r="E990" s="154"/>
      <c r="F990" s="920"/>
      <c r="G990" s="140"/>
      <c r="H990" s="141"/>
      <c r="I990" s="184"/>
      <c r="J990" s="149"/>
      <c r="K990" s="184" t="s">
        <v>134</v>
      </c>
      <c r="L990" s="143">
        <v>330876</v>
      </c>
      <c r="M990" s="144">
        <v>2312</v>
      </c>
      <c r="N990" s="879">
        <f>(L990-L989)*8/12</f>
        <v>2312</v>
      </c>
      <c r="O990" s="115"/>
      <c r="P990" s="115"/>
      <c r="Q990" s="116"/>
      <c r="R990" s="116"/>
      <c r="S990" s="117"/>
    </row>
    <row r="991" spans="1:19" s="146" customFormat="1" ht="18" customHeight="1">
      <c r="A991" s="183"/>
      <c r="B991" s="957"/>
      <c r="C991" s="957"/>
      <c r="D991" s="957"/>
      <c r="E991" s="154"/>
      <c r="F991" s="957"/>
      <c r="G991" s="140"/>
      <c r="H991" s="141"/>
      <c r="I991" s="184"/>
      <c r="J991" s="149"/>
      <c r="K991" s="184"/>
      <c r="L991" s="149">
        <v>45062</v>
      </c>
      <c r="M991" s="144"/>
      <c r="N991" s="879"/>
      <c r="O991" s="115"/>
      <c r="P991" s="115"/>
      <c r="Q991" s="116"/>
      <c r="R991" s="116"/>
      <c r="S991" s="117"/>
    </row>
    <row r="992" spans="1:19" s="146" customFormat="1" ht="18" customHeight="1">
      <c r="A992" s="183"/>
      <c r="B992" s="920"/>
      <c r="C992" s="920"/>
      <c r="D992" s="920"/>
      <c r="E992" s="154"/>
      <c r="F992" s="920"/>
      <c r="G992" s="140"/>
      <c r="H992" s="141"/>
      <c r="I992" s="185"/>
      <c r="J992" s="143"/>
      <c r="K992" s="185"/>
      <c r="L992" s="143"/>
      <c r="M992" s="144"/>
      <c r="N992" s="879"/>
      <c r="O992" s="115"/>
      <c r="P992" s="115"/>
      <c r="Q992" s="116"/>
      <c r="R992" s="116"/>
      <c r="S992" s="117"/>
    </row>
    <row r="993" spans="1:19" s="146" customFormat="1" ht="18" customHeight="1">
      <c r="A993" s="183">
        <v>9</v>
      </c>
      <c r="B993" s="920"/>
      <c r="C993" s="920"/>
      <c r="D993" s="920"/>
      <c r="E993" s="154" t="s">
        <v>123</v>
      </c>
      <c r="F993" s="920"/>
      <c r="G993" s="140"/>
      <c r="H993" s="141" t="s">
        <v>868</v>
      </c>
      <c r="I993" s="184" t="s">
        <v>130</v>
      </c>
      <c r="J993" s="143">
        <v>308676</v>
      </c>
      <c r="K993" s="184" t="s">
        <v>130</v>
      </c>
      <c r="L993" s="143">
        <v>327408</v>
      </c>
      <c r="M993" s="144">
        <f>L993-J993</f>
        <v>18732</v>
      </c>
      <c r="N993" s="879"/>
      <c r="O993" s="115">
        <f>L994+M993+M994</f>
        <v>351631</v>
      </c>
      <c r="P993" s="115"/>
      <c r="Q993" s="116"/>
      <c r="R993" s="116"/>
      <c r="S993" s="145"/>
    </row>
    <row r="994" spans="1:19" s="146" customFormat="1" ht="18" customHeight="1">
      <c r="A994" s="183"/>
      <c r="B994" s="920"/>
      <c r="C994" s="920"/>
      <c r="D994" s="920"/>
      <c r="E994" s="154"/>
      <c r="F994" s="920"/>
      <c r="G994" s="140"/>
      <c r="H994" s="141"/>
      <c r="I994" s="184"/>
      <c r="J994" s="149"/>
      <c r="K994" s="184" t="s">
        <v>134</v>
      </c>
      <c r="L994" s="143">
        <v>330876</v>
      </c>
      <c r="M994" s="144">
        <v>2023</v>
      </c>
      <c r="N994" s="879">
        <f>(L994-L993)*7/12</f>
        <v>2023</v>
      </c>
      <c r="O994" s="115"/>
      <c r="P994" s="115"/>
      <c r="Q994" s="116"/>
      <c r="R994" s="116"/>
      <c r="S994" s="117"/>
    </row>
    <row r="995" spans="1:19" s="146" customFormat="1" ht="18" customHeight="1">
      <c r="A995" s="183"/>
      <c r="B995" s="957"/>
      <c r="C995" s="957"/>
      <c r="D995" s="957"/>
      <c r="E995" s="154"/>
      <c r="F995" s="957"/>
      <c r="G995" s="140"/>
      <c r="H995" s="141"/>
      <c r="I995" s="184"/>
      <c r="J995" s="149"/>
      <c r="K995" s="184"/>
      <c r="L995" s="149">
        <v>45078</v>
      </c>
      <c r="M995" s="144"/>
      <c r="N995" s="879"/>
      <c r="O995" s="115"/>
      <c r="P995" s="115"/>
      <c r="Q995" s="116"/>
      <c r="R995" s="116"/>
      <c r="S995" s="117"/>
    </row>
    <row r="996" spans="1:19" s="146" customFormat="1" ht="18" customHeight="1">
      <c r="A996" s="183"/>
      <c r="B996" s="957"/>
      <c r="C996" s="957"/>
      <c r="D996" s="957"/>
      <c r="E996" s="154"/>
      <c r="F996" s="957"/>
      <c r="G996" s="140"/>
      <c r="H996" s="141"/>
      <c r="I996" s="184"/>
      <c r="J996" s="149"/>
      <c r="K996" s="184"/>
      <c r="L996" s="149"/>
      <c r="M996" s="144"/>
      <c r="N996" s="879"/>
      <c r="O996" s="115"/>
      <c r="P996" s="115"/>
      <c r="Q996" s="116"/>
      <c r="R996" s="116"/>
      <c r="S996" s="117"/>
    </row>
    <row r="997" spans="1:19" s="146" customFormat="1" ht="18" customHeight="1">
      <c r="A997" s="183">
        <v>10</v>
      </c>
      <c r="B997" s="920"/>
      <c r="C997" s="920"/>
      <c r="D997" s="920"/>
      <c r="E997" s="154" t="s">
        <v>123</v>
      </c>
      <c r="F997" s="920"/>
      <c r="G997" s="140"/>
      <c r="H997" s="141" t="s">
        <v>135</v>
      </c>
      <c r="I997" s="184" t="s">
        <v>134</v>
      </c>
      <c r="J997" s="143">
        <v>312144</v>
      </c>
      <c r="K997" s="184" t="s">
        <v>134</v>
      </c>
      <c r="L997" s="143">
        <v>330876</v>
      </c>
      <c r="M997" s="144">
        <f>L997-J997</f>
        <v>18732</v>
      </c>
      <c r="N997" s="879"/>
      <c r="O997" s="115">
        <f>M997+L997</f>
        <v>349608</v>
      </c>
      <c r="P997" s="115"/>
      <c r="Q997" s="116"/>
      <c r="R997" s="116"/>
      <c r="S997" s="145"/>
    </row>
    <row r="998" spans="1:19" s="146" customFormat="1" ht="18" customHeight="1">
      <c r="A998" s="183"/>
      <c r="B998" s="920"/>
      <c r="C998" s="920"/>
      <c r="D998" s="920"/>
      <c r="E998" s="154"/>
      <c r="F998" s="920"/>
      <c r="G998" s="140"/>
      <c r="H998" s="141"/>
      <c r="I998" s="184"/>
      <c r="J998" s="143"/>
      <c r="K998" s="184"/>
      <c r="L998" s="143"/>
      <c r="M998" s="144"/>
      <c r="N998" s="879"/>
      <c r="O998" s="115"/>
      <c r="P998" s="115"/>
      <c r="Q998" s="116"/>
      <c r="R998" s="116"/>
      <c r="S998" s="145"/>
    </row>
    <row r="999" spans="1:19" s="146" customFormat="1" ht="18" customHeight="1">
      <c r="A999" s="183">
        <v>11</v>
      </c>
      <c r="B999" s="920"/>
      <c r="C999" s="920"/>
      <c r="D999" s="920"/>
      <c r="E999" s="154" t="s">
        <v>123</v>
      </c>
      <c r="F999" s="920"/>
      <c r="G999" s="140"/>
      <c r="H999" s="141" t="s">
        <v>125</v>
      </c>
      <c r="I999" s="194" t="s">
        <v>65</v>
      </c>
      <c r="J999" s="143">
        <v>330168</v>
      </c>
      <c r="K999" s="194" t="s">
        <v>65</v>
      </c>
      <c r="L999" s="143">
        <v>348900</v>
      </c>
      <c r="M999" s="144">
        <f>L999-J999</f>
        <v>18732</v>
      </c>
      <c r="N999" s="879"/>
      <c r="O999" s="115">
        <f>M999+L999</f>
        <v>367632</v>
      </c>
      <c r="P999" s="115"/>
      <c r="Q999" s="116"/>
      <c r="R999" s="116"/>
      <c r="S999" s="145"/>
    </row>
    <row r="1000" spans="1:19" s="146" customFormat="1" ht="18" customHeight="1">
      <c r="A1000" s="183"/>
      <c r="B1000" s="920"/>
      <c r="C1000" s="920"/>
      <c r="D1000" s="920"/>
      <c r="E1000" s="154"/>
      <c r="F1000" s="920"/>
      <c r="G1000" s="140"/>
      <c r="H1000" s="141"/>
      <c r="I1000" s="194"/>
      <c r="J1000" s="143"/>
      <c r="K1000" s="194"/>
      <c r="L1000" s="143"/>
      <c r="M1000" s="144"/>
      <c r="N1000" s="879"/>
      <c r="O1000" s="115"/>
      <c r="P1000" s="115"/>
      <c r="Q1000" s="116"/>
      <c r="R1000" s="116"/>
      <c r="S1000" s="117"/>
    </row>
    <row r="1001" spans="1:19" s="146" customFormat="1" ht="18" customHeight="1">
      <c r="A1001" s="183">
        <v>12</v>
      </c>
      <c r="B1001" s="920"/>
      <c r="C1001" s="920"/>
      <c r="D1001" s="920"/>
      <c r="E1001" s="154" t="s">
        <v>126</v>
      </c>
      <c r="F1001" s="920"/>
      <c r="G1001" s="140"/>
      <c r="H1001" s="141" t="s">
        <v>221</v>
      </c>
      <c r="I1001" s="184" t="s">
        <v>1442</v>
      </c>
      <c r="J1001" s="143">
        <v>160872</v>
      </c>
      <c r="K1001" s="184" t="s">
        <v>1442</v>
      </c>
      <c r="L1001" s="143">
        <v>167100</v>
      </c>
      <c r="M1001" s="144">
        <f>L1001-J1001</f>
        <v>6228</v>
      </c>
      <c r="N1001" s="879"/>
      <c r="O1001" s="115">
        <f>L1002+M1001+M1002</f>
        <v>175361</v>
      </c>
      <c r="P1001" s="115"/>
      <c r="Q1001" s="116"/>
      <c r="R1001" s="116"/>
      <c r="S1001" s="145"/>
    </row>
    <row r="1002" spans="1:19" s="146" customFormat="1" ht="18" customHeight="1">
      <c r="A1002" s="183"/>
      <c r="B1002" s="920"/>
      <c r="C1002" s="920"/>
      <c r="D1002" s="920"/>
      <c r="E1002" s="154"/>
      <c r="F1002" s="920"/>
      <c r="G1002" s="140"/>
      <c r="H1002" s="141"/>
      <c r="I1002" s="184"/>
      <c r="J1002" s="149"/>
      <c r="K1002" s="184" t="s">
        <v>1674</v>
      </c>
      <c r="L1002" s="143">
        <v>168384</v>
      </c>
      <c r="M1002" s="144">
        <v>749</v>
      </c>
      <c r="N1002" s="882">
        <f>(L1002-L1001)*7/12</f>
        <v>749</v>
      </c>
      <c r="O1002" s="115"/>
      <c r="P1002" s="115"/>
      <c r="Q1002" s="116"/>
      <c r="R1002" s="116"/>
      <c r="S1002" s="117"/>
    </row>
    <row r="1003" spans="1:19" s="146" customFormat="1" ht="18" customHeight="1">
      <c r="A1003" s="183"/>
      <c r="B1003" s="920"/>
      <c r="C1003" s="920"/>
      <c r="D1003" s="920"/>
      <c r="E1003" s="154"/>
      <c r="F1003" s="920"/>
      <c r="G1003" s="140"/>
      <c r="H1003" s="141"/>
      <c r="I1003" s="185"/>
      <c r="J1003" s="143"/>
      <c r="K1003" s="185"/>
      <c r="L1003" s="149">
        <v>45078</v>
      </c>
      <c r="M1003" s="144"/>
      <c r="N1003" s="879"/>
      <c r="O1003" s="115"/>
      <c r="P1003" s="115"/>
      <c r="Q1003" s="116"/>
      <c r="R1003" s="116"/>
      <c r="S1003" s="117"/>
    </row>
    <row r="1004" spans="1:19" s="146" customFormat="1" ht="18" customHeight="1">
      <c r="A1004" s="183"/>
      <c r="B1004" s="957"/>
      <c r="C1004" s="957"/>
      <c r="D1004" s="957"/>
      <c r="E1004" s="154"/>
      <c r="F1004" s="957"/>
      <c r="G1004" s="140"/>
      <c r="H1004" s="141"/>
      <c r="I1004" s="185"/>
      <c r="J1004" s="143"/>
      <c r="K1004" s="185"/>
      <c r="L1004" s="149"/>
      <c r="M1004" s="144"/>
      <c r="N1004" s="879"/>
      <c r="O1004" s="115"/>
      <c r="P1004" s="115"/>
      <c r="Q1004" s="116"/>
      <c r="R1004" s="116"/>
      <c r="S1004" s="117"/>
    </row>
    <row r="1005" spans="1:19" s="146" customFormat="1" ht="18" customHeight="1">
      <c r="A1005" s="183">
        <v>13</v>
      </c>
      <c r="B1005" s="1552"/>
      <c r="C1005" s="1553"/>
      <c r="D1005" s="1554"/>
      <c r="E1005" s="154" t="s">
        <v>1647</v>
      </c>
      <c r="F1005" s="930"/>
      <c r="G1005" s="140"/>
      <c r="H1005" s="141" t="s">
        <v>129</v>
      </c>
      <c r="I1005" s="142" t="s">
        <v>52</v>
      </c>
      <c r="J1005" s="143">
        <v>421164</v>
      </c>
      <c r="K1005" s="142" t="s">
        <v>52</v>
      </c>
      <c r="L1005" s="143">
        <v>439428</v>
      </c>
      <c r="M1005" s="144">
        <f>L1005-J1005</f>
        <v>18264</v>
      </c>
      <c r="N1005" s="879"/>
      <c r="O1005" s="115">
        <f>M1005+L1005</f>
        <v>457692</v>
      </c>
      <c r="P1005" s="115"/>
      <c r="Q1005" s="116"/>
      <c r="R1005" s="116"/>
      <c r="S1005" s="145"/>
    </row>
    <row r="1006" spans="1:19" s="146" customFormat="1" ht="18" customHeight="1">
      <c r="A1006" s="183"/>
      <c r="B1006" s="957"/>
      <c r="C1006" s="957"/>
      <c r="D1006" s="957"/>
      <c r="E1006" s="154"/>
      <c r="F1006" s="957"/>
      <c r="G1006" s="140"/>
      <c r="H1006" s="141"/>
      <c r="I1006" s="185"/>
      <c r="J1006" s="143"/>
      <c r="K1006" s="185"/>
      <c r="L1006" s="149"/>
      <c r="M1006" s="144"/>
      <c r="N1006" s="879"/>
      <c r="O1006" s="115"/>
      <c r="P1006" s="115"/>
      <c r="Q1006" s="116"/>
      <c r="R1006" s="116"/>
      <c r="S1006" s="117"/>
    </row>
    <row r="1007" spans="1:19" s="146" customFormat="1" ht="18" customHeight="1">
      <c r="A1007" s="183">
        <v>14</v>
      </c>
      <c r="B1007" s="920"/>
      <c r="C1007" s="920"/>
      <c r="D1007" s="920"/>
      <c r="E1007" s="154" t="s">
        <v>128</v>
      </c>
      <c r="F1007" s="920"/>
      <c r="G1007" s="140"/>
      <c r="H1007" s="141" t="s">
        <v>1923</v>
      </c>
      <c r="I1007" s="184" t="s">
        <v>434</v>
      </c>
      <c r="J1007" s="143">
        <v>319200</v>
      </c>
      <c r="K1007" s="184" t="s">
        <v>384</v>
      </c>
      <c r="L1007" s="143">
        <v>324000</v>
      </c>
      <c r="M1007" s="144">
        <f>L1007-J1007</f>
        <v>4800</v>
      </c>
      <c r="N1007" s="879"/>
      <c r="O1007" s="115">
        <f>M1007+L1007</f>
        <v>328800</v>
      </c>
      <c r="P1007" s="115"/>
      <c r="Q1007" s="116"/>
      <c r="R1007" s="116"/>
      <c r="S1007" s="145"/>
    </row>
    <row r="1008" spans="1:19" s="146" customFormat="1" ht="18" customHeight="1">
      <c r="A1008" s="183"/>
      <c r="B1008" s="920"/>
      <c r="C1008" s="920"/>
      <c r="D1008" s="920"/>
      <c r="E1008" s="154"/>
      <c r="F1008" s="920"/>
      <c r="G1008" s="140"/>
      <c r="H1008" s="141"/>
      <c r="I1008" s="184"/>
      <c r="J1008" s="149"/>
      <c r="K1008" s="184"/>
      <c r="L1008" s="149"/>
      <c r="M1008" s="144"/>
      <c r="N1008" s="879"/>
      <c r="O1008" s="115"/>
      <c r="P1008" s="115"/>
      <c r="Q1008" s="116"/>
      <c r="R1008" s="116"/>
      <c r="S1008" s="145"/>
    </row>
    <row r="1009" spans="1:19" s="146" customFormat="1" ht="18" customHeight="1">
      <c r="A1009" s="183">
        <v>15</v>
      </c>
      <c r="B1009" s="1552"/>
      <c r="C1009" s="1553"/>
      <c r="D1009" s="1554"/>
      <c r="E1009" s="154" t="s">
        <v>1648</v>
      </c>
      <c r="F1009" s="930"/>
      <c r="G1009" s="140"/>
      <c r="H1009" s="141" t="s">
        <v>127</v>
      </c>
      <c r="I1009" s="142" t="s">
        <v>160</v>
      </c>
      <c r="J1009" s="143">
        <v>227976</v>
      </c>
      <c r="K1009" s="142" t="s">
        <v>160</v>
      </c>
      <c r="L1009" s="143">
        <v>236928</v>
      </c>
      <c r="M1009" s="144">
        <f>L1009-J1009</f>
        <v>8952</v>
      </c>
      <c r="N1009" s="879"/>
      <c r="O1009" s="115">
        <f>M1009+L1009</f>
        <v>245880</v>
      </c>
      <c r="P1009" s="115"/>
      <c r="Q1009" s="116"/>
      <c r="R1009" s="116"/>
      <c r="S1009" s="145"/>
    </row>
    <row r="1010" spans="1:19" s="146" customFormat="1" ht="18" customHeight="1">
      <c r="A1010" s="183"/>
      <c r="B1010" s="957"/>
      <c r="C1010" s="957"/>
      <c r="D1010" s="957"/>
      <c r="E1010" s="154"/>
      <c r="F1010" s="957"/>
      <c r="G1010" s="140"/>
      <c r="H1010" s="141"/>
      <c r="I1010" s="184"/>
      <c r="J1010" s="143"/>
      <c r="K1010" s="184"/>
      <c r="L1010" s="143"/>
      <c r="M1010" s="143"/>
      <c r="N1010" s="170"/>
      <c r="O1010" s="115"/>
      <c r="P1010" s="115"/>
      <c r="Q1010" s="116"/>
      <c r="R1010" s="116"/>
      <c r="S1010" s="117"/>
    </row>
    <row r="1011" spans="1:19" s="146" customFormat="1" ht="18" customHeight="1">
      <c r="A1011" s="183">
        <v>16</v>
      </c>
      <c r="B1011" s="920"/>
      <c r="C1011" s="920"/>
      <c r="D1011" s="920"/>
      <c r="E1011" s="154" t="s">
        <v>412</v>
      </c>
      <c r="F1011" s="920"/>
      <c r="G1011" s="140"/>
      <c r="H1011" s="141" t="s">
        <v>1924</v>
      </c>
      <c r="I1011" s="142" t="s">
        <v>431</v>
      </c>
      <c r="J1011" s="143">
        <v>204084</v>
      </c>
      <c r="K1011" s="142" t="s">
        <v>238</v>
      </c>
      <c r="L1011" s="143">
        <v>210636</v>
      </c>
      <c r="M1011" s="144">
        <f>L1011-J1011</f>
        <v>6552</v>
      </c>
      <c r="N1011" s="879"/>
      <c r="O1011" s="115">
        <f>M1011+L1011</f>
        <v>217188</v>
      </c>
      <c r="P1011" s="115"/>
      <c r="Q1011" s="116"/>
      <c r="R1011" s="116"/>
      <c r="S1011" s="145"/>
    </row>
    <row r="1012" spans="1:19" s="146" customFormat="1" ht="18" customHeight="1">
      <c r="A1012" s="183"/>
      <c r="B1012" s="957"/>
      <c r="C1012" s="957"/>
      <c r="D1012" s="957"/>
      <c r="E1012" s="154"/>
      <c r="F1012" s="957"/>
      <c r="G1012" s="140"/>
      <c r="H1012" s="141"/>
      <c r="I1012" s="142"/>
      <c r="J1012" s="143"/>
      <c r="K1012" s="142"/>
      <c r="L1012" s="143"/>
      <c r="M1012" s="144"/>
      <c r="N1012" s="879"/>
      <c r="O1012" s="115"/>
      <c r="P1012" s="115"/>
      <c r="Q1012" s="116"/>
      <c r="R1012" s="116"/>
      <c r="S1012" s="145"/>
    </row>
    <row r="1013" spans="1:19" s="146" customFormat="1" ht="18" customHeight="1">
      <c r="A1013" s="183"/>
      <c r="B1013" s="957"/>
      <c r="C1013" s="957"/>
      <c r="D1013" s="957"/>
      <c r="E1013" s="154"/>
      <c r="F1013" s="957"/>
      <c r="G1013" s="140"/>
      <c r="H1013" s="141"/>
      <c r="I1013" s="142"/>
      <c r="J1013" s="143"/>
      <c r="K1013" s="142"/>
      <c r="L1013" s="143"/>
      <c r="M1013" s="144"/>
      <c r="N1013" s="879"/>
      <c r="O1013" s="115"/>
      <c r="P1013" s="115"/>
      <c r="Q1013" s="116"/>
      <c r="R1013" s="116"/>
      <c r="S1013" s="145"/>
    </row>
    <row r="1014" spans="1:19" s="146" customFormat="1" ht="18" customHeight="1">
      <c r="A1014" s="183"/>
      <c r="B1014" s="930"/>
      <c r="C1014" s="930"/>
      <c r="D1014" s="930"/>
      <c r="E1014" s="154"/>
      <c r="F1014" s="930"/>
      <c r="G1014" s="140"/>
      <c r="H1014" s="141"/>
      <c r="I1014" s="142"/>
      <c r="J1014" s="143"/>
      <c r="K1014" s="142"/>
      <c r="L1014" s="143"/>
      <c r="M1014" s="144"/>
      <c r="N1014" s="879"/>
      <c r="O1014" s="115"/>
      <c r="P1014" s="115"/>
      <c r="Q1014" s="116"/>
      <c r="R1014" s="116"/>
      <c r="S1014" s="145"/>
    </row>
    <row r="1015" spans="1:19" s="146" customFormat="1" ht="18" customHeight="1">
      <c r="A1015" s="183"/>
      <c r="B1015" s="920"/>
      <c r="C1015" s="920"/>
      <c r="D1015" s="920"/>
      <c r="E1015" s="919"/>
      <c r="F1015" s="920"/>
      <c r="G1015" s="140"/>
      <c r="H1015" s="141"/>
      <c r="I1015" s="142"/>
      <c r="J1015" s="143"/>
      <c r="K1015" s="142"/>
      <c r="L1015" s="143"/>
      <c r="M1015" s="143"/>
      <c r="N1015" s="170"/>
      <c r="O1015" s="115"/>
      <c r="P1015" s="115"/>
      <c r="Q1015" s="116"/>
      <c r="R1015" s="116"/>
      <c r="S1015" s="117"/>
    </row>
    <row r="1016" spans="1:19" s="168" customFormat="1" ht="18" customHeight="1" thickBot="1">
      <c r="A1016" s="161"/>
      <c r="B1016" s="158"/>
      <c r="C1016" s="158"/>
      <c r="D1016" s="158"/>
      <c r="E1016" s="186"/>
      <c r="F1016" s="158"/>
      <c r="G1016" s="160"/>
      <c r="H1016" s="161" t="s">
        <v>15</v>
      </c>
      <c r="I1016" s="187"/>
      <c r="J1016" s="164">
        <f>SUM(J972:J1015)</f>
        <v>6517560</v>
      </c>
      <c r="K1016" s="187"/>
      <c r="L1016" s="164"/>
      <c r="M1016" s="164">
        <f>SUM(M972:M1015)</f>
        <v>248524</v>
      </c>
      <c r="N1016" s="171"/>
      <c r="O1016" s="165">
        <f>SUM(O972:O1015)</f>
        <v>7019008</v>
      </c>
      <c r="P1016" s="165"/>
      <c r="Q1016" s="166"/>
      <c r="R1016" s="166"/>
      <c r="S1016" s="167"/>
    </row>
    <row r="1017" spans="1:19" s="146" customFormat="1" ht="18" customHeight="1" thickTop="1">
      <c r="A1017" s="920"/>
      <c r="B1017" s="920"/>
      <c r="C1017" s="920"/>
      <c r="D1017" s="920"/>
      <c r="E1017" s="920"/>
      <c r="F1017" s="920"/>
      <c r="G1017" s="155"/>
      <c r="H1017" s="155"/>
      <c r="I1017" s="920"/>
      <c r="J1017" s="170"/>
      <c r="K1017" s="152"/>
      <c r="L1017" s="170"/>
      <c r="M1017" s="170"/>
      <c r="N1017" s="170"/>
      <c r="O1017" s="115"/>
      <c r="P1017" s="115"/>
      <c r="Q1017" s="116"/>
      <c r="R1017" s="116"/>
      <c r="S1017" s="117"/>
    </row>
    <row r="1018" spans="1:19" s="146" customFormat="1" ht="18" customHeight="1">
      <c r="A1018" s="920"/>
      <c r="B1018" s="920"/>
      <c r="C1018" s="920"/>
      <c r="D1018" s="920"/>
      <c r="E1018" s="920"/>
      <c r="F1018" s="920"/>
      <c r="G1018" s="155"/>
      <c r="H1018" s="155"/>
      <c r="I1018" s="920"/>
      <c r="J1018" s="170"/>
      <c r="K1018" s="152"/>
      <c r="L1018" s="170"/>
      <c r="M1018" s="170"/>
      <c r="N1018" s="170"/>
      <c r="O1018" s="115"/>
      <c r="P1018" s="115"/>
      <c r="Q1018" s="116"/>
      <c r="R1018" s="116"/>
      <c r="S1018" s="117"/>
    </row>
    <row r="1019" spans="1:19" s="146" customFormat="1" ht="18" customHeight="1">
      <c r="A1019" s="920"/>
      <c r="B1019" s="920"/>
      <c r="C1019" s="920"/>
      <c r="D1019" s="920"/>
      <c r="E1019" s="920"/>
      <c r="F1019" s="920"/>
      <c r="G1019" s="155"/>
      <c r="H1019" s="155"/>
      <c r="I1019" s="920"/>
      <c r="J1019" s="170"/>
      <c r="K1019" s="152"/>
      <c r="L1019" s="170"/>
      <c r="M1019" s="170"/>
      <c r="N1019" s="170"/>
      <c r="O1019" s="115"/>
      <c r="P1019" s="115"/>
      <c r="Q1019" s="116"/>
      <c r="R1019" s="116"/>
      <c r="S1019" s="117"/>
    </row>
    <row r="1020" spans="1:19" s="146" customFormat="1" ht="18" customHeight="1">
      <c r="A1020" s="173" t="s">
        <v>614</v>
      </c>
      <c r="B1020" s="173"/>
      <c r="C1020" s="912"/>
      <c r="D1020" s="912"/>
      <c r="E1020" s="174"/>
      <c r="F1020" s="174"/>
      <c r="G1020" s="174"/>
      <c r="H1020" s="173" t="s">
        <v>615</v>
      </c>
      <c r="I1020" s="174"/>
      <c r="K1020" s="173" t="s">
        <v>253</v>
      </c>
      <c r="L1020" s="175"/>
      <c r="M1020" s="175"/>
      <c r="N1020" s="175"/>
      <c r="O1020" s="115"/>
      <c r="P1020" s="115"/>
      <c r="Q1020" s="116"/>
      <c r="R1020" s="116"/>
      <c r="S1020" s="117"/>
    </row>
    <row r="1021" spans="1:19" s="146" customFormat="1" ht="18" customHeight="1">
      <c r="A1021" s="174"/>
      <c r="B1021" s="174"/>
      <c r="C1021" s="913"/>
      <c r="D1021" s="913"/>
      <c r="E1021" s="174"/>
      <c r="F1021" s="174"/>
      <c r="G1021" s="174"/>
      <c r="H1021" s="174"/>
      <c r="I1021" s="174"/>
      <c r="J1021" s="174"/>
      <c r="K1021" s="176"/>
      <c r="L1021" s="175"/>
      <c r="M1021" s="175"/>
      <c r="N1021" s="175"/>
      <c r="O1021" s="115"/>
      <c r="P1021" s="115"/>
      <c r="Q1021" s="116"/>
      <c r="R1021" s="116"/>
      <c r="S1021" s="117"/>
    </row>
    <row r="1022" spans="1:19" s="146" customFormat="1" ht="18" customHeight="1">
      <c r="A1022" s="1531" t="s">
        <v>242</v>
      </c>
      <c r="B1022" s="1531"/>
      <c r="C1022" s="1531"/>
      <c r="D1022" s="1531"/>
      <c r="E1022" s="1531"/>
      <c r="F1022" s="1531"/>
      <c r="G1022" s="174"/>
      <c r="H1022" s="1531" t="s">
        <v>17</v>
      </c>
      <c r="I1022" s="1531"/>
      <c r="J1022" s="174"/>
      <c r="K1022" s="1531" t="s">
        <v>1436</v>
      </c>
      <c r="L1022" s="1531"/>
      <c r="M1022" s="1531"/>
      <c r="N1022" s="912"/>
      <c r="O1022" s="115"/>
      <c r="P1022" s="115"/>
      <c r="Q1022" s="116"/>
      <c r="R1022" s="116"/>
      <c r="S1022" s="117"/>
    </row>
    <row r="1023" spans="1:19" s="146" customFormat="1" ht="18" customHeight="1">
      <c r="A1023" s="1520" t="s">
        <v>422</v>
      </c>
      <c r="B1023" s="1520"/>
      <c r="C1023" s="1520"/>
      <c r="D1023" s="1520"/>
      <c r="E1023" s="1520"/>
      <c r="F1023" s="1520"/>
      <c r="G1023" s="177"/>
      <c r="H1023" s="1520" t="s">
        <v>18</v>
      </c>
      <c r="I1023" s="1520"/>
      <c r="J1023" s="912"/>
      <c r="K1023" s="1520" t="s">
        <v>14</v>
      </c>
      <c r="L1023" s="1520"/>
      <c r="M1023" s="1520"/>
      <c r="N1023" s="913"/>
      <c r="O1023" s="115"/>
      <c r="P1023" s="115"/>
      <c r="Q1023" s="116"/>
      <c r="R1023" s="116"/>
      <c r="S1023" s="117"/>
    </row>
    <row r="1024" spans="1:19" s="146" customFormat="1" ht="18" customHeight="1">
      <c r="A1024" s="913"/>
      <c r="B1024" s="913"/>
      <c r="C1024" s="913"/>
      <c r="D1024" s="913"/>
      <c r="E1024" s="913"/>
      <c r="F1024" s="913"/>
      <c r="G1024" s="177"/>
      <c r="H1024" s="913"/>
      <c r="I1024" s="913"/>
      <c r="J1024" s="912"/>
      <c r="K1024" s="913"/>
      <c r="L1024" s="913"/>
      <c r="M1024" s="913"/>
      <c r="N1024" s="913"/>
      <c r="O1024" s="115"/>
      <c r="P1024" s="115"/>
      <c r="Q1024" s="116"/>
      <c r="R1024" s="116"/>
      <c r="S1024" s="117"/>
    </row>
    <row r="1025" spans="1:23" s="146" customFormat="1" ht="18" customHeight="1">
      <c r="A1025" s="913"/>
      <c r="B1025" s="913"/>
      <c r="C1025" s="913"/>
      <c r="D1025" s="913"/>
      <c r="E1025" s="913"/>
      <c r="F1025" s="913"/>
      <c r="G1025" s="177"/>
      <c r="H1025" s="913"/>
      <c r="I1025" s="913"/>
      <c r="J1025" s="912"/>
      <c r="K1025" s="913"/>
      <c r="L1025" s="913"/>
      <c r="M1025" s="913"/>
      <c r="N1025" s="913"/>
      <c r="O1025" s="115"/>
      <c r="P1025" s="115"/>
      <c r="Q1025" s="116"/>
      <c r="R1025" s="116"/>
      <c r="S1025" s="117"/>
    </row>
    <row r="1026" spans="1:23" s="146" customFormat="1" ht="18" customHeight="1">
      <c r="A1026" s="913"/>
      <c r="B1026" s="913"/>
      <c r="C1026" s="913"/>
      <c r="D1026" s="913"/>
      <c r="E1026" s="913"/>
      <c r="F1026" s="913"/>
      <c r="G1026" s="177"/>
      <c r="H1026" s="913"/>
      <c r="I1026" s="913"/>
      <c r="J1026" s="912"/>
      <c r="K1026" s="913"/>
      <c r="L1026" s="913"/>
      <c r="M1026" s="913"/>
      <c r="N1026" s="913"/>
      <c r="O1026" s="115"/>
      <c r="P1026" s="115"/>
      <c r="Q1026" s="116"/>
      <c r="R1026" s="116"/>
      <c r="S1026" s="117"/>
    </row>
    <row r="1027" spans="1:23" s="146" customFormat="1" ht="18" customHeight="1">
      <c r="A1027" s="913"/>
      <c r="B1027" s="913"/>
      <c r="C1027" s="913"/>
      <c r="D1027" s="913"/>
      <c r="E1027" s="913"/>
      <c r="F1027" s="913"/>
      <c r="G1027" s="177"/>
      <c r="H1027" s="913"/>
      <c r="I1027" s="913"/>
      <c r="J1027" s="912"/>
      <c r="K1027" s="913"/>
      <c r="L1027" s="913"/>
      <c r="M1027" s="913"/>
      <c r="N1027" s="913"/>
      <c r="O1027" s="115"/>
      <c r="P1027" s="115"/>
      <c r="Q1027" s="116"/>
      <c r="R1027" s="116"/>
      <c r="S1027" s="117"/>
    </row>
    <row r="1028" spans="1:23" s="115" customFormat="1" ht="18" customHeight="1">
      <c r="A1028" s="118"/>
      <c r="B1028" s="118"/>
      <c r="C1028" s="209"/>
      <c r="D1028" s="209"/>
      <c r="E1028" s="118"/>
      <c r="F1028" s="118"/>
      <c r="G1028" s="118"/>
      <c r="H1028" s="118"/>
      <c r="I1028" s="118"/>
      <c r="J1028" s="118"/>
      <c r="K1028" s="136"/>
      <c r="L1028" s="113"/>
      <c r="M1028" s="178"/>
      <c r="N1028" s="178"/>
      <c r="Q1028" s="116"/>
      <c r="R1028" s="116"/>
      <c r="S1028" s="117"/>
      <c r="T1028" s="118"/>
      <c r="U1028" s="118"/>
      <c r="V1028" s="118"/>
      <c r="W1028" s="118"/>
    </row>
    <row r="1029" spans="1:23" s="262" customFormat="1" ht="20.100000000000001" customHeight="1">
      <c r="A1029" s="1448" t="s">
        <v>963</v>
      </c>
      <c r="B1029" s="1448"/>
      <c r="C1029" s="1448"/>
      <c r="D1029" s="1448"/>
      <c r="E1029" s="1448"/>
      <c r="F1029" s="1448"/>
      <c r="G1029" s="1448"/>
      <c r="H1029" s="1448"/>
      <c r="I1029" s="1448"/>
      <c r="J1029" s="1448"/>
      <c r="K1029" s="1448"/>
      <c r="L1029" s="1448"/>
      <c r="M1029" s="1448"/>
      <c r="N1029" s="918"/>
      <c r="S1029" s="179"/>
      <c r="T1029" s="179"/>
      <c r="U1029" s="179"/>
      <c r="V1029" s="179"/>
      <c r="W1029" s="179"/>
    </row>
    <row r="1030" spans="1:23" s="115" customFormat="1" ht="18" customHeight="1">
      <c r="A1030" s="110"/>
      <c r="B1030" s="110"/>
      <c r="C1030" s="917"/>
      <c r="D1030" s="917"/>
      <c r="E1030" s="111"/>
      <c r="F1030" s="111"/>
      <c r="G1030" s="111"/>
      <c r="H1030" s="111"/>
      <c r="I1030" s="111"/>
      <c r="J1030" s="111"/>
      <c r="K1030" s="112"/>
      <c r="L1030" s="113"/>
      <c r="M1030" s="114"/>
      <c r="N1030" s="114"/>
      <c r="Q1030" s="116"/>
      <c r="R1030" s="116"/>
      <c r="S1030" s="117"/>
      <c r="T1030" s="118"/>
      <c r="U1030" s="118"/>
      <c r="V1030" s="118"/>
      <c r="W1030" s="118"/>
    </row>
    <row r="1031" spans="1:23" s="115" customFormat="1" ht="18" customHeight="1">
      <c r="A1031" s="1538" t="s">
        <v>1663</v>
      </c>
      <c r="B1031" s="1538"/>
      <c r="C1031" s="1538"/>
      <c r="D1031" s="1538"/>
      <c r="E1031" s="1538"/>
      <c r="F1031" s="1538"/>
      <c r="G1031" s="1538"/>
      <c r="H1031" s="1538"/>
      <c r="I1031" s="1538"/>
      <c r="J1031" s="1538"/>
      <c r="K1031" s="1538"/>
      <c r="L1031" s="1538"/>
      <c r="M1031" s="1538"/>
      <c r="N1031" s="908"/>
      <c r="Q1031" s="116"/>
      <c r="R1031" s="116"/>
      <c r="S1031" s="117"/>
      <c r="T1031" s="118"/>
      <c r="U1031" s="118"/>
      <c r="V1031" s="118"/>
      <c r="W1031" s="118"/>
    </row>
    <row r="1032" spans="1:23" s="115" customFormat="1" ht="18" customHeight="1">
      <c r="A1032" s="1539" t="s">
        <v>351</v>
      </c>
      <c r="B1032" s="1539"/>
      <c r="C1032" s="1539"/>
      <c r="D1032" s="1539"/>
      <c r="E1032" s="1539"/>
      <c r="F1032" s="1539"/>
      <c r="G1032" s="1539"/>
      <c r="H1032" s="1539"/>
      <c r="I1032" s="1539"/>
      <c r="J1032" s="1539"/>
      <c r="K1032" s="1539"/>
      <c r="L1032" s="1539"/>
      <c r="M1032" s="1539"/>
      <c r="N1032" s="909"/>
      <c r="Q1032" s="116"/>
      <c r="R1032" s="116"/>
      <c r="S1032" s="117"/>
      <c r="T1032" s="118"/>
      <c r="U1032" s="118"/>
      <c r="V1032" s="118"/>
      <c r="W1032" s="118"/>
    </row>
    <row r="1033" spans="1:23" s="115" customFormat="1" ht="18" customHeight="1">
      <c r="A1033" s="1540"/>
      <c r="B1033" s="1540"/>
      <c r="C1033" s="1540"/>
      <c r="D1033" s="1540"/>
      <c r="E1033" s="1540"/>
      <c r="F1033" s="1540"/>
      <c r="G1033" s="1540"/>
      <c r="H1033" s="1540"/>
      <c r="I1033" s="1540"/>
      <c r="J1033" s="1540"/>
      <c r="K1033" s="1540"/>
      <c r="L1033" s="1540"/>
      <c r="M1033" s="1540"/>
      <c r="N1033" s="910"/>
      <c r="Q1033" s="116"/>
      <c r="R1033" s="116"/>
      <c r="S1033" s="117"/>
      <c r="T1033" s="118"/>
      <c r="U1033" s="118"/>
      <c r="V1033" s="118"/>
      <c r="W1033" s="118"/>
    </row>
    <row r="1034" spans="1:23" s="115" customFormat="1" ht="18" customHeight="1">
      <c r="A1034" s="910"/>
      <c r="B1034" s="910"/>
      <c r="C1034" s="910"/>
      <c r="D1034" s="910"/>
      <c r="E1034" s="910"/>
      <c r="F1034" s="910"/>
      <c r="G1034" s="910"/>
      <c r="H1034" s="910"/>
      <c r="I1034" s="910"/>
      <c r="J1034" s="910"/>
      <c r="K1034" s="910"/>
      <c r="L1034" s="910"/>
      <c r="M1034" s="910"/>
      <c r="N1034" s="910"/>
      <c r="Q1034" s="116"/>
      <c r="R1034" s="116"/>
      <c r="S1034" s="117"/>
      <c r="T1034" s="118"/>
      <c r="U1034" s="118"/>
      <c r="V1034" s="118"/>
      <c r="W1034" s="118"/>
    </row>
    <row r="1035" spans="1:23" s="115" customFormat="1" ht="18" customHeight="1">
      <c r="A1035" s="111" t="s">
        <v>441</v>
      </c>
      <c r="B1035" s="111"/>
      <c r="C1035" s="111" t="s">
        <v>439</v>
      </c>
      <c r="D1035" s="111" t="s">
        <v>467</v>
      </c>
      <c r="E1035" s="111"/>
      <c r="F1035" s="111"/>
      <c r="G1035" s="111"/>
      <c r="H1035" s="111"/>
      <c r="I1035" s="910"/>
      <c r="J1035" s="910"/>
      <c r="K1035" s="910"/>
      <c r="L1035" s="910"/>
      <c r="M1035" s="910"/>
      <c r="N1035" s="910"/>
      <c r="Q1035" s="116"/>
      <c r="R1035" s="116"/>
      <c r="S1035" s="117"/>
      <c r="T1035" s="118"/>
      <c r="U1035" s="118"/>
      <c r="V1035" s="118"/>
      <c r="W1035" s="118"/>
    </row>
    <row r="1036" spans="1:23" s="115" customFormat="1" ht="18" customHeight="1">
      <c r="A1036" s="111" t="s">
        <v>464</v>
      </c>
      <c r="B1036" s="111"/>
      <c r="C1036" s="111" t="s">
        <v>439</v>
      </c>
      <c r="D1036" s="111" t="s">
        <v>465</v>
      </c>
      <c r="E1036" s="111"/>
      <c r="F1036" s="111"/>
      <c r="G1036" s="111"/>
      <c r="H1036" s="111"/>
      <c r="I1036" s="910"/>
      <c r="J1036" s="910"/>
      <c r="K1036" s="910"/>
      <c r="L1036" s="910"/>
      <c r="M1036" s="910"/>
      <c r="N1036" s="910"/>
      <c r="O1036" s="180"/>
      <c r="Q1036" s="116"/>
      <c r="R1036" s="116"/>
      <c r="S1036" s="117"/>
      <c r="T1036" s="118"/>
      <c r="U1036" s="118"/>
      <c r="V1036" s="118"/>
      <c r="W1036" s="118"/>
    </row>
    <row r="1037" spans="1:23" s="115" customFormat="1" ht="18" customHeight="1" thickBot="1">
      <c r="A1037" s="111" t="s">
        <v>446</v>
      </c>
      <c r="B1037" s="111"/>
      <c r="C1037" s="216" t="s">
        <v>439</v>
      </c>
      <c r="D1037" s="111" t="s">
        <v>667</v>
      </c>
      <c r="E1037" s="111"/>
      <c r="F1037" s="111"/>
      <c r="G1037" s="111"/>
      <c r="H1037" s="111"/>
      <c r="I1037" s="910"/>
      <c r="J1037" s="910"/>
      <c r="K1037" s="910"/>
      <c r="L1037" s="910"/>
      <c r="M1037" s="910"/>
      <c r="N1037" s="910"/>
      <c r="O1037" s="180"/>
      <c r="Q1037" s="116"/>
      <c r="R1037" s="116"/>
      <c r="S1037" s="117"/>
      <c r="T1037" s="118"/>
      <c r="U1037" s="118"/>
      <c r="V1037" s="118"/>
      <c r="W1037" s="118"/>
    </row>
    <row r="1038" spans="1:23" s="115" customFormat="1" ht="18" customHeight="1">
      <c r="A1038" s="1532" t="s">
        <v>619</v>
      </c>
      <c r="B1038" s="1533"/>
      <c r="C1038" s="1533"/>
      <c r="D1038" s="1533"/>
      <c r="E1038" s="1534"/>
      <c r="F1038" s="1533"/>
      <c r="G1038" s="1535"/>
      <c r="H1038" s="121"/>
      <c r="I1038" s="1536" t="s">
        <v>623</v>
      </c>
      <c r="J1038" s="1537"/>
      <c r="K1038" s="1536" t="s">
        <v>623</v>
      </c>
      <c r="L1038" s="1537"/>
      <c r="M1038" s="122"/>
      <c r="N1038" s="876"/>
      <c r="O1038" s="180"/>
      <c r="Q1038" s="116"/>
      <c r="R1038" s="116"/>
      <c r="S1038" s="117"/>
      <c r="T1038" s="118"/>
      <c r="U1038" s="118"/>
      <c r="V1038" s="118"/>
      <c r="W1038" s="118"/>
    </row>
    <row r="1039" spans="1:23" s="115" customFormat="1" ht="18" customHeight="1">
      <c r="A1039" s="123" t="s">
        <v>620</v>
      </c>
      <c r="B1039" s="1544" t="s">
        <v>621</v>
      </c>
      <c r="C1039" s="1545"/>
      <c r="D1039" s="1546"/>
      <c r="E1039" s="1547" t="s">
        <v>43</v>
      </c>
      <c r="F1039" s="1548"/>
      <c r="G1039" s="1549"/>
      <c r="H1039" s="914" t="s">
        <v>44</v>
      </c>
      <c r="I1039" s="1547" t="s">
        <v>1613</v>
      </c>
      <c r="J1039" s="1549"/>
      <c r="K1039" s="1548" t="s">
        <v>1660</v>
      </c>
      <c r="L1039" s="1549"/>
      <c r="M1039" s="124" t="s">
        <v>45</v>
      </c>
      <c r="N1039" s="877"/>
      <c r="Q1039" s="116"/>
      <c r="R1039" s="116"/>
      <c r="S1039" s="117"/>
      <c r="T1039" s="118"/>
      <c r="U1039" s="118"/>
      <c r="V1039" s="118"/>
      <c r="W1039" s="118"/>
    </row>
    <row r="1040" spans="1:23" s="115" customFormat="1" ht="18" customHeight="1">
      <c r="A1040" s="125"/>
      <c r="B1040" s="914"/>
      <c r="C1040" s="915"/>
      <c r="D1040" s="915"/>
      <c r="E1040" s="914"/>
      <c r="F1040" s="915"/>
      <c r="G1040" s="916"/>
      <c r="H1040" s="914" t="s">
        <v>46</v>
      </c>
      <c r="I1040" s="1550"/>
      <c r="J1040" s="1551"/>
      <c r="K1040" s="1550"/>
      <c r="L1040" s="1551"/>
      <c r="M1040" s="124" t="s">
        <v>47</v>
      </c>
      <c r="N1040" s="877"/>
      <c r="Q1040" s="116"/>
      <c r="R1040" s="116"/>
      <c r="S1040" s="117"/>
      <c r="T1040" s="118"/>
      <c r="U1040" s="118"/>
      <c r="V1040" s="118"/>
      <c r="W1040" s="118"/>
    </row>
    <row r="1041" spans="1:23" s="115" customFormat="1" ht="18" customHeight="1">
      <c r="A1041" s="125"/>
      <c r="B1041" s="914"/>
      <c r="C1041" s="915"/>
      <c r="D1041" s="915"/>
      <c r="E1041" s="914"/>
      <c r="F1041" s="915"/>
      <c r="G1041" s="126"/>
      <c r="H1041" s="127"/>
      <c r="I1041" s="128" t="s">
        <v>622</v>
      </c>
      <c r="J1041" s="129" t="s">
        <v>48</v>
      </c>
      <c r="K1041" s="128" t="s">
        <v>622</v>
      </c>
      <c r="L1041" s="129" t="s">
        <v>48</v>
      </c>
      <c r="M1041" s="124"/>
      <c r="N1041" s="120"/>
      <c r="Q1041" s="116"/>
      <c r="R1041" s="116"/>
      <c r="S1041" s="117"/>
      <c r="T1041" s="118"/>
      <c r="U1041" s="118"/>
      <c r="V1041" s="118"/>
      <c r="W1041" s="118"/>
    </row>
    <row r="1042" spans="1:23" s="115" customFormat="1" ht="18" customHeight="1" thickBot="1">
      <c r="A1042" s="130"/>
      <c r="B1042" s="1541"/>
      <c r="C1042" s="1542"/>
      <c r="D1042" s="1543"/>
      <c r="E1042" s="1541"/>
      <c r="F1042" s="1542"/>
      <c r="G1042" s="1543"/>
      <c r="H1042" s="131"/>
      <c r="I1042" s="131"/>
      <c r="J1042" s="131"/>
      <c r="K1042" s="131"/>
      <c r="L1042" s="131"/>
      <c r="M1042" s="132"/>
      <c r="N1042" s="883"/>
      <c r="Q1042" s="116"/>
      <c r="R1042" s="116"/>
      <c r="S1042" s="117"/>
      <c r="T1042" s="118"/>
      <c r="U1042" s="118"/>
      <c r="V1042" s="118"/>
      <c r="W1042" s="118"/>
    </row>
    <row r="1043" spans="1:23" s="115" customFormat="1" ht="18" customHeight="1">
      <c r="A1043" s="181"/>
      <c r="B1043" s="119"/>
      <c r="C1043" s="119"/>
      <c r="D1043" s="119"/>
      <c r="E1043" s="133"/>
      <c r="F1043" s="119"/>
      <c r="G1043" s="134"/>
      <c r="H1043" s="135"/>
      <c r="I1043" s="182"/>
      <c r="J1043" s="137"/>
      <c r="K1043" s="182"/>
      <c r="L1043" s="137"/>
      <c r="M1043" s="137"/>
      <c r="N1043" s="880"/>
      <c r="Q1043" s="116"/>
      <c r="R1043" s="116"/>
      <c r="S1043" s="117"/>
      <c r="T1043" s="118"/>
      <c r="U1043" s="118"/>
      <c r="V1043" s="118"/>
      <c r="W1043" s="118"/>
    </row>
    <row r="1044" spans="1:23" s="146" customFormat="1" ht="18" customHeight="1">
      <c r="A1044" s="183"/>
      <c r="B1044" s="920"/>
      <c r="C1044" s="920"/>
      <c r="D1044" s="920"/>
      <c r="E1044" s="154"/>
      <c r="F1044" s="920"/>
      <c r="G1044" s="140"/>
      <c r="H1044" s="141"/>
      <c r="I1044" s="184"/>
      <c r="J1044" s="143"/>
      <c r="K1044" s="184"/>
      <c r="L1044" s="143"/>
      <c r="M1044" s="144"/>
      <c r="N1044" s="879"/>
      <c r="O1044" s="115"/>
      <c r="P1044" s="115"/>
      <c r="Q1044" s="116"/>
      <c r="R1044" s="116"/>
      <c r="S1044" s="145"/>
    </row>
    <row r="1045" spans="1:23" s="146" customFormat="1" ht="18" customHeight="1">
      <c r="A1045" s="183">
        <v>1</v>
      </c>
      <c r="B1045" s="1552"/>
      <c r="C1045" s="1553"/>
      <c r="D1045" s="1554"/>
      <c r="E1045" s="154" t="s">
        <v>131</v>
      </c>
      <c r="F1045" s="920"/>
      <c r="G1045" s="140"/>
      <c r="H1045" s="141" t="s">
        <v>121</v>
      </c>
      <c r="I1045" s="184" t="s">
        <v>1637</v>
      </c>
      <c r="J1045" s="143">
        <v>462792</v>
      </c>
      <c r="K1045" s="184" t="s">
        <v>1675</v>
      </c>
      <c r="L1045" s="143">
        <v>486108</v>
      </c>
      <c r="M1045" s="144">
        <f>L1045-J1045</f>
        <v>23316</v>
      </c>
      <c r="N1045" s="879"/>
      <c r="O1045" s="115">
        <f>M1045+L1045</f>
        <v>509424</v>
      </c>
      <c r="P1045" s="115"/>
      <c r="Q1045" s="116"/>
      <c r="R1045" s="116"/>
      <c r="S1045" s="145"/>
    </row>
    <row r="1046" spans="1:23" s="146" customFormat="1" ht="18" customHeight="1">
      <c r="A1046" s="183"/>
      <c r="B1046" s="920"/>
      <c r="C1046" s="920"/>
      <c r="D1046" s="920"/>
      <c r="E1046" s="154"/>
      <c r="F1046" s="920"/>
      <c r="G1046" s="140"/>
      <c r="H1046" s="141"/>
      <c r="I1046" s="184"/>
      <c r="J1046" s="149"/>
      <c r="K1046" s="184"/>
      <c r="L1046" s="149">
        <v>44927</v>
      </c>
      <c r="M1046" s="144"/>
      <c r="N1046" s="879"/>
      <c r="O1046" s="115"/>
      <c r="P1046" s="115"/>
      <c r="Q1046" s="116"/>
      <c r="R1046" s="116"/>
      <c r="S1046" s="117"/>
    </row>
    <row r="1047" spans="1:23" s="146" customFormat="1" ht="18" customHeight="1">
      <c r="A1047" s="183"/>
      <c r="B1047" s="920"/>
      <c r="C1047" s="920"/>
      <c r="D1047" s="920"/>
      <c r="E1047" s="154"/>
      <c r="F1047" s="920"/>
      <c r="G1047" s="140"/>
      <c r="H1047" s="141"/>
      <c r="I1047" s="184"/>
      <c r="J1047" s="149"/>
      <c r="K1047" s="184"/>
      <c r="L1047" s="149"/>
      <c r="M1047" s="144"/>
      <c r="N1047" s="879"/>
      <c r="O1047" s="115"/>
      <c r="P1047" s="115"/>
      <c r="Q1047" s="116"/>
      <c r="R1047" s="116"/>
      <c r="S1047" s="117"/>
    </row>
    <row r="1048" spans="1:23" s="146" customFormat="1" ht="18" customHeight="1">
      <c r="A1048" s="183"/>
      <c r="B1048" s="920"/>
      <c r="C1048" s="920"/>
      <c r="D1048" s="920"/>
      <c r="E1048" s="154"/>
      <c r="F1048" s="920"/>
      <c r="G1048" s="140"/>
      <c r="H1048" s="141"/>
      <c r="I1048" s="184"/>
      <c r="J1048" s="143"/>
      <c r="K1048" s="184"/>
      <c r="L1048" s="143"/>
      <c r="M1048" s="144"/>
      <c r="N1048" s="879"/>
      <c r="O1048" s="115"/>
      <c r="P1048" s="115"/>
      <c r="Q1048" s="116"/>
      <c r="R1048" s="116"/>
      <c r="S1048" s="117"/>
    </row>
    <row r="1049" spans="1:23" s="146" customFormat="1" ht="18" customHeight="1">
      <c r="A1049" s="183">
        <v>2</v>
      </c>
      <c r="B1049" s="920"/>
      <c r="C1049" s="920"/>
      <c r="D1049" s="920"/>
      <c r="E1049" s="154" t="s">
        <v>120</v>
      </c>
      <c r="F1049" s="920"/>
      <c r="G1049" s="140"/>
      <c r="H1049" s="141" t="s">
        <v>124</v>
      </c>
      <c r="I1049" s="184" t="s">
        <v>1443</v>
      </c>
      <c r="J1049" s="143">
        <v>361332</v>
      </c>
      <c r="K1049" s="184" t="s">
        <v>1443</v>
      </c>
      <c r="L1049" s="143">
        <v>379596</v>
      </c>
      <c r="M1049" s="144">
        <f>L1049-J1049</f>
        <v>18264</v>
      </c>
      <c r="N1049" s="879"/>
      <c r="O1049" s="115">
        <f>L1050+M1049+M1050</f>
        <v>404180</v>
      </c>
      <c r="P1049" s="115"/>
      <c r="Q1049" s="116"/>
      <c r="R1049" s="116"/>
      <c r="S1049" s="145"/>
    </row>
    <row r="1050" spans="1:23" s="146" customFormat="1" ht="18" customHeight="1">
      <c r="A1050" s="183"/>
      <c r="B1050" s="920"/>
      <c r="C1050" s="920"/>
      <c r="D1050" s="920"/>
      <c r="E1050" s="154"/>
      <c r="F1050" s="920"/>
      <c r="G1050" s="140"/>
      <c r="H1050" s="141"/>
      <c r="I1050" s="184"/>
      <c r="J1050" s="149"/>
      <c r="K1050" s="184" t="s">
        <v>1673</v>
      </c>
      <c r="L1050" s="143">
        <v>383388</v>
      </c>
      <c r="M1050" s="144">
        <v>2528</v>
      </c>
      <c r="N1050" s="879">
        <f>(L1050-L1049)*8/12</f>
        <v>2528</v>
      </c>
      <c r="O1050" s="115"/>
      <c r="P1050" s="115"/>
      <c r="Q1050" s="116"/>
      <c r="R1050" s="116"/>
      <c r="S1050" s="117"/>
    </row>
    <row r="1051" spans="1:23" s="146" customFormat="1" ht="18" customHeight="1">
      <c r="A1051" s="183"/>
      <c r="B1051" s="920"/>
      <c r="C1051" s="920"/>
      <c r="D1051" s="920"/>
      <c r="E1051" s="154"/>
      <c r="F1051" s="920"/>
      <c r="G1051" s="140"/>
      <c r="H1051" s="141"/>
      <c r="I1051" s="184"/>
      <c r="J1051" s="149"/>
      <c r="K1051" s="184"/>
      <c r="L1051" s="149">
        <v>45062</v>
      </c>
      <c r="M1051" s="144"/>
      <c r="N1051" s="879"/>
      <c r="O1051" s="115"/>
      <c r="P1051" s="115"/>
      <c r="Q1051" s="116"/>
      <c r="R1051" s="116"/>
      <c r="S1051" s="117"/>
    </row>
    <row r="1052" spans="1:23" s="146" customFormat="1" ht="18" customHeight="1">
      <c r="A1052" s="183"/>
      <c r="B1052" s="957"/>
      <c r="C1052" s="957"/>
      <c r="D1052" s="957"/>
      <c r="E1052" s="154"/>
      <c r="F1052" s="957"/>
      <c r="G1052" s="140"/>
      <c r="H1052" s="141"/>
      <c r="I1052" s="184"/>
      <c r="J1052" s="149"/>
      <c r="K1052" s="184"/>
      <c r="L1052" s="149"/>
      <c r="M1052" s="144"/>
      <c r="N1052" s="879"/>
      <c r="O1052" s="115"/>
      <c r="P1052" s="115"/>
      <c r="Q1052" s="116"/>
      <c r="R1052" s="116"/>
      <c r="S1052" s="117"/>
    </row>
    <row r="1053" spans="1:23" s="146" customFormat="1" ht="18" customHeight="1">
      <c r="A1053" s="183"/>
      <c r="B1053" s="920"/>
      <c r="C1053" s="920"/>
      <c r="D1053" s="920"/>
      <c r="E1053" s="154"/>
      <c r="F1053" s="920"/>
      <c r="G1053" s="140"/>
      <c r="H1053" s="141"/>
      <c r="I1053" s="184"/>
      <c r="J1053" s="149"/>
      <c r="K1053" s="184"/>
      <c r="L1053" s="149"/>
      <c r="M1053" s="144"/>
      <c r="N1053" s="879"/>
      <c r="O1053" s="115"/>
      <c r="P1053" s="115"/>
      <c r="Q1053" s="116"/>
      <c r="R1053" s="116"/>
      <c r="S1053" s="117"/>
    </row>
    <row r="1054" spans="1:23" s="146" customFormat="1" ht="18" customHeight="1">
      <c r="A1054" s="183">
        <v>3</v>
      </c>
      <c r="B1054" s="920"/>
      <c r="C1054" s="920"/>
      <c r="D1054" s="920"/>
      <c r="E1054" s="154" t="s">
        <v>123</v>
      </c>
      <c r="F1054" s="920"/>
      <c r="G1054" s="140"/>
      <c r="H1054" s="141" t="s">
        <v>869</v>
      </c>
      <c r="I1054" s="184" t="s">
        <v>65</v>
      </c>
      <c r="J1054" s="143">
        <v>330168</v>
      </c>
      <c r="K1054" s="184" t="s">
        <v>65</v>
      </c>
      <c r="L1054" s="143">
        <v>348900</v>
      </c>
      <c r="M1054" s="144">
        <f>L1054-J1054</f>
        <v>18732</v>
      </c>
      <c r="N1054" s="879"/>
      <c r="O1054" s="115">
        <f>M1054+L1054</f>
        <v>367632</v>
      </c>
      <c r="P1054" s="115"/>
      <c r="Q1054" s="116"/>
      <c r="R1054" s="116"/>
      <c r="S1054" s="145"/>
    </row>
    <row r="1055" spans="1:23" s="146" customFormat="1" ht="18" customHeight="1">
      <c r="A1055" s="183"/>
      <c r="B1055" s="920"/>
      <c r="C1055" s="920"/>
      <c r="D1055" s="920"/>
      <c r="E1055" s="154"/>
      <c r="F1055" s="920"/>
      <c r="G1055" s="140"/>
      <c r="H1055" s="141"/>
      <c r="I1055" s="184"/>
      <c r="J1055" s="143"/>
      <c r="K1055" s="184"/>
      <c r="L1055" s="143"/>
      <c r="M1055" s="144"/>
      <c r="N1055" s="879"/>
      <c r="O1055" s="115"/>
      <c r="P1055" s="115"/>
      <c r="Q1055" s="116"/>
      <c r="R1055" s="116"/>
      <c r="S1055" s="117"/>
    </row>
    <row r="1056" spans="1:23" s="146" customFormat="1" ht="18" customHeight="1">
      <c r="A1056" s="183"/>
      <c r="B1056" s="920"/>
      <c r="C1056" s="920"/>
      <c r="D1056" s="920"/>
      <c r="E1056" s="154"/>
      <c r="F1056" s="920"/>
      <c r="G1056" s="140"/>
      <c r="H1056" s="141"/>
      <c r="I1056" s="184"/>
      <c r="J1056" s="143"/>
      <c r="K1056" s="184"/>
      <c r="L1056" s="143"/>
      <c r="M1056" s="144"/>
      <c r="N1056" s="879"/>
      <c r="O1056" s="115"/>
      <c r="P1056" s="115"/>
      <c r="Q1056" s="116"/>
      <c r="R1056" s="116"/>
      <c r="S1056" s="117"/>
    </row>
    <row r="1057" spans="1:19" s="146" customFormat="1" ht="18" customHeight="1">
      <c r="A1057" s="183">
        <v>4</v>
      </c>
      <c r="B1057" s="920"/>
      <c r="C1057" s="920"/>
      <c r="D1057" s="920"/>
      <c r="E1057" s="154" t="s">
        <v>123</v>
      </c>
      <c r="F1057" s="920"/>
      <c r="G1057" s="140"/>
      <c r="H1057" s="141" t="s">
        <v>132</v>
      </c>
      <c r="I1057" s="184" t="s">
        <v>65</v>
      </c>
      <c r="J1057" s="143">
        <v>330168</v>
      </c>
      <c r="K1057" s="184" t="s">
        <v>65</v>
      </c>
      <c r="L1057" s="143">
        <v>348900</v>
      </c>
      <c r="M1057" s="144">
        <f>L1057-J1057</f>
        <v>18732</v>
      </c>
      <c r="N1057" s="879"/>
      <c r="O1057" s="115">
        <f>M1057+L1057</f>
        <v>367632</v>
      </c>
      <c r="P1057" s="115"/>
      <c r="Q1057" s="116"/>
      <c r="R1057" s="116"/>
      <c r="S1057" s="145"/>
    </row>
    <row r="1058" spans="1:19" s="146" customFormat="1" ht="18" customHeight="1">
      <c r="A1058" s="183"/>
      <c r="B1058" s="920"/>
      <c r="C1058" s="920"/>
      <c r="D1058" s="920"/>
      <c r="E1058" s="154"/>
      <c r="F1058" s="920"/>
      <c r="G1058" s="140"/>
      <c r="H1058" s="141"/>
      <c r="I1058" s="184"/>
      <c r="J1058" s="143"/>
      <c r="K1058" s="184"/>
      <c r="L1058" s="143"/>
      <c r="M1058" s="144"/>
      <c r="N1058" s="879"/>
      <c r="O1058" s="115"/>
      <c r="P1058" s="115"/>
      <c r="Q1058" s="116"/>
      <c r="R1058" s="116"/>
      <c r="S1058" s="117"/>
    </row>
    <row r="1059" spans="1:19" s="146" customFormat="1" ht="18" customHeight="1">
      <c r="A1059" s="183"/>
      <c r="B1059" s="920"/>
      <c r="C1059" s="920"/>
      <c r="D1059" s="920"/>
      <c r="E1059" s="154"/>
      <c r="F1059" s="920"/>
      <c r="G1059" s="140"/>
      <c r="H1059" s="141"/>
      <c r="I1059" s="184"/>
      <c r="J1059" s="143"/>
      <c r="K1059" s="184"/>
      <c r="L1059" s="143"/>
      <c r="M1059" s="144"/>
      <c r="N1059" s="879"/>
      <c r="O1059" s="115"/>
      <c r="P1059" s="115"/>
      <c r="Q1059" s="116"/>
      <c r="R1059" s="116"/>
      <c r="S1059" s="117"/>
    </row>
    <row r="1060" spans="1:19" s="146" customFormat="1" ht="18" customHeight="1">
      <c r="A1060" s="183">
        <v>5</v>
      </c>
      <c r="B1060" s="920"/>
      <c r="C1060" s="920"/>
      <c r="D1060" s="920"/>
      <c r="E1060" s="154" t="s">
        <v>123</v>
      </c>
      <c r="F1060" s="920"/>
      <c r="G1060" s="140"/>
      <c r="H1060" s="141" t="s">
        <v>870</v>
      </c>
      <c r="I1060" s="184" t="s">
        <v>130</v>
      </c>
      <c r="J1060" s="143">
        <v>308676</v>
      </c>
      <c r="K1060" s="184" t="s">
        <v>130</v>
      </c>
      <c r="L1060" s="143">
        <v>327408</v>
      </c>
      <c r="M1060" s="144">
        <f>L1060-J1060</f>
        <v>18732</v>
      </c>
      <c r="N1060" s="879"/>
      <c r="O1060" s="115">
        <f>L1061+M1060+M1061</f>
        <v>351631</v>
      </c>
      <c r="P1060" s="115"/>
      <c r="Q1060" s="116"/>
      <c r="R1060" s="116"/>
      <c r="S1060" s="145"/>
    </row>
    <row r="1061" spans="1:19" s="146" customFormat="1" ht="18" customHeight="1">
      <c r="A1061" s="183"/>
      <c r="B1061" s="920"/>
      <c r="C1061" s="920"/>
      <c r="D1061" s="920"/>
      <c r="E1061" s="154"/>
      <c r="F1061" s="920"/>
      <c r="G1061" s="140"/>
      <c r="H1061" s="141"/>
      <c r="I1061" s="184"/>
      <c r="J1061" s="149"/>
      <c r="K1061" s="184" t="s">
        <v>134</v>
      </c>
      <c r="L1061" s="143">
        <v>330876</v>
      </c>
      <c r="M1061" s="144">
        <v>2023</v>
      </c>
      <c r="N1061" s="879">
        <f>(L1061-L1060)*7/12</f>
        <v>2023</v>
      </c>
      <c r="O1061" s="115"/>
      <c r="P1061" s="115"/>
      <c r="Q1061" s="116"/>
      <c r="R1061" s="116"/>
      <c r="S1061" s="145"/>
    </row>
    <row r="1062" spans="1:19" s="146" customFormat="1" ht="18" customHeight="1">
      <c r="A1062" s="183"/>
      <c r="B1062" s="920"/>
      <c r="C1062" s="920"/>
      <c r="D1062" s="920"/>
      <c r="E1062" s="154"/>
      <c r="F1062" s="920"/>
      <c r="G1062" s="140"/>
      <c r="H1062" s="141"/>
      <c r="I1062" s="184"/>
      <c r="J1062" s="149"/>
      <c r="K1062" s="184"/>
      <c r="L1062" s="149">
        <v>45078</v>
      </c>
      <c r="M1062" s="144"/>
      <c r="N1062" s="879"/>
      <c r="O1062" s="115"/>
      <c r="P1062" s="115"/>
      <c r="Q1062" s="116"/>
      <c r="R1062" s="116"/>
      <c r="S1062" s="145"/>
    </row>
    <row r="1063" spans="1:19" s="146" customFormat="1" ht="18" customHeight="1">
      <c r="A1063" s="183"/>
      <c r="B1063" s="957"/>
      <c r="C1063" s="957"/>
      <c r="D1063" s="957"/>
      <c r="E1063" s="154"/>
      <c r="F1063" s="957"/>
      <c r="G1063" s="140"/>
      <c r="H1063" s="141"/>
      <c r="I1063" s="184"/>
      <c r="J1063" s="149"/>
      <c r="K1063" s="184"/>
      <c r="L1063" s="149"/>
      <c r="M1063" s="144"/>
      <c r="N1063" s="879"/>
      <c r="O1063" s="115"/>
      <c r="P1063" s="115"/>
      <c r="Q1063" s="116"/>
      <c r="R1063" s="116"/>
      <c r="S1063" s="145"/>
    </row>
    <row r="1064" spans="1:19" s="146" customFormat="1" ht="18" customHeight="1">
      <c r="A1064" s="183"/>
      <c r="B1064" s="920"/>
      <c r="C1064" s="920"/>
      <c r="D1064" s="920"/>
      <c r="E1064" s="154"/>
      <c r="F1064" s="920"/>
      <c r="G1064" s="140"/>
      <c r="H1064" s="141"/>
      <c r="I1064" s="184"/>
      <c r="J1064" s="143"/>
      <c r="K1064" s="184"/>
      <c r="L1064" s="143"/>
      <c r="M1064" s="144"/>
      <c r="N1064" s="879"/>
      <c r="O1064" s="115"/>
      <c r="P1064" s="115"/>
      <c r="Q1064" s="116"/>
      <c r="R1064" s="116"/>
      <c r="S1064" s="117"/>
    </row>
    <row r="1065" spans="1:19" s="146" customFormat="1" ht="18" customHeight="1">
      <c r="A1065" s="183">
        <v>6</v>
      </c>
      <c r="B1065" s="920"/>
      <c r="C1065" s="920"/>
      <c r="D1065" s="920"/>
      <c r="E1065" s="154" t="s">
        <v>126</v>
      </c>
      <c r="F1065" s="920"/>
      <c r="G1065" s="140"/>
      <c r="H1065" s="141" t="s">
        <v>258</v>
      </c>
      <c r="I1065" s="184" t="s">
        <v>1442</v>
      </c>
      <c r="J1065" s="143">
        <v>160872</v>
      </c>
      <c r="K1065" s="184" t="s">
        <v>1442</v>
      </c>
      <c r="L1065" s="143">
        <v>167100</v>
      </c>
      <c r="M1065" s="144">
        <f>L1065-J1065</f>
        <v>6228</v>
      </c>
      <c r="N1065" s="879"/>
      <c r="O1065" s="115">
        <f>L1066+M1065+M1066</f>
        <v>175361</v>
      </c>
      <c r="P1065" s="115"/>
      <c r="Q1065" s="116"/>
      <c r="R1065" s="116"/>
      <c r="S1065" s="145"/>
    </row>
    <row r="1066" spans="1:19" s="146" customFormat="1" ht="18" customHeight="1">
      <c r="A1066" s="183"/>
      <c r="B1066" s="920"/>
      <c r="C1066" s="920"/>
      <c r="D1066" s="920"/>
      <c r="E1066" s="919"/>
      <c r="F1066" s="920"/>
      <c r="G1066" s="140"/>
      <c r="H1066" s="141"/>
      <c r="I1066" s="185"/>
      <c r="J1066" s="149"/>
      <c r="K1066" s="184" t="s">
        <v>1674</v>
      </c>
      <c r="L1066" s="143">
        <v>168384</v>
      </c>
      <c r="M1066" s="144">
        <v>749</v>
      </c>
      <c r="N1066" s="879">
        <f>(L1066-L1065)*7/12</f>
        <v>749</v>
      </c>
      <c r="O1066" s="115"/>
      <c r="P1066" s="115"/>
      <c r="Q1066" s="116"/>
      <c r="R1066" s="116"/>
      <c r="S1066" s="117"/>
    </row>
    <row r="1067" spans="1:19" s="146" customFormat="1" ht="18" customHeight="1">
      <c r="A1067" s="183"/>
      <c r="B1067" s="920"/>
      <c r="C1067" s="920"/>
      <c r="D1067" s="920"/>
      <c r="E1067" s="919"/>
      <c r="F1067" s="920"/>
      <c r="G1067" s="140"/>
      <c r="H1067" s="141"/>
      <c r="I1067" s="142"/>
      <c r="J1067" s="143"/>
      <c r="K1067" s="142"/>
      <c r="L1067" s="149">
        <v>45078</v>
      </c>
      <c r="M1067" s="143"/>
      <c r="N1067" s="170"/>
      <c r="O1067" s="115"/>
      <c r="P1067" s="115"/>
      <c r="Q1067" s="116"/>
      <c r="R1067" s="116"/>
      <c r="S1067" s="117"/>
    </row>
    <row r="1068" spans="1:19" s="146" customFormat="1" ht="18" customHeight="1">
      <c r="A1068" s="183"/>
      <c r="B1068" s="920"/>
      <c r="C1068" s="920"/>
      <c r="D1068" s="920"/>
      <c r="E1068" s="919"/>
      <c r="F1068" s="920"/>
      <c r="G1068" s="140"/>
      <c r="H1068" s="141"/>
      <c r="I1068" s="142"/>
      <c r="J1068" s="143"/>
      <c r="K1068" s="142"/>
      <c r="L1068" s="143"/>
      <c r="M1068" s="143"/>
      <c r="N1068" s="170"/>
      <c r="O1068" s="115"/>
      <c r="P1068" s="115"/>
      <c r="Q1068" s="116"/>
      <c r="R1068" s="116"/>
      <c r="S1068" s="117"/>
    </row>
    <row r="1069" spans="1:19" s="146" customFormat="1" ht="18" customHeight="1">
      <c r="A1069" s="183"/>
      <c r="B1069" s="920"/>
      <c r="C1069" s="920"/>
      <c r="D1069" s="920"/>
      <c r="E1069" s="919"/>
      <c r="F1069" s="920"/>
      <c r="G1069" s="140"/>
      <c r="H1069" s="141"/>
      <c r="I1069" s="142"/>
      <c r="J1069" s="143"/>
      <c r="K1069" s="142"/>
      <c r="L1069" s="143"/>
      <c r="M1069" s="143"/>
      <c r="N1069" s="170"/>
      <c r="O1069" s="115"/>
      <c r="P1069" s="115"/>
      <c r="Q1069" s="116"/>
      <c r="R1069" s="116"/>
      <c r="S1069" s="117"/>
    </row>
    <row r="1070" spans="1:19" s="146" customFormat="1" ht="18" customHeight="1">
      <c r="A1070" s="183"/>
      <c r="B1070" s="920"/>
      <c r="C1070" s="920"/>
      <c r="D1070" s="920"/>
      <c r="E1070" s="919"/>
      <c r="F1070" s="920"/>
      <c r="G1070" s="140"/>
      <c r="H1070" s="141"/>
      <c r="I1070" s="142"/>
      <c r="J1070" s="143"/>
      <c r="K1070" s="142"/>
      <c r="L1070" s="143"/>
      <c r="M1070" s="143"/>
      <c r="N1070" s="170"/>
      <c r="O1070" s="115"/>
      <c r="P1070" s="115"/>
      <c r="Q1070" s="116"/>
      <c r="R1070" s="116"/>
      <c r="S1070" s="117"/>
    </row>
    <row r="1071" spans="1:19" s="146" customFormat="1" ht="18" customHeight="1">
      <c r="A1071" s="183"/>
      <c r="B1071" s="920"/>
      <c r="C1071" s="920"/>
      <c r="D1071" s="920"/>
      <c r="E1071" s="919"/>
      <c r="F1071" s="920"/>
      <c r="G1071" s="140"/>
      <c r="H1071" s="141"/>
      <c r="I1071" s="142"/>
      <c r="J1071" s="143"/>
      <c r="K1071" s="142"/>
      <c r="L1071" s="143"/>
      <c r="M1071" s="143"/>
      <c r="N1071" s="170"/>
      <c r="O1071" s="115"/>
      <c r="P1071" s="115"/>
      <c r="Q1071" s="116"/>
      <c r="R1071" s="116"/>
      <c r="S1071" s="117"/>
    </row>
    <row r="1072" spans="1:19" s="146" customFormat="1" ht="18" customHeight="1">
      <c r="A1072" s="183"/>
      <c r="B1072" s="920"/>
      <c r="C1072" s="920"/>
      <c r="D1072" s="920"/>
      <c r="E1072" s="919"/>
      <c r="F1072" s="920"/>
      <c r="G1072" s="140"/>
      <c r="H1072" s="141"/>
      <c r="I1072" s="142"/>
      <c r="J1072" s="143"/>
      <c r="K1072" s="142"/>
      <c r="L1072" s="143"/>
      <c r="M1072" s="143"/>
      <c r="N1072" s="170"/>
      <c r="O1072" s="115"/>
      <c r="P1072" s="115"/>
      <c r="Q1072" s="116"/>
      <c r="R1072" s="116"/>
      <c r="S1072" s="117"/>
    </row>
    <row r="1073" spans="1:19" s="146" customFormat="1" ht="18" customHeight="1">
      <c r="A1073" s="183"/>
      <c r="B1073" s="920"/>
      <c r="C1073" s="920"/>
      <c r="D1073" s="920"/>
      <c r="E1073" s="919"/>
      <c r="F1073" s="920"/>
      <c r="G1073" s="140"/>
      <c r="H1073" s="141"/>
      <c r="I1073" s="142"/>
      <c r="J1073" s="143"/>
      <c r="K1073" s="142"/>
      <c r="L1073" s="143"/>
      <c r="M1073" s="143"/>
      <c r="N1073" s="170"/>
      <c r="O1073" s="115"/>
      <c r="P1073" s="115"/>
      <c r="Q1073" s="116"/>
      <c r="R1073" s="116"/>
      <c r="S1073" s="117"/>
    </row>
    <row r="1074" spans="1:19" s="146" customFormat="1" ht="18" customHeight="1">
      <c r="A1074" s="183"/>
      <c r="B1074" s="920"/>
      <c r="C1074" s="920"/>
      <c r="D1074" s="920"/>
      <c r="E1074" s="919"/>
      <c r="F1074" s="920"/>
      <c r="G1074" s="140"/>
      <c r="H1074" s="141"/>
      <c r="I1074" s="142"/>
      <c r="J1074" s="143"/>
      <c r="K1074" s="142"/>
      <c r="L1074" s="143"/>
      <c r="M1074" s="143"/>
      <c r="N1074" s="170"/>
      <c r="O1074" s="115"/>
      <c r="P1074" s="115"/>
      <c r="Q1074" s="116"/>
      <c r="R1074" s="116"/>
      <c r="S1074" s="117"/>
    </row>
    <row r="1075" spans="1:19" s="146" customFormat="1" ht="18" customHeight="1">
      <c r="A1075" s="183"/>
      <c r="B1075" s="920"/>
      <c r="C1075" s="920"/>
      <c r="D1075" s="920"/>
      <c r="E1075" s="919"/>
      <c r="F1075" s="920"/>
      <c r="G1075" s="140"/>
      <c r="H1075" s="141"/>
      <c r="I1075" s="142"/>
      <c r="J1075" s="143"/>
      <c r="K1075" s="142"/>
      <c r="L1075" s="143"/>
      <c r="M1075" s="143"/>
      <c r="N1075" s="170"/>
      <c r="O1075" s="115"/>
      <c r="P1075" s="115"/>
      <c r="Q1075" s="116"/>
      <c r="R1075" s="116"/>
      <c r="S1075" s="117"/>
    </row>
    <row r="1076" spans="1:19" s="146" customFormat="1" ht="18" customHeight="1">
      <c r="A1076" s="141"/>
      <c r="B1076" s="155"/>
      <c r="C1076" s="920"/>
      <c r="D1076" s="920"/>
      <c r="E1076" s="154"/>
      <c r="F1076" s="155"/>
      <c r="G1076" s="140"/>
      <c r="H1076" s="141"/>
      <c r="I1076" s="210"/>
      <c r="J1076" s="143"/>
      <c r="K1076" s="210"/>
      <c r="L1076" s="143"/>
      <c r="M1076" s="143"/>
      <c r="N1076" s="170"/>
      <c r="O1076" s="115"/>
      <c r="P1076" s="115"/>
      <c r="Q1076" s="116"/>
      <c r="R1076" s="116"/>
      <c r="S1076" s="117"/>
    </row>
    <row r="1077" spans="1:19" s="146" customFormat="1" ht="18" customHeight="1">
      <c r="A1077" s="141"/>
      <c r="B1077" s="155"/>
      <c r="C1077" s="920"/>
      <c r="D1077" s="920"/>
      <c r="E1077" s="154"/>
      <c r="F1077" s="155"/>
      <c r="G1077" s="140"/>
      <c r="H1077" s="141"/>
      <c r="I1077" s="210"/>
      <c r="J1077" s="143"/>
      <c r="K1077" s="210"/>
      <c r="L1077" s="143"/>
      <c r="M1077" s="143"/>
      <c r="N1077" s="170"/>
      <c r="O1077" s="115"/>
      <c r="P1077" s="115"/>
      <c r="Q1077" s="116"/>
      <c r="R1077" s="116"/>
      <c r="S1077" s="117"/>
    </row>
    <row r="1078" spans="1:19" s="146" customFormat="1" ht="18" customHeight="1">
      <c r="A1078" s="141"/>
      <c r="B1078" s="155"/>
      <c r="C1078" s="920"/>
      <c r="D1078" s="920"/>
      <c r="E1078" s="154"/>
      <c r="F1078" s="155"/>
      <c r="G1078" s="140"/>
      <c r="H1078" s="141"/>
      <c r="I1078" s="210"/>
      <c r="J1078" s="143"/>
      <c r="K1078" s="210"/>
      <c r="L1078" s="143"/>
      <c r="M1078" s="143"/>
      <c r="N1078" s="170"/>
      <c r="O1078" s="115"/>
      <c r="P1078" s="115"/>
      <c r="Q1078" s="116"/>
      <c r="R1078" s="116"/>
      <c r="S1078" s="117"/>
    </row>
    <row r="1079" spans="1:19" s="146" customFormat="1" ht="18" customHeight="1">
      <c r="A1079" s="141"/>
      <c r="B1079" s="155"/>
      <c r="C1079" s="920"/>
      <c r="D1079" s="920"/>
      <c r="E1079" s="154"/>
      <c r="F1079" s="155"/>
      <c r="G1079" s="140"/>
      <c r="H1079" s="141"/>
      <c r="I1079" s="210"/>
      <c r="J1079" s="143"/>
      <c r="K1079" s="210"/>
      <c r="L1079" s="143"/>
      <c r="M1079" s="143"/>
      <c r="N1079" s="170"/>
      <c r="O1079" s="115"/>
      <c r="P1079" s="115"/>
      <c r="Q1079" s="116"/>
      <c r="R1079" s="116"/>
      <c r="S1079" s="117"/>
    </row>
    <row r="1080" spans="1:19" s="146" customFormat="1" ht="18" customHeight="1">
      <c r="A1080" s="141"/>
      <c r="B1080" s="155"/>
      <c r="C1080" s="920"/>
      <c r="D1080" s="920"/>
      <c r="E1080" s="154"/>
      <c r="F1080" s="155"/>
      <c r="G1080" s="140"/>
      <c r="H1080" s="141"/>
      <c r="I1080" s="210"/>
      <c r="J1080" s="143"/>
      <c r="K1080" s="210"/>
      <c r="L1080" s="143"/>
      <c r="M1080" s="143"/>
      <c r="N1080" s="170"/>
      <c r="O1080" s="115"/>
      <c r="P1080" s="115"/>
      <c r="Q1080" s="116"/>
      <c r="R1080" s="116"/>
      <c r="S1080" s="117"/>
    </row>
    <row r="1081" spans="1:19" s="146" customFormat="1" ht="18" customHeight="1">
      <c r="A1081" s="141"/>
      <c r="B1081" s="155"/>
      <c r="C1081" s="920"/>
      <c r="D1081" s="920"/>
      <c r="E1081" s="154"/>
      <c r="F1081" s="155"/>
      <c r="G1081" s="140"/>
      <c r="H1081" s="141"/>
      <c r="I1081" s="210"/>
      <c r="J1081" s="143"/>
      <c r="K1081" s="210"/>
      <c r="L1081" s="143"/>
      <c r="M1081" s="143"/>
      <c r="N1081" s="170"/>
      <c r="O1081" s="115"/>
      <c r="P1081" s="115"/>
      <c r="Q1081" s="116"/>
      <c r="R1081" s="116"/>
      <c r="S1081" s="117"/>
    </row>
    <row r="1082" spans="1:19" s="146" customFormat="1" ht="18" customHeight="1">
      <c r="A1082" s="141"/>
      <c r="B1082" s="155"/>
      <c r="C1082" s="920"/>
      <c r="D1082" s="920"/>
      <c r="E1082" s="154"/>
      <c r="F1082" s="155"/>
      <c r="G1082" s="140"/>
      <c r="H1082" s="141"/>
      <c r="I1082" s="210"/>
      <c r="J1082" s="143"/>
      <c r="K1082" s="210"/>
      <c r="L1082" s="143"/>
      <c r="M1082" s="143"/>
      <c r="N1082" s="170"/>
      <c r="O1082" s="115"/>
      <c r="P1082" s="115"/>
      <c r="Q1082" s="116"/>
      <c r="R1082" s="116"/>
      <c r="S1082" s="117"/>
    </row>
    <row r="1083" spans="1:19" s="146" customFormat="1" ht="18" customHeight="1">
      <c r="A1083" s="141"/>
      <c r="B1083" s="155"/>
      <c r="C1083" s="920"/>
      <c r="D1083" s="920"/>
      <c r="E1083" s="154"/>
      <c r="F1083" s="155"/>
      <c r="G1083" s="140"/>
      <c r="H1083" s="141"/>
      <c r="I1083" s="210"/>
      <c r="J1083" s="143"/>
      <c r="K1083" s="210"/>
      <c r="L1083" s="143"/>
      <c r="M1083" s="143"/>
      <c r="N1083" s="170"/>
      <c r="O1083" s="115"/>
      <c r="P1083" s="115"/>
      <c r="Q1083" s="116"/>
      <c r="R1083" s="116"/>
      <c r="S1083" s="117"/>
    </row>
    <row r="1084" spans="1:19" s="168" customFormat="1" ht="18" customHeight="1" thickBot="1">
      <c r="A1084" s="162"/>
      <c r="B1084" s="159"/>
      <c r="C1084" s="158"/>
      <c r="D1084" s="158"/>
      <c r="E1084" s="157"/>
      <c r="F1084" s="159"/>
      <c r="G1084" s="160"/>
      <c r="H1084" s="161" t="s">
        <v>15</v>
      </c>
      <c r="I1084" s="163"/>
      <c r="J1084" s="163">
        <f>SUM(J1044:J1083)</f>
        <v>1954008</v>
      </c>
      <c r="K1084" s="163"/>
      <c r="L1084" s="163"/>
      <c r="M1084" s="163">
        <f>SUM(M1044:M1083)</f>
        <v>109304</v>
      </c>
      <c r="N1084" s="169"/>
      <c r="O1084" s="165">
        <f>SUM(O1044:O1083)</f>
        <v>2175860</v>
      </c>
      <c r="P1084" s="165"/>
      <c r="Q1084" s="166"/>
      <c r="R1084" s="166"/>
      <c r="S1084" s="167"/>
    </row>
    <row r="1085" spans="1:19" s="146" customFormat="1" ht="18" customHeight="1" thickTop="1">
      <c r="A1085" s="189"/>
      <c r="B1085" s="189"/>
      <c r="C1085" s="188"/>
      <c r="D1085" s="188"/>
      <c r="E1085" s="189"/>
      <c r="F1085" s="189"/>
      <c r="G1085" s="189"/>
      <c r="H1085" s="188"/>
      <c r="I1085" s="189"/>
      <c r="J1085" s="169"/>
      <c r="K1085" s="228"/>
      <c r="L1085" s="171"/>
      <c r="M1085" s="171"/>
      <c r="N1085" s="171"/>
      <c r="O1085" s="115"/>
      <c r="P1085" s="115"/>
      <c r="Q1085" s="116"/>
      <c r="R1085" s="116"/>
      <c r="S1085" s="117"/>
    </row>
    <row r="1086" spans="1:19" s="146" customFormat="1" ht="18" customHeight="1">
      <c r="A1086" s="155"/>
      <c r="B1086" s="155"/>
      <c r="C1086" s="920"/>
      <c r="D1086" s="920"/>
      <c r="E1086" s="155"/>
      <c r="F1086" s="155"/>
      <c r="G1086" s="155"/>
      <c r="H1086" s="155"/>
      <c r="I1086" s="155"/>
      <c r="J1086" s="155"/>
      <c r="K1086" s="172"/>
      <c r="L1086" s="170"/>
      <c r="M1086" s="170"/>
      <c r="N1086" s="170"/>
      <c r="O1086" s="115"/>
      <c r="P1086" s="115"/>
      <c r="Q1086" s="116"/>
      <c r="R1086" s="116"/>
      <c r="S1086" s="117"/>
    </row>
    <row r="1087" spans="1:19" s="146" customFormat="1" ht="18" customHeight="1">
      <c r="A1087" s="155"/>
      <c r="B1087" s="155"/>
      <c r="C1087" s="920"/>
      <c r="D1087" s="920"/>
      <c r="E1087" s="155"/>
      <c r="F1087" s="155"/>
      <c r="G1087" s="155"/>
      <c r="H1087" s="155"/>
      <c r="I1087" s="155"/>
      <c r="J1087" s="155"/>
      <c r="K1087" s="172"/>
      <c r="L1087" s="170"/>
      <c r="M1087" s="170"/>
      <c r="N1087" s="170"/>
      <c r="O1087" s="115"/>
      <c r="P1087" s="115"/>
      <c r="Q1087" s="116"/>
      <c r="R1087" s="116"/>
      <c r="S1087" s="117"/>
    </row>
    <row r="1088" spans="1:19" s="146" customFormat="1" ht="18" customHeight="1">
      <c r="A1088" s="173" t="s">
        <v>614</v>
      </c>
      <c r="B1088" s="173"/>
      <c r="C1088" s="912"/>
      <c r="D1088" s="912"/>
      <c r="E1088" s="174"/>
      <c r="F1088" s="174"/>
      <c r="G1088" s="174"/>
      <c r="H1088" s="173" t="s">
        <v>615</v>
      </c>
      <c r="I1088" s="174"/>
      <c r="K1088" s="173" t="s">
        <v>253</v>
      </c>
      <c r="L1088" s="175"/>
      <c r="M1088" s="175"/>
      <c r="N1088" s="175"/>
      <c r="O1088" s="115"/>
      <c r="P1088" s="115"/>
      <c r="Q1088" s="116"/>
      <c r="R1088" s="116"/>
      <c r="S1088" s="117"/>
    </row>
    <row r="1089" spans="1:23" s="146" customFormat="1" ht="18" customHeight="1">
      <c r="A1089" s="174"/>
      <c r="B1089" s="174"/>
      <c r="C1089" s="913"/>
      <c r="D1089" s="913"/>
      <c r="E1089" s="174"/>
      <c r="F1089" s="174"/>
      <c r="G1089" s="174"/>
      <c r="H1089" s="174"/>
      <c r="I1089" s="174"/>
      <c r="J1089" s="174"/>
      <c r="K1089" s="176"/>
      <c r="L1089" s="175"/>
      <c r="M1089" s="175"/>
      <c r="N1089" s="175"/>
      <c r="O1089" s="115"/>
      <c r="P1089" s="115"/>
      <c r="Q1089" s="116"/>
      <c r="R1089" s="116"/>
      <c r="S1089" s="117"/>
    </row>
    <row r="1090" spans="1:23" s="146" customFormat="1" ht="18" customHeight="1">
      <c r="A1090" s="1531" t="s">
        <v>242</v>
      </c>
      <c r="B1090" s="1531"/>
      <c r="C1090" s="1531"/>
      <c r="D1090" s="1531"/>
      <c r="E1090" s="1531"/>
      <c r="F1090" s="1531"/>
      <c r="G1090" s="174"/>
      <c r="H1090" s="1531" t="s">
        <v>17</v>
      </c>
      <c r="I1090" s="1531"/>
      <c r="J1090" s="174"/>
      <c r="K1090" s="1531" t="s">
        <v>1436</v>
      </c>
      <c r="L1090" s="1531"/>
      <c r="M1090" s="1531"/>
      <c r="N1090" s="912"/>
      <c r="O1090" s="115"/>
      <c r="P1090" s="115"/>
      <c r="Q1090" s="116"/>
      <c r="R1090" s="116"/>
      <c r="S1090" s="117"/>
    </row>
    <row r="1091" spans="1:23" s="146" customFormat="1" ht="18" customHeight="1">
      <c r="A1091" s="1520" t="s">
        <v>422</v>
      </c>
      <c r="B1091" s="1520"/>
      <c r="C1091" s="1520"/>
      <c r="D1091" s="1520"/>
      <c r="E1091" s="1520"/>
      <c r="F1091" s="1520"/>
      <c r="G1091" s="177"/>
      <c r="H1091" s="1520" t="s">
        <v>18</v>
      </c>
      <c r="I1091" s="1520"/>
      <c r="J1091" s="912"/>
      <c r="K1091" s="1520" t="s">
        <v>14</v>
      </c>
      <c r="L1091" s="1520"/>
      <c r="M1091" s="1520"/>
      <c r="N1091" s="913"/>
      <c r="O1091" s="115"/>
      <c r="P1091" s="115"/>
      <c r="Q1091" s="116"/>
      <c r="R1091" s="116"/>
      <c r="S1091" s="117"/>
    </row>
    <row r="1092" spans="1:23" ht="18" customHeight="1">
      <c r="A1092" s="111"/>
      <c r="B1092" s="111"/>
      <c r="C1092" s="910"/>
      <c r="D1092" s="910"/>
      <c r="E1092" s="1540"/>
      <c r="F1092" s="1540"/>
      <c r="G1092" s="1540"/>
      <c r="H1092" s="910"/>
      <c r="I1092" s="910"/>
      <c r="J1092" s="910"/>
      <c r="K1092" s="1540"/>
      <c r="L1092" s="1540"/>
      <c r="M1092" s="1540"/>
      <c r="N1092" s="910"/>
    </row>
    <row r="1093" spans="1:23" ht="18" customHeight="1">
      <c r="A1093" s="111"/>
      <c r="B1093" s="111"/>
      <c r="C1093" s="910"/>
      <c r="D1093" s="910"/>
      <c r="E1093" s="910"/>
      <c r="F1093" s="910"/>
      <c r="G1093" s="910"/>
      <c r="H1093" s="910"/>
      <c r="I1093" s="910"/>
      <c r="J1093" s="910"/>
      <c r="K1093" s="910"/>
      <c r="L1093" s="910"/>
      <c r="M1093" s="910"/>
      <c r="N1093" s="910"/>
    </row>
    <row r="1094" spans="1:23" ht="18" customHeight="1">
      <c r="A1094" s="111"/>
      <c r="B1094" s="111"/>
      <c r="C1094" s="910"/>
      <c r="D1094" s="910"/>
      <c r="E1094" s="910"/>
      <c r="F1094" s="910"/>
      <c r="G1094" s="910"/>
      <c r="H1094" s="910"/>
      <c r="I1094" s="910"/>
      <c r="J1094" s="910"/>
      <c r="K1094" s="910"/>
      <c r="L1094" s="910"/>
      <c r="M1094" s="910"/>
      <c r="N1094" s="910"/>
    </row>
    <row r="1095" spans="1:23" s="115" customFormat="1" ht="18" customHeight="1">
      <c r="A1095" s="111"/>
      <c r="B1095" s="111"/>
      <c r="C1095" s="910"/>
      <c r="D1095" s="910"/>
      <c r="E1095" s="910"/>
      <c r="F1095" s="910"/>
      <c r="G1095" s="910"/>
      <c r="H1095" s="910"/>
      <c r="I1095" s="910"/>
      <c r="J1095" s="910"/>
      <c r="K1095" s="910"/>
      <c r="L1095" s="910"/>
      <c r="M1095" s="910"/>
      <c r="N1095" s="910"/>
      <c r="Q1095" s="116"/>
      <c r="R1095" s="116"/>
      <c r="S1095" s="117"/>
      <c r="T1095" s="118"/>
      <c r="U1095" s="118"/>
      <c r="V1095" s="118"/>
      <c r="W1095" s="118"/>
    </row>
    <row r="1096" spans="1:23" s="115" customFormat="1" ht="18" customHeight="1">
      <c r="A1096" s="111"/>
      <c r="B1096" s="111"/>
      <c r="C1096" s="910"/>
      <c r="D1096" s="910"/>
      <c r="E1096" s="910"/>
      <c r="F1096" s="910"/>
      <c r="G1096" s="910"/>
      <c r="H1096" s="910"/>
      <c r="I1096" s="910"/>
      <c r="J1096" s="910"/>
      <c r="K1096" s="910"/>
      <c r="L1096" s="910"/>
      <c r="M1096" s="910"/>
      <c r="N1096" s="910"/>
      <c r="Q1096" s="116"/>
      <c r="R1096" s="116"/>
      <c r="S1096" s="117"/>
      <c r="T1096" s="118"/>
      <c r="U1096" s="118"/>
      <c r="V1096" s="118"/>
      <c r="W1096" s="118"/>
    </row>
    <row r="1097" spans="1:23" s="115" customFormat="1" ht="18" customHeight="1">
      <c r="A1097" s="111"/>
      <c r="B1097" s="111"/>
      <c r="C1097" s="910"/>
      <c r="D1097" s="910"/>
      <c r="E1097" s="910"/>
      <c r="F1097" s="910"/>
      <c r="G1097" s="910"/>
      <c r="H1097" s="910"/>
      <c r="I1097" s="910"/>
      <c r="J1097" s="910"/>
      <c r="K1097" s="910"/>
      <c r="L1097" s="910"/>
      <c r="M1097" s="910"/>
      <c r="N1097" s="910"/>
      <c r="Q1097" s="116"/>
      <c r="R1097" s="116"/>
      <c r="S1097" s="117"/>
      <c r="T1097" s="118"/>
      <c r="U1097" s="118"/>
      <c r="V1097" s="118"/>
      <c r="W1097" s="118"/>
    </row>
    <row r="1098" spans="1:23" s="115" customFormat="1" ht="18" customHeight="1">
      <c r="A1098" s="111"/>
      <c r="B1098" s="111"/>
      <c r="C1098" s="910"/>
      <c r="D1098" s="910"/>
      <c r="E1098" s="910"/>
      <c r="F1098" s="910"/>
      <c r="G1098" s="910"/>
      <c r="H1098" s="910"/>
      <c r="I1098" s="910"/>
      <c r="J1098" s="910"/>
      <c r="K1098" s="910"/>
      <c r="L1098" s="910"/>
      <c r="M1098" s="910"/>
      <c r="N1098" s="910"/>
      <c r="Q1098" s="116"/>
      <c r="R1098" s="116"/>
      <c r="S1098" s="117"/>
      <c r="T1098" s="118"/>
      <c r="U1098" s="118"/>
      <c r="V1098" s="118"/>
      <c r="W1098" s="118"/>
    </row>
    <row r="1099" spans="1:23" s="115" customFormat="1" ht="18" customHeight="1">
      <c r="A1099" s="111"/>
      <c r="B1099" s="111"/>
      <c r="C1099" s="910"/>
      <c r="D1099" s="910"/>
      <c r="E1099" s="910"/>
      <c r="F1099" s="910"/>
      <c r="G1099" s="910"/>
      <c r="H1099" s="910"/>
      <c r="I1099" s="910"/>
      <c r="J1099" s="910"/>
      <c r="K1099" s="910"/>
      <c r="L1099" s="910"/>
      <c r="M1099" s="910"/>
      <c r="N1099" s="910"/>
      <c r="Q1099" s="116"/>
      <c r="R1099" s="116"/>
      <c r="S1099" s="117"/>
      <c r="T1099" s="118"/>
      <c r="U1099" s="118"/>
      <c r="V1099" s="118"/>
      <c r="W1099" s="118"/>
    </row>
    <row r="1100" spans="1:23" s="115" customFormat="1" ht="18" customHeight="1">
      <c r="A1100" s="111"/>
      <c r="B1100" s="111"/>
      <c r="C1100" s="910"/>
      <c r="D1100" s="910"/>
      <c r="E1100" s="910"/>
      <c r="F1100" s="910"/>
      <c r="G1100" s="910"/>
      <c r="H1100" s="910"/>
      <c r="I1100" s="910"/>
      <c r="J1100" s="910"/>
      <c r="K1100" s="910"/>
      <c r="L1100" s="910"/>
      <c r="M1100" s="910"/>
      <c r="N1100" s="910"/>
      <c r="Q1100" s="116"/>
      <c r="R1100" s="116"/>
      <c r="S1100" s="117"/>
      <c r="T1100" s="118"/>
      <c r="U1100" s="118"/>
      <c r="V1100" s="118"/>
      <c r="W1100" s="118"/>
    </row>
    <row r="1101" spans="1:23" s="115" customFormat="1" ht="18" customHeight="1">
      <c r="A1101" s="111"/>
      <c r="B1101" s="111"/>
      <c r="C1101" s="910"/>
      <c r="D1101" s="910"/>
      <c r="E1101" s="111"/>
      <c r="F1101" s="111"/>
      <c r="G1101" s="111"/>
      <c r="H1101" s="111"/>
      <c r="I1101" s="111"/>
      <c r="J1101" s="111"/>
      <c r="K1101" s="112"/>
      <c r="L1101" s="113"/>
      <c r="M1101" s="113"/>
      <c r="N1101" s="113"/>
      <c r="Q1101" s="116"/>
      <c r="R1101" s="116"/>
      <c r="S1101" s="117"/>
      <c r="T1101" s="118"/>
      <c r="U1101" s="118"/>
      <c r="V1101" s="118"/>
      <c r="W1101" s="118"/>
    </row>
    <row r="1102" spans="1:23" s="115" customFormat="1" ht="20.100000000000001" customHeight="1">
      <c r="A1102" s="1448" t="s">
        <v>964</v>
      </c>
      <c r="B1102" s="1448"/>
      <c r="C1102" s="1448"/>
      <c r="D1102" s="1448"/>
      <c r="E1102" s="1448"/>
      <c r="F1102" s="1448"/>
      <c r="G1102" s="1448"/>
      <c r="H1102" s="1448"/>
      <c r="I1102" s="1448"/>
      <c r="J1102" s="1448"/>
      <c r="K1102" s="1448"/>
      <c r="L1102" s="1448"/>
      <c r="M1102" s="1448"/>
      <c r="N1102" s="918"/>
      <c r="Q1102" s="116"/>
      <c r="R1102" s="116"/>
      <c r="S1102" s="117"/>
      <c r="T1102" s="118"/>
      <c r="U1102" s="118"/>
      <c r="V1102" s="118"/>
      <c r="W1102" s="118"/>
    </row>
    <row r="1103" spans="1:23" s="115" customFormat="1" ht="18" customHeight="1">
      <c r="A1103" s="110"/>
      <c r="B1103" s="110"/>
      <c r="C1103" s="917"/>
      <c r="D1103" s="917"/>
      <c r="E1103" s="111"/>
      <c r="F1103" s="111"/>
      <c r="G1103" s="111"/>
      <c r="H1103" s="111"/>
      <c r="I1103" s="111"/>
      <c r="J1103" s="111"/>
      <c r="K1103" s="112"/>
      <c r="L1103" s="113"/>
      <c r="M1103" s="114"/>
      <c r="N1103" s="114"/>
      <c r="Q1103" s="116"/>
      <c r="R1103" s="116"/>
      <c r="S1103" s="117"/>
      <c r="T1103" s="118"/>
      <c r="U1103" s="118"/>
      <c r="V1103" s="118"/>
      <c r="W1103" s="118"/>
    </row>
    <row r="1104" spans="1:23" s="115" customFormat="1" ht="18" customHeight="1">
      <c r="A1104" s="1538" t="s">
        <v>1663</v>
      </c>
      <c r="B1104" s="1538"/>
      <c r="C1104" s="1538"/>
      <c r="D1104" s="1538"/>
      <c r="E1104" s="1538"/>
      <c r="F1104" s="1538"/>
      <c r="G1104" s="1538"/>
      <c r="H1104" s="1538"/>
      <c r="I1104" s="1538"/>
      <c r="J1104" s="1538"/>
      <c r="K1104" s="1538"/>
      <c r="L1104" s="1538"/>
      <c r="M1104" s="1538"/>
      <c r="N1104" s="908"/>
      <c r="Q1104" s="116"/>
      <c r="R1104" s="116"/>
      <c r="S1104" s="117"/>
      <c r="T1104" s="118"/>
      <c r="U1104" s="118"/>
      <c r="V1104" s="118"/>
      <c r="W1104" s="118"/>
    </row>
    <row r="1105" spans="1:23" s="115" customFormat="1" ht="18" customHeight="1">
      <c r="A1105" s="1539" t="s">
        <v>351</v>
      </c>
      <c r="B1105" s="1539"/>
      <c r="C1105" s="1539"/>
      <c r="D1105" s="1539"/>
      <c r="E1105" s="1539"/>
      <c r="F1105" s="1539"/>
      <c r="G1105" s="1539"/>
      <c r="H1105" s="1539"/>
      <c r="I1105" s="1539"/>
      <c r="J1105" s="1539"/>
      <c r="K1105" s="1539"/>
      <c r="L1105" s="1539"/>
      <c r="M1105" s="1539"/>
      <c r="N1105" s="909"/>
      <c r="Q1105" s="116"/>
      <c r="R1105" s="116"/>
      <c r="S1105" s="117"/>
      <c r="T1105" s="118"/>
      <c r="U1105" s="118"/>
      <c r="V1105" s="118"/>
      <c r="W1105" s="118"/>
    </row>
    <row r="1106" spans="1:23" s="115" customFormat="1" ht="18" customHeight="1">
      <c r="A1106" s="1540"/>
      <c r="B1106" s="1540"/>
      <c r="C1106" s="1540"/>
      <c r="D1106" s="1540"/>
      <c r="E1106" s="1540"/>
      <c r="F1106" s="1540"/>
      <c r="G1106" s="1540"/>
      <c r="H1106" s="1540"/>
      <c r="I1106" s="1540"/>
      <c r="J1106" s="1540"/>
      <c r="K1106" s="1540"/>
      <c r="L1106" s="1540"/>
      <c r="M1106" s="1540"/>
      <c r="N1106" s="910"/>
      <c r="Q1106" s="116"/>
      <c r="R1106" s="116"/>
      <c r="S1106" s="117"/>
      <c r="T1106" s="118"/>
      <c r="U1106" s="118"/>
      <c r="V1106" s="118"/>
      <c r="W1106" s="118"/>
    </row>
    <row r="1107" spans="1:23" s="115" customFormat="1" ht="18" customHeight="1">
      <c r="A1107" s="910"/>
      <c r="B1107" s="910"/>
      <c r="C1107" s="910"/>
      <c r="D1107" s="910"/>
      <c r="E1107" s="910"/>
      <c r="F1107" s="910"/>
      <c r="G1107" s="910"/>
      <c r="H1107" s="910"/>
      <c r="I1107" s="910"/>
      <c r="J1107" s="910"/>
      <c r="K1107" s="910"/>
      <c r="L1107" s="910"/>
      <c r="M1107" s="910"/>
      <c r="N1107" s="910"/>
      <c r="Q1107" s="116"/>
      <c r="R1107" s="116"/>
      <c r="S1107" s="117"/>
      <c r="T1107" s="118"/>
      <c r="U1107" s="118"/>
      <c r="V1107" s="118"/>
      <c r="W1107" s="118"/>
    </row>
    <row r="1108" spans="1:23" s="115" customFormat="1" ht="18" customHeight="1">
      <c r="A1108" s="111" t="s">
        <v>454</v>
      </c>
      <c r="B1108" s="111"/>
      <c r="C1108" s="111" t="s">
        <v>439</v>
      </c>
      <c r="D1108" s="111" t="s">
        <v>468</v>
      </c>
      <c r="E1108" s="111"/>
      <c r="F1108" s="111"/>
      <c r="G1108" s="111"/>
      <c r="H1108" s="111"/>
      <c r="I1108" s="112"/>
      <c r="J1108" s="910"/>
      <c r="K1108" s="910"/>
      <c r="L1108" s="910"/>
      <c r="M1108" s="910"/>
      <c r="N1108" s="910"/>
      <c r="Q1108" s="116"/>
      <c r="R1108" s="116"/>
      <c r="S1108" s="117"/>
      <c r="T1108" s="118"/>
      <c r="U1108" s="118"/>
      <c r="V1108" s="118"/>
      <c r="W1108" s="118"/>
    </row>
    <row r="1109" spans="1:23" s="115" customFormat="1" ht="18" customHeight="1">
      <c r="A1109" s="111" t="s">
        <v>442</v>
      </c>
      <c r="B1109" s="111"/>
      <c r="C1109" s="111" t="s">
        <v>439</v>
      </c>
      <c r="D1109" s="111" t="s">
        <v>469</v>
      </c>
      <c r="E1109" s="111"/>
      <c r="F1109" s="111"/>
      <c r="G1109" s="111"/>
      <c r="H1109" s="111"/>
      <c r="I1109" s="112"/>
      <c r="J1109" s="910"/>
      <c r="K1109" s="910"/>
      <c r="L1109" s="910"/>
      <c r="M1109" s="910"/>
      <c r="N1109" s="910"/>
      <c r="O1109" s="180"/>
      <c r="Q1109" s="116"/>
      <c r="R1109" s="116"/>
      <c r="S1109" s="117"/>
      <c r="T1109" s="118"/>
      <c r="U1109" s="118"/>
      <c r="V1109" s="118"/>
      <c r="W1109" s="118"/>
    </row>
    <row r="1110" spans="1:23" s="115" customFormat="1" ht="18" customHeight="1" thickBot="1">
      <c r="A1110" s="111" t="s">
        <v>443</v>
      </c>
      <c r="B1110" s="111"/>
      <c r="C1110" s="111" t="s">
        <v>439</v>
      </c>
      <c r="D1110" s="111" t="s">
        <v>668</v>
      </c>
      <c r="E1110" s="111"/>
      <c r="F1110" s="111"/>
      <c r="G1110" s="111"/>
      <c r="H1110" s="111"/>
      <c r="I1110" s="112"/>
      <c r="J1110" s="910"/>
      <c r="K1110" s="910"/>
      <c r="L1110" s="910"/>
      <c r="M1110" s="910"/>
      <c r="N1110" s="910"/>
      <c r="O1110" s="180"/>
      <c r="Q1110" s="116"/>
      <c r="R1110" s="116"/>
      <c r="S1110" s="117"/>
      <c r="T1110" s="118"/>
      <c r="U1110" s="118"/>
      <c r="V1110" s="118"/>
      <c r="W1110" s="118"/>
    </row>
    <row r="1111" spans="1:23" ht="18" customHeight="1">
      <c r="A1111" s="1532" t="s">
        <v>619</v>
      </c>
      <c r="B1111" s="1533"/>
      <c r="C1111" s="1533"/>
      <c r="D1111" s="1533"/>
      <c r="E1111" s="1534"/>
      <c r="F1111" s="1533"/>
      <c r="G1111" s="1535"/>
      <c r="H1111" s="121"/>
      <c r="I1111" s="1536" t="s">
        <v>623</v>
      </c>
      <c r="J1111" s="1537"/>
      <c r="K1111" s="1536" t="s">
        <v>623</v>
      </c>
      <c r="L1111" s="1537"/>
      <c r="M1111" s="122"/>
      <c r="N1111" s="876"/>
      <c r="O1111" s="180"/>
    </row>
    <row r="1112" spans="1:23" ht="18" customHeight="1">
      <c r="A1112" s="123" t="s">
        <v>620</v>
      </c>
      <c r="B1112" s="1544" t="s">
        <v>621</v>
      </c>
      <c r="C1112" s="1545"/>
      <c r="D1112" s="1546"/>
      <c r="E1112" s="1547" t="s">
        <v>43</v>
      </c>
      <c r="F1112" s="1548"/>
      <c r="G1112" s="1549"/>
      <c r="H1112" s="914" t="s">
        <v>44</v>
      </c>
      <c r="I1112" s="1547" t="s">
        <v>1613</v>
      </c>
      <c r="J1112" s="1549"/>
      <c r="K1112" s="1548" t="s">
        <v>1660</v>
      </c>
      <c r="L1112" s="1549"/>
      <c r="M1112" s="124" t="s">
        <v>45</v>
      </c>
      <c r="N1112" s="877"/>
    </row>
    <row r="1113" spans="1:23" ht="18" customHeight="1">
      <c r="A1113" s="125"/>
      <c r="B1113" s="914"/>
      <c r="C1113" s="915"/>
      <c r="D1113" s="915"/>
      <c r="E1113" s="914"/>
      <c r="F1113" s="915"/>
      <c r="G1113" s="916"/>
      <c r="H1113" s="914" t="s">
        <v>46</v>
      </c>
      <c r="I1113" s="1550"/>
      <c r="J1113" s="1551"/>
      <c r="K1113" s="1550"/>
      <c r="L1113" s="1551"/>
      <c r="M1113" s="124" t="s">
        <v>47</v>
      </c>
      <c r="N1113" s="877"/>
    </row>
    <row r="1114" spans="1:23" ht="18" customHeight="1">
      <c r="A1114" s="125"/>
      <c r="B1114" s="914"/>
      <c r="C1114" s="915"/>
      <c r="D1114" s="915"/>
      <c r="E1114" s="914"/>
      <c r="F1114" s="915"/>
      <c r="G1114" s="126"/>
      <c r="H1114" s="127"/>
      <c r="I1114" s="128" t="s">
        <v>622</v>
      </c>
      <c r="J1114" s="129" t="s">
        <v>48</v>
      </c>
      <c r="K1114" s="128" t="s">
        <v>622</v>
      </c>
      <c r="L1114" s="129" t="s">
        <v>48</v>
      </c>
      <c r="M1114" s="124"/>
      <c r="N1114" s="120"/>
    </row>
    <row r="1115" spans="1:23" ht="18" customHeight="1" thickBot="1">
      <c r="A1115" s="130"/>
      <c r="B1115" s="1541"/>
      <c r="C1115" s="1542"/>
      <c r="D1115" s="1543"/>
      <c r="E1115" s="1541"/>
      <c r="F1115" s="1542"/>
      <c r="G1115" s="1543"/>
      <c r="H1115" s="131"/>
      <c r="I1115" s="131"/>
      <c r="J1115" s="131"/>
      <c r="K1115" s="131"/>
      <c r="L1115" s="131"/>
      <c r="M1115" s="132"/>
      <c r="N1115" s="883"/>
    </row>
    <row r="1116" spans="1:23" ht="18" customHeight="1">
      <c r="A1116" s="181"/>
      <c r="B1116" s="119"/>
      <c r="C1116" s="119"/>
      <c r="D1116" s="119"/>
      <c r="E1116" s="133"/>
      <c r="F1116" s="119"/>
      <c r="G1116" s="217"/>
      <c r="H1116" s="181"/>
      <c r="I1116" s="181"/>
      <c r="J1116" s="181"/>
      <c r="K1116" s="181"/>
      <c r="L1116" s="181"/>
      <c r="M1116" s="181"/>
      <c r="N1116" s="119"/>
    </row>
    <row r="1117" spans="1:23" ht="18" customHeight="1">
      <c r="A1117" s="183">
        <v>1</v>
      </c>
      <c r="B1117" s="920"/>
      <c r="C1117" s="920"/>
      <c r="D1117" s="920"/>
      <c r="E1117" s="154" t="s">
        <v>156</v>
      </c>
      <c r="F1117" s="920"/>
      <c r="G1117" s="140"/>
      <c r="H1117" s="141" t="s">
        <v>157</v>
      </c>
      <c r="I1117" s="184" t="s">
        <v>1490</v>
      </c>
      <c r="J1117" s="143">
        <v>481992</v>
      </c>
      <c r="K1117" s="184" t="s">
        <v>1490</v>
      </c>
      <c r="L1117" s="143">
        <v>497520</v>
      </c>
      <c r="M1117" s="144">
        <f>L1117-J1117</f>
        <v>15528</v>
      </c>
      <c r="N1117" s="879"/>
      <c r="O1117" s="115">
        <f>M1117+L1117</f>
        <v>513048</v>
      </c>
      <c r="S1117" s="145"/>
    </row>
    <row r="1118" spans="1:23" ht="18" customHeight="1">
      <c r="A1118" s="183"/>
      <c r="B1118" s="957"/>
      <c r="C1118" s="957"/>
      <c r="D1118" s="957"/>
      <c r="E1118" s="154"/>
      <c r="F1118" s="957"/>
      <c r="G1118" s="140"/>
      <c r="H1118" s="141"/>
      <c r="I1118" s="184"/>
      <c r="J1118" s="143"/>
      <c r="K1118" s="184"/>
      <c r="L1118" s="143"/>
      <c r="M1118" s="144"/>
      <c r="N1118" s="879"/>
      <c r="S1118" s="145"/>
    </row>
    <row r="1119" spans="1:23" ht="18" customHeight="1">
      <c r="A1119" s="183"/>
      <c r="B1119" s="957"/>
      <c r="C1119" s="957"/>
      <c r="D1119" s="957"/>
      <c r="E1119" s="154"/>
      <c r="F1119" s="957"/>
      <c r="G1119" s="140"/>
      <c r="H1119" s="141"/>
      <c r="I1119" s="184"/>
      <c r="J1119" s="143"/>
      <c r="K1119" s="184"/>
      <c r="L1119" s="143"/>
      <c r="M1119" s="144"/>
      <c r="N1119" s="879"/>
      <c r="S1119" s="145"/>
    </row>
    <row r="1120" spans="1:23" s="146" customFormat="1" ht="18" customHeight="1">
      <c r="A1120" s="183">
        <v>2</v>
      </c>
      <c r="B1120" s="920"/>
      <c r="C1120" s="920"/>
      <c r="D1120" s="920"/>
      <c r="E1120" s="154" t="s">
        <v>136</v>
      </c>
      <c r="F1120" s="920"/>
      <c r="G1120" s="140"/>
      <c r="H1120" s="141" t="s">
        <v>97</v>
      </c>
      <c r="I1120" s="184" t="s">
        <v>1633</v>
      </c>
      <c r="J1120" s="143">
        <v>232068</v>
      </c>
      <c r="K1120" s="184" t="s">
        <v>1633</v>
      </c>
      <c r="L1120" s="143">
        <v>242376</v>
      </c>
      <c r="M1120" s="144">
        <f>L1120-J1120</f>
        <v>10308</v>
      </c>
      <c r="N1120" s="879"/>
      <c r="O1120" s="115">
        <f>M1120+L1120</f>
        <v>252684</v>
      </c>
      <c r="P1120" s="115"/>
      <c r="Q1120" s="116"/>
      <c r="R1120" s="116"/>
      <c r="S1120" s="145"/>
    </row>
    <row r="1121" spans="1:19" s="146" customFormat="1" ht="18" customHeight="1">
      <c r="A1121" s="183"/>
      <c r="B1121" s="957"/>
      <c r="C1121" s="957"/>
      <c r="D1121" s="957"/>
      <c r="E1121" s="154"/>
      <c r="F1121" s="957"/>
      <c r="G1121" s="140"/>
      <c r="H1121" s="141"/>
      <c r="I1121" s="184"/>
      <c r="J1121" s="143"/>
      <c r="K1121" s="184"/>
      <c r="L1121" s="143"/>
      <c r="M1121" s="144"/>
      <c r="N1121" s="879"/>
      <c r="O1121" s="115"/>
      <c r="P1121" s="115"/>
      <c r="Q1121" s="116"/>
      <c r="R1121" s="116"/>
      <c r="S1121" s="145"/>
    </row>
    <row r="1122" spans="1:19" s="146" customFormat="1" ht="18" customHeight="1">
      <c r="A1122" s="183"/>
      <c r="B1122" s="920"/>
      <c r="C1122" s="920"/>
      <c r="D1122" s="920"/>
      <c r="E1122" s="154"/>
      <c r="F1122" s="920"/>
      <c r="G1122" s="140"/>
      <c r="H1122" s="141"/>
      <c r="I1122" s="184"/>
      <c r="J1122" s="143"/>
      <c r="K1122" s="184"/>
      <c r="L1122" s="143"/>
      <c r="M1122" s="144"/>
      <c r="N1122" s="879"/>
      <c r="O1122" s="115"/>
      <c r="P1122" s="115"/>
      <c r="Q1122" s="116"/>
      <c r="R1122" s="116"/>
      <c r="S1122" s="145"/>
    </row>
    <row r="1123" spans="1:19" s="146" customFormat="1" ht="18" customHeight="1">
      <c r="A1123" s="183">
        <v>3</v>
      </c>
      <c r="B1123" s="920"/>
      <c r="C1123" s="920"/>
      <c r="D1123" s="920"/>
      <c r="E1123" s="154" t="s">
        <v>138</v>
      </c>
      <c r="F1123" s="920"/>
      <c r="G1123" s="140"/>
      <c r="H1123" s="141" t="s">
        <v>139</v>
      </c>
      <c r="I1123" s="184" t="s">
        <v>88</v>
      </c>
      <c r="J1123" s="143">
        <v>206376</v>
      </c>
      <c r="K1123" s="184" t="s">
        <v>88</v>
      </c>
      <c r="L1123" s="143">
        <v>214500</v>
      </c>
      <c r="M1123" s="144">
        <f>L1123-J1123</f>
        <v>8124</v>
      </c>
      <c r="N1123" s="879"/>
      <c r="O1123" s="115">
        <f>M1123+L1123</f>
        <v>222624</v>
      </c>
      <c r="P1123" s="115"/>
      <c r="Q1123" s="116"/>
      <c r="R1123" s="116"/>
      <c r="S1123" s="145"/>
    </row>
    <row r="1124" spans="1:19" s="146" customFormat="1" ht="18" customHeight="1">
      <c r="A1124" s="183"/>
      <c r="B1124" s="957"/>
      <c r="C1124" s="957"/>
      <c r="D1124" s="957"/>
      <c r="E1124" s="154"/>
      <c r="F1124" s="957"/>
      <c r="G1124" s="140"/>
      <c r="H1124" s="141"/>
      <c r="I1124" s="184"/>
      <c r="J1124" s="143"/>
      <c r="K1124" s="184"/>
      <c r="L1124" s="143"/>
      <c r="M1124" s="144"/>
      <c r="N1124" s="879"/>
      <c r="O1124" s="115"/>
      <c r="P1124" s="115"/>
      <c r="Q1124" s="116"/>
      <c r="R1124" s="116"/>
      <c r="S1124" s="145"/>
    </row>
    <row r="1125" spans="1:19" s="146" customFormat="1" ht="18" customHeight="1">
      <c r="A1125" s="183"/>
      <c r="B1125" s="957"/>
      <c r="C1125" s="957"/>
      <c r="D1125" s="957"/>
      <c r="E1125" s="154"/>
      <c r="F1125" s="957"/>
      <c r="G1125" s="140"/>
      <c r="H1125" s="141"/>
      <c r="I1125" s="184"/>
      <c r="J1125" s="143"/>
      <c r="K1125" s="184"/>
      <c r="L1125" s="143"/>
      <c r="M1125" s="144"/>
      <c r="N1125" s="879"/>
      <c r="O1125" s="115"/>
      <c r="P1125" s="115"/>
      <c r="Q1125" s="116"/>
      <c r="R1125" s="116"/>
      <c r="S1125" s="145"/>
    </row>
    <row r="1126" spans="1:19" s="146" customFormat="1" ht="18" customHeight="1">
      <c r="A1126" s="183">
        <v>4</v>
      </c>
      <c r="B1126" s="920"/>
      <c r="C1126" s="920"/>
      <c r="D1126" s="920"/>
      <c r="E1126" s="154" t="s">
        <v>138</v>
      </c>
      <c r="F1126" s="920"/>
      <c r="G1126" s="140"/>
      <c r="H1126" s="141" t="s">
        <v>100</v>
      </c>
      <c r="I1126" s="184" t="s">
        <v>1634</v>
      </c>
      <c r="J1126" s="143">
        <v>197304</v>
      </c>
      <c r="K1126" s="184" t="s">
        <v>1634</v>
      </c>
      <c r="L1126" s="143">
        <v>205056</v>
      </c>
      <c r="M1126" s="144">
        <f>L1126-J1126</f>
        <v>7752</v>
      </c>
      <c r="N1126" s="879"/>
      <c r="O1126" s="115">
        <f>M1126+L1126</f>
        <v>212808</v>
      </c>
      <c r="P1126" s="115"/>
      <c r="Q1126" s="116"/>
      <c r="R1126" s="116"/>
      <c r="S1126" s="145"/>
    </row>
    <row r="1127" spans="1:19" s="146" customFormat="1" ht="18" customHeight="1">
      <c r="A1127" s="183"/>
      <c r="B1127" s="957"/>
      <c r="C1127" s="957"/>
      <c r="D1127" s="957"/>
      <c r="E1127" s="154"/>
      <c r="F1127" s="957"/>
      <c r="G1127" s="140"/>
      <c r="H1127" s="141"/>
      <c r="I1127" s="184"/>
      <c r="J1127" s="143"/>
      <c r="K1127" s="184"/>
      <c r="L1127" s="143"/>
      <c r="M1127" s="144"/>
      <c r="N1127" s="879"/>
      <c r="O1127" s="115"/>
      <c r="P1127" s="115"/>
      <c r="Q1127" s="116"/>
      <c r="R1127" s="116"/>
      <c r="S1127" s="145"/>
    </row>
    <row r="1128" spans="1:19" s="146" customFormat="1" ht="18" customHeight="1">
      <c r="A1128" s="183"/>
      <c r="B1128" s="920"/>
      <c r="C1128" s="920"/>
      <c r="D1128" s="920"/>
      <c r="E1128" s="154"/>
      <c r="F1128" s="920"/>
      <c r="G1128" s="140"/>
      <c r="H1128" s="141"/>
      <c r="I1128" s="184"/>
      <c r="J1128" s="143"/>
      <c r="K1128" s="184"/>
      <c r="L1128" s="143"/>
      <c r="M1128" s="144"/>
      <c r="N1128" s="879"/>
      <c r="O1128" s="115"/>
      <c r="P1128" s="115"/>
      <c r="Q1128" s="116"/>
      <c r="R1128" s="116"/>
      <c r="S1128" s="145"/>
    </row>
    <row r="1129" spans="1:19" s="146" customFormat="1" ht="18" customHeight="1">
      <c r="A1129" s="183">
        <v>5</v>
      </c>
      <c r="B1129" s="1552"/>
      <c r="C1129" s="1553"/>
      <c r="D1129" s="1554"/>
      <c r="E1129" s="154" t="s">
        <v>1532</v>
      </c>
      <c r="F1129" s="920"/>
      <c r="G1129" s="140"/>
      <c r="H1129" s="141" t="s">
        <v>276</v>
      </c>
      <c r="I1129" s="184" t="s">
        <v>160</v>
      </c>
      <c r="J1129" s="143">
        <v>193776</v>
      </c>
      <c r="K1129" s="184" t="s">
        <v>160</v>
      </c>
      <c r="L1129" s="143">
        <v>201384</v>
      </c>
      <c r="M1129" s="144">
        <f>L1129-J1129</f>
        <v>7608</v>
      </c>
      <c r="N1129" s="879"/>
      <c r="O1129" s="115">
        <f>M1129+L1129</f>
        <v>208992</v>
      </c>
      <c r="P1129" s="115"/>
      <c r="Q1129" s="116"/>
      <c r="R1129" s="116"/>
      <c r="S1129" s="117"/>
    </row>
    <row r="1130" spans="1:19" s="146" customFormat="1" ht="18" customHeight="1">
      <c r="A1130" s="183"/>
      <c r="B1130" s="957"/>
      <c r="C1130" s="957"/>
      <c r="D1130" s="957"/>
      <c r="E1130" s="154"/>
      <c r="F1130" s="957"/>
      <c r="G1130" s="140"/>
      <c r="H1130" s="141"/>
      <c r="I1130" s="184"/>
      <c r="J1130" s="143"/>
      <c r="K1130" s="184"/>
      <c r="L1130" s="143"/>
      <c r="M1130" s="144"/>
      <c r="N1130" s="879"/>
      <c r="O1130" s="115"/>
      <c r="P1130" s="115"/>
      <c r="Q1130" s="116"/>
      <c r="R1130" s="116"/>
      <c r="S1130" s="117"/>
    </row>
    <row r="1131" spans="1:19" s="146" customFormat="1" ht="18" customHeight="1">
      <c r="A1131" s="183"/>
      <c r="B1131" s="957"/>
      <c r="C1131" s="957"/>
      <c r="D1131" s="957"/>
      <c r="E1131" s="154"/>
      <c r="F1131" s="957"/>
      <c r="G1131" s="140"/>
      <c r="H1131" s="141"/>
      <c r="I1131" s="184"/>
      <c r="J1131" s="143"/>
      <c r="K1131" s="184"/>
      <c r="L1131" s="143"/>
      <c r="M1131" s="144"/>
      <c r="N1131" s="879"/>
      <c r="O1131" s="115"/>
      <c r="P1131" s="115"/>
      <c r="Q1131" s="116"/>
      <c r="R1131" s="116"/>
      <c r="S1131" s="117"/>
    </row>
    <row r="1132" spans="1:19" s="146" customFormat="1" ht="18" customHeight="1">
      <c r="A1132" s="183">
        <v>6</v>
      </c>
      <c r="B1132" s="920"/>
      <c r="C1132" s="920"/>
      <c r="D1132" s="920"/>
      <c r="E1132" s="154" t="s">
        <v>140</v>
      </c>
      <c r="F1132" s="920"/>
      <c r="G1132" s="140"/>
      <c r="H1132" s="141" t="s">
        <v>1635</v>
      </c>
      <c r="I1132" s="184" t="s">
        <v>238</v>
      </c>
      <c r="J1132" s="143">
        <v>172140</v>
      </c>
      <c r="K1132" s="184" t="s">
        <v>238</v>
      </c>
      <c r="L1132" s="143">
        <v>179040</v>
      </c>
      <c r="M1132" s="144">
        <f>L1132-J1132</f>
        <v>6900</v>
      </c>
      <c r="N1132" s="879"/>
      <c r="O1132" s="115">
        <f>M1132+L1132</f>
        <v>185940</v>
      </c>
      <c r="P1132" s="115"/>
      <c r="Q1132" s="116"/>
      <c r="R1132" s="116"/>
      <c r="S1132" s="145"/>
    </row>
    <row r="1133" spans="1:19" s="146" customFormat="1" ht="18" customHeight="1">
      <c r="A1133" s="183"/>
      <c r="B1133" s="957"/>
      <c r="C1133" s="957"/>
      <c r="D1133" s="957"/>
      <c r="E1133" s="154"/>
      <c r="F1133" s="957"/>
      <c r="G1133" s="140"/>
      <c r="H1133" s="141"/>
      <c r="I1133" s="184"/>
      <c r="J1133" s="143"/>
      <c r="K1133" s="184"/>
      <c r="L1133" s="143"/>
      <c r="M1133" s="144"/>
      <c r="N1133" s="879"/>
      <c r="O1133" s="115"/>
      <c r="P1133" s="115"/>
      <c r="Q1133" s="116"/>
      <c r="R1133" s="116"/>
      <c r="S1133" s="145"/>
    </row>
    <row r="1134" spans="1:19" s="146" customFormat="1" ht="18" customHeight="1">
      <c r="A1134" s="183"/>
      <c r="B1134" s="957"/>
      <c r="C1134" s="957"/>
      <c r="D1134" s="957"/>
      <c r="E1134" s="154"/>
      <c r="F1134" s="957"/>
      <c r="G1134" s="140"/>
      <c r="H1134" s="141"/>
      <c r="I1134" s="184"/>
      <c r="J1134" s="143"/>
      <c r="K1134" s="184"/>
      <c r="L1134" s="143"/>
      <c r="M1134" s="144"/>
      <c r="N1134" s="879"/>
      <c r="O1134" s="115"/>
      <c r="P1134" s="115"/>
      <c r="Q1134" s="116"/>
      <c r="R1134" s="116"/>
      <c r="S1134" s="145"/>
    </row>
    <row r="1135" spans="1:19" s="146" customFormat="1" ht="18" customHeight="1">
      <c r="A1135" s="183">
        <v>7</v>
      </c>
      <c r="B1135" s="920"/>
      <c r="C1135" s="920"/>
      <c r="D1135" s="920"/>
      <c r="E1135" s="154" t="s">
        <v>141</v>
      </c>
      <c r="F1135" s="920"/>
      <c r="G1135" s="140"/>
      <c r="H1135" s="234" t="s">
        <v>941</v>
      </c>
      <c r="I1135" s="184" t="s">
        <v>431</v>
      </c>
      <c r="J1135" s="143">
        <v>173472</v>
      </c>
      <c r="K1135" s="184" t="s">
        <v>431</v>
      </c>
      <c r="L1135" s="143">
        <v>180420</v>
      </c>
      <c r="M1135" s="144">
        <f>L1135-J1135</f>
        <v>6948</v>
      </c>
      <c r="N1135" s="879"/>
      <c r="O1135" s="115">
        <f>M1135+L1135</f>
        <v>187368</v>
      </c>
      <c r="P1135" s="115"/>
      <c r="Q1135" s="116"/>
      <c r="R1135" s="116"/>
      <c r="S1135" s="145"/>
    </row>
    <row r="1136" spans="1:19" s="146" customFormat="1" ht="18" customHeight="1">
      <c r="A1136" s="183"/>
      <c r="B1136" s="957"/>
      <c r="C1136" s="957"/>
      <c r="D1136" s="957"/>
      <c r="E1136" s="154"/>
      <c r="F1136" s="957"/>
      <c r="G1136" s="140"/>
      <c r="H1136" s="234"/>
      <c r="I1136" s="184"/>
      <c r="J1136" s="143"/>
      <c r="K1136" s="184"/>
      <c r="L1136" s="143"/>
      <c r="M1136" s="144"/>
      <c r="N1136" s="879"/>
      <c r="O1136" s="115"/>
      <c r="P1136" s="115"/>
      <c r="Q1136" s="116"/>
      <c r="R1136" s="116"/>
      <c r="S1136" s="145"/>
    </row>
    <row r="1137" spans="1:19" s="146" customFormat="1" ht="18" customHeight="1">
      <c r="A1137" s="183"/>
      <c r="B1137" s="957"/>
      <c r="C1137" s="957"/>
      <c r="D1137" s="957"/>
      <c r="E1137" s="154"/>
      <c r="F1137" s="957"/>
      <c r="G1137" s="140"/>
      <c r="H1137" s="234"/>
      <c r="I1137" s="184"/>
      <c r="J1137" s="143"/>
      <c r="K1137" s="184"/>
      <c r="L1137" s="143"/>
      <c r="M1137" s="144"/>
      <c r="N1137" s="879"/>
      <c r="O1137" s="115"/>
      <c r="P1137" s="115"/>
      <c r="Q1137" s="116"/>
      <c r="R1137" s="116"/>
      <c r="S1137" s="145"/>
    </row>
    <row r="1138" spans="1:19" s="146" customFormat="1" ht="18" customHeight="1">
      <c r="A1138" s="183">
        <v>8</v>
      </c>
      <c r="B1138" s="920"/>
      <c r="C1138" s="920"/>
      <c r="D1138" s="920"/>
      <c r="E1138" s="154" t="s">
        <v>57</v>
      </c>
      <c r="F1138" s="920"/>
      <c r="G1138" s="140"/>
      <c r="H1138" s="141" t="s">
        <v>144</v>
      </c>
      <c r="I1138" s="184" t="s">
        <v>241</v>
      </c>
      <c r="J1138" s="143">
        <v>144072</v>
      </c>
      <c r="K1138" s="184" t="s">
        <v>241</v>
      </c>
      <c r="L1138" s="143">
        <v>149712</v>
      </c>
      <c r="M1138" s="144">
        <f>L1138-J1138</f>
        <v>5640</v>
      </c>
      <c r="N1138" s="879"/>
      <c r="O1138" s="115">
        <f>M1138+L1138</f>
        <v>155352</v>
      </c>
      <c r="P1138" s="115"/>
      <c r="Q1138" s="116"/>
      <c r="R1138" s="116"/>
      <c r="S1138" s="145"/>
    </row>
    <row r="1139" spans="1:19" s="146" customFormat="1" ht="18" customHeight="1">
      <c r="A1139" s="183"/>
      <c r="B1139" s="957"/>
      <c r="C1139" s="957"/>
      <c r="D1139" s="957"/>
      <c r="E1139" s="154"/>
      <c r="F1139" s="957"/>
      <c r="G1139" s="140"/>
      <c r="H1139" s="141"/>
      <c r="I1139" s="184"/>
      <c r="J1139" s="143"/>
      <c r="K1139" s="184"/>
      <c r="L1139" s="143"/>
      <c r="M1139" s="144"/>
      <c r="N1139" s="879"/>
      <c r="O1139" s="115"/>
      <c r="P1139" s="115"/>
      <c r="Q1139" s="116"/>
      <c r="R1139" s="116"/>
      <c r="S1139" s="145"/>
    </row>
    <row r="1140" spans="1:19" s="146" customFormat="1" ht="18" customHeight="1">
      <c r="A1140" s="183"/>
      <c r="B1140" s="920"/>
      <c r="C1140" s="920"/>
      <c r="D1140" s="920"/>
      <c r="E1140" s="154"/>
      <c r="F1140" s="920"/>
      <c r="G1140" s="140"/>
      <c r="H1140" s="141"/>
      <c r="I1140" s="184"/>
      <c r="J1140" s="143"/>
      <c r="K1140" s="184"/>
      <c r="L1140" s="143"/>
      <c r="M1140" s="144"/>
      <c r="N1140" s="879"/>
      <c r="O1140" s="115"/>
      <c r="P1140" s="115"/>
      <c r="Q1140" s="116"/>
      <c r="R1140" s="116"/>
      <c r="S1140" s="145"/>
    </row>
    <row r="1141" spans="1:19" s="146" customFormat="1" ht="18" customHeight="1">
      <c r="A1141" s="183">
        <v>9</v>
      </c>
      <c r="B1141" s="920"/>
      <c r="C1141" s="920"/>
      <c r="D1141" s="920"/>
      <c r="E1141" s="154" t="s">
        <v>57</v>
      </c>
      <c r="F1141" s="920"/>
      <c r="G1141" s="140"/>
      <c r="H1141" s="141" t="s">
        <v>158</v>
      </c>
      <c r="I1141" s="184" t="s">
        <v>1491</v>
      </c>
      <c r="J1141" s="143">
        <v>148560</v>
      </c>
      <c r="K1141" s="184" t="s">
        <v>1491</v>
      </c>
      <c r="L1141" s="143">
        <v>154392</v>
      </c>
      <c r="M1141" s="144">
        <f>L1141-J1141</f>
        <v>5832</v>
      </c>
      <c r="N1141" s="879"/>
      <c r="O1141" s="115">
        <f>M1141+L1141</f>
        <v>160224</v>
      </c>
      <c r="P1141" s="115"/>
      <c r="Q1141" s="116"/>
      <c r="R1141" s="116"/>
      <c r="S1141" s="145"/>
    </row>
    <row r="1142" spans="1:19" s="146" customFormat="1" ht="18" customHeight="1">
      <c r="A1142" s="183"/>
      <c r="B1142" s="957"/>
      <c r="C1142" s="957"/>
      <c r="D1142" s="957"/>
      <c r="E1142" s="154"/>
      <c r="F1142" s="957"/>
      <c r="G1142" s="140"/>
      <c r="H1142" s="141"/>
      <c r="I1142" s="184"/>
      <c r="J1142" s="143"/>
      <c r="K1142" s="184"/>
      <c r="L1142" s="143"/>
      <c r="M1142" s="144"/>
      <c r="N1142" s="879"/>
      <c r="O1142" s="115"/>
      <c r="P1142" s="115"/>
      <c r="Q1142" s="116"/>
      <c r="R1142" s="116"/>
      <c r="S1142" s="145"/>
    </row>
    <row r="1143" spans="1:19" s="146" customFormat="1" ht="18" customHeight="1">
      <c r="A1143" s="183"/>
      <c r="B1143" s="957"/>
      <c r="C1143" s="957"/>
      <c r="D1143" s="957"/>
      <c r="E1143" s="154"/>
      <c r="F1143" s="957"/>
      <c r="G1143" s="140"/>
      <c r="H1143" s="141"/>
      <c r="I1143" s="184"/>
      <c r="J1143" s="143"/>
      <c r="K1143" s="184"/>
      <c r="L1143" s="143"/>
      <c r="M1143" s="144"/>
      <c r="N1143" s="879"/>
      <c r="O1143" s="115"/>
      <c r="P1143" s="115"/>
      <c r="Q1143" s="116"/>
      <c r="R1143" s="116"/>
      <c r="S1143" s="145"/>
    </row>
    <row r="1144" spans="1:19" s="146" customFormat="1" ht="18" customHeight="1">
      <c r="A1144" s="183">
        <v>10</v>
      </c>
      <c r="B1144" s="920"/>
      <c r="C1144" s="920"/>
      <c r="D1144" s="920"/>
      <c r="E1144" s="154" t="s">
        <v>57</v>
      </c>
      <c r="F1144" s="920"/>
      <c r="G1144" s="140"/>
      <c r="H1144" s="141" t="s">
        <v>159</v>
      </c>
      <c r="I1144" s="184" t="s">
        <v>1491</v>
      </c>
      <c r="J1144" s="143">
        <v>148560</v>
      </c>
      <c r="K1144" s="184" t="s">
        <v>1491</v>
      </c>
      <c r="L1144" s="143">
        <v>154392</v>
      </c>
      <c r="M1144" s="144">
        <f>L1144-J1144</f>
        <v>5832</v>
      </c>
      <c r="N1144" s="879"/>
      <c r="O1144" s="115">
        <f>M1144+L1144</f>
        <v>160224</v>
      </c>
      <c r="P1144" s="115"/>
      <c r="Q1144" s="116"/>
      <c r="R1144" s="116"/>
      <c r="S1144" s="145"/>
    </row>
    <row r="1145" spans="1:19" s="146" customFormat="1" ht="18" customHeight="1">
      <c r="A1145" s="183"/>
      <c r="B1145" s="957"/>
      <c r="C1145" s="957"/>
      <c r="D1145" s="957"/>
      <c r="E1145" s="154"/>
      <c r="F1145" s="957"/>
      <c r="G1145" s="140"/>
      <c r="H1145" s="141"/>
      <c r="I1145" s="184"/>
      <c r="J1145" s="143"/>
      <c r="K1145" s="184"/>
      <c r="L1145" s="143"/>
      <c r="M1145" s="144"/>
      <c r="N1145" s="879"/>
      <c r="O1145" s="115"/>
      <c r="P1145" s="115"/>
      <c r="Q1145" s="116"/>
      <c r="R1145" s="116"/>
      <c r="S1145" s="145"/>
    </row>
    <row r="1146" spans="1:19" s="146" customFormat="1" ht="18" customHeight="1">
      <c r="A1146" s="183"/>
      <c r="B1146" s="957"/>
      <c r="C1146" s="957"/>
      <c r="D1146" s="957"/>
      <c r="E1146" s="154"/>
      <c r="F1146" s="957"/>
      <c r="G1146" s="140"/>
      <c r="H1146" s="141"/>
      <c r="I1146" s="184"/>
      <c r="J1146" s="143"/>
      <c r="K1146" s="184"/>
      <c r="L1146" s="143"/>
      <c r="M1146" s="144"/>
      <c r="N1146" s="879"/>
      <c r="O1146" s="115"/>
      <c r="P1146" s="115"/>
      <c r="Q1146" s="116"/>
      <c r="R1146" s="116"/>
      <c r="S1146" s="145"/>
    </row>
    <row r="1147" spans="1:19" s="146" customFormat="1" ht="18" customHeight="1">
      <c r="A1147" s="183">
        <v>11</v>
      </c>
      <c r="B1147" s="920"/>
      <c r="C1147" s="920"/>
      <c r="D1147" s="920"/>
      <c r="E1147" s="154" t="s">
        <v>152</v>
      </c>
      <c r="F1147" s="920"/>
      <c r="G1147" s="140"/>
      <c r="H1147" s="141" t="s">
        <v>153</v>
      </c>
      <c r="I1147" s="184" t="s">
        <v>154</v>
      </c>
      <c r="J1147" s="143">
        <v>143160</v>
      </c>
      <c r="K1147" s="184" t="s">
        <v>154</v>
      </c>
      <c r="L1147" s="143">
        <v>148692</v>
      </c>
      <c r="M1147" s="144">
        <f>L1147-J1147</f>
        <v>5532</v>
      </c>
      <c r="N1147" s="879"/>
      <c r="O1147" s="115">
        <f>M1147+L1147</f>
        <v>154224</v>
      </c>
      <c r="P1147" s="115"/>
      <c r="Q1147" s="116"/>
      <c r="R1147" s="116"/>
      <c r="S1147" s="145"/>
    </row>
    <row r="1148" spans="1:19" s="146" customFormat="1" ht="18" customHeight="1">
      <c r="A1148" s="183"/>
      <c r="B1148" s="957"/>
      <c r="C1148" s="957"/>
      <c r="D1148" s="957"/>
      <c r="E1148" s="154"/>
      <c r="F1148" s="957"/>
      <c r="G1148" s="140"/>
      <c r="H1148" s="141"/>
      <c r="I1148" s="184"/>
      <c r="J1148" s="143"/>
      <c r="K1148" s="184"/>
      <c r="L1148" s="143"/>
      <c r="M1148" s="144"/>
      <c r="N1148" s="879"/>
      <c r="O1148" s="115"/>
      <c r="P1148" s="115"/>
      <c r="Q1148" s="116"/>
      <c r="R1148" s="116"/>
      <c r="S1148" s="145"/>
    </row>
    <row r="1149" spans="1:19" s="146" customFormat="1" ht="18" customHeight="1">
      <c r="A1149" s="183"/>
      <c r="B1149" s="957"/>
      <c r="C1149" s="957"/>
      <c r="D1149" s="957"/>
      <c r="E1149" s="154"/>
      <c r="F1149" s="957"/>
      <c r="G1149" s="140"/>
      <c r="H1149" s="141"/>
      <c r="I1149" s="184"/>
      <c r="J1149" s="143"/>
      <c r="K1149" s="184"/>
      <c r="L1149" s="143"/>
      <c r="M1149" s="144"/>
      <c r="N1149" s="879"/>
      <c r="O1149" s="115"/>
      <c r="P1149" s="115"/>
      <c r="Q1149" s="116"/>
      <c r="R1149" s="116"/>
      <c r="S1149" s="145"/>
    </row>
    <row r="1150" spans="1:19" s="146" customFormat="1" ht="18" customHeight="1">
      <c r="A1150" s="183">
        <v>12</v>
      </c>
      <c r="B1150" s="920"/>
      <c r="C1150" s="920"/>
      <c r="D1150" s="920"/>
      <c r="E1150" s="154" t="s">
        <v>142</v>
      </c>
      <c r="F1150" s="920"/>
      <c r="G1150" s="140"/>
      <c r="H1150" s="141" t="s">
        <v>143</v>
      </c>
      <c r="I1150" s="184" t="s">
        <v>217</v>
      </c>
      <c r="J1150" s="143">
        <v>135336</v>
      </c>
      <c r="K1150" s="184" t="s">
        <v>217</v>
      </c>
      <c r="L1150" s="143">
        <v>140556</v>
      </c>
      <c r="M1150" s="144">
        <f>L1150-J1150</f>
        <v>5220</v>
      </c>
      <c r="N1150" s="879"/>
      <c r="O1150" s="115">
        <f>M1150+L1150</f>
        <v>145776</v>
      </c>
      <c r="P1150" s="115"/>
      <c r="Q1150" s="116"/>
      <c r="R1150" s="116"/>
      <c r="S1150" s="145"/>
    </row>
    <row r="1151" spans="1:19" s="146" customFormat="1" ht="18" customHeight="1">
      <c r="A1151" s="183"/>
      <c r="B1151" s="957"/>
      <c r="C1151" s="957"/>
      <c r="D1151" s="957"/>
      <c r="E1151" s="154"/>
      <c r="F1151" s="957"/>
      <c r="G1151" s="140"/>
      <c r="H1151" s="141"/>
      <c r="I1151" s="184"/>
      <c r="J1151" s="143"/>
      <c r="K1151" s="184"/>
      <c r="L1151" s="143"/>
      <c r="M1151" s="144"/>
      <c r="N1151" s="879"/>
      <c r="O1151" s="115"/>
      <c r="P1151" s="115"/>
      <c r="Q1151" s="116"/>
      <c r="R1151" s="116"/>
      <c r="S1151" s="145"/>
    </row>
    <row r="1152" spans="1:19" s="146" customFormat="1" ht="18" customHeight="1">
      <c r="A1152" s="183"/>
      <c r="B1152" s="920"/>
      <c r="C1152" s="920"/>
      <c r="D1152" s="920"/>
      <c r="E1152" s="154"/>
      <c r="F1152" s="920"/>
      <c r="G1152" s="140"/>
      <c r="H1152" s="141"/>
      <c r="I1152" s="184"/>
      <c r="J1152" s="143"/>
      <c r="K1152" s="184"/>
      <c r="L1152" s="149"/>
      <c r="M1152" s="144"/>
      <c r="N1152" s="879"/>
      <c r="O1152" s="115"/>
      <c r="P1152" s="115"/>
      <c r="Q1152" s="116"/>
      <c r="R1152" s="116"/>
      <c r="S1152" s="145"/>
    </row>
    <row r="1153" spans="1:19" s="146" customFormat="1" ht="18" customHeight="1">
      <c r="A1153" s="183">
        <v>13</v>
      </c>
      <c r="B1153" s="920"/>
      <c r="C1153" s="920"/>
      <c r="D1153" s="920"/>
      <c r="E1153" s="154" t="s">
        <v>142</v>
      </c>
      <c r="F1153" s="920"/>
      <c r="G1153" s="140"/>
      <c r="H1153" s="234" t="s">
        <v>942</v>
      </c>
      <c r="I1153" s="184" t="s">
        <v>147</v>
      </c>
      <c r="J1153" s="143">
        <v>128736</v>
      </c>
      <c r="K1153" s="184" t="s">
        <v>147</v>
      </c>
      <c r="L1153" s="143">
        <v>133716</v>
      </c>
      <c r="M1153" s="144">
        <f>L1153-J1153</f>
        <v>4980</v>
      </c>
      <c r="N1153" s="879"/>
      <c r="O1153" s="115">
        <f>M1153+L1153</f>
        <v>138696</v>
      </c>
      <c r="P1153" s="115"/>
      <c r="Q1153" s="116"/>
      <c r="R1153" s="116"/>
      <c r="S1153" s="145"/>
    </row>
    <row r="1154" spans="1:19" s="146" customFormat="1" ht="18" customHeight="1">
      <c r="A1154" s="183"/>
      <c r="B1154" s="957"/>
      <c r="C1154" s="957"/>
      <c r="D1154" s="957"/>
      <c r="E1154" s="154"/>
      <c r="F1154" s="957"/>
      <c r="G1154" s="140"/>
      <c r="H1154" s="234"/>
      <c r="I1154" s="184"/>
      <c r="J1154" s="143"/>
      <c r="K1154" s="184"/>
      <c r="L1154" s="143"/>
      <c r="M1154" s="144"/>
      <c r="N1154" s="879"/>
      <c r="O1154" s="115"/>
      <c r="P1154" s="115"/>
      <c r="Q1154" s="116"/>
      <c r="R1154" s="116"/>
      <c r="S1154" s="145"/>
    </row>
    <row r="1155" spans="1:19" s="146" customFormat="1" ht="18" customHeight="1">
      <c r="A1155" s="183"/>
      <c r="B1155" s="957"/>
      <c r="C1155" s="957"/>
      <c r="D1155" s="957"/>
      <c r="E1155" s="154"/>
      <c r="F1155" s="957"/>
      <c r="G1155" s="140"/>
      <c r="H1155" s="234"/>
      <c r="I1155" s="184"/>
      <c r="J1155" s="143"/>
      <c r="K1155" s="184"/>
      <c r="L1155" s="143"/>
      <c r="M1155" s="144"/>
      <c r="N1155" s="879"/>
      <c r="O1155" s="115"/>
      <c r="P1155" s="115"/>
      <c r="Q1155" s="116"/>
      <c r="R1155" s="116"/>
      <c r="S1155" s="145"/>
    </row>
    <row r="1156" spans="1:19" s="146" customFormat="1" ht="18" customHeight="1">
      <c r="A1156" s="183">
        <v>14</v>
      </c>
      <c r="B1156" s="920"/>
      <c r="C1156" s="920"/>
      <c r="D1156" s="920"/>
      <c r="E1156" s="154" t="s">
        <v>142</v>
      </c>
      <c r="F1156" s="920"/>
      <c r="G1156" s="140"/>
      <c r="H1156" s="141" t="s">
        <v>1526</v>
      </c>
      <c r="I1156" s="184" t="s">
        <v>150</v>
      </c>
      <c r="J1156" s="143">
        <v>127668</v>
      </c>
      <c r="K1156" s="184" t="s">
        <v>150</v>
      </c>
      <c r="L1156" s="143">
        <v>132600</v>
      </c>
      <c r="M1156" s="144">
        <f>L1156-J1156</f>
        <v>4932</v>
      </c>
      <c r="N1156" s="879"/>
      <c r="O1156" s="115">
        <f>M1156+L1156</f>
        <v>137532</v>
      </c>
      <c r="P1156" s="115"/>
      <c r="Q1156" s="116"/>
      <c r="R1156" s="116"/>
      <c r="S1156" s="145"/>
    </row>
    <row r="1157" spans="1:19" s="146" customFormat="1" ht="18" customHeight="1">
      <c r="A1157" s="183"/>
      <c r="B1157" s="957"/>
      <c r="C1157" s="957"/>
      <c r="D1157" s="957"/>
      <c r="E1157" s="154"/>
      <c r="F1157" s="957"/>
      <c r="G1157" s="140"/>
      <c r="H1157" s="141"/>
      <c r="I1157" s="184"/>
      <c r="J1157" s="143"/>
      <c r="K1157" s="184"/>
      <c r="L1157" s="143"/>
      <c r="M1157" s="144"/>
      <c r="N1157" s="879"/>
      <c r="O1157" s="115"/>
      <c r="P1157" s="115"/>
      <c r="Q1157" s="116"/>
      <c r="R1157" s="116"/>
      <c r="S1157" s="145"/>
    </row>
    <row r="1158" spans="1:19" s="146" customFormat="1" ht="18" customHeight="1">
      <c r="A1158" s="183"/>
      <c r="B1158" s="957"/>
      <c r="C1158" s="957"/>
      <c r="D1158" s="957"/>
      <c r="E1158" s="154"/>
      <c r="F1158" s="957"/>
      <c r="G1158" s="140"/>
      <c r="H1158" s="141"/>
      <c r="I1158" s="184"/>
      <c r="J1158" s="143"/>
      <c r="K1158" s="184"/>
      <c r="L1158" s="143"/>
      <c r="M1158" s="144"/>
      <c r="N1158" s="879"/>
      <c r="O1158" s="115"/>
      <c r="P1158" s="115"/>
      <c r="Q1158" s="116"/>
      <c r="R1158" s="116"/>
      <c r="S1158" s="145"/>
    </row>
    <row r="1159" spans="1:19" s="146" customFormat="1" ht="18" customHeight="1">
      <c r="A1159" s="183">
        <v>15</v>
      </c>
      <c r="B1159" s="920"/>
      <c r="C1159" s="920"/>
      <c r="D1159" s="920"/>
      <c r="E1159" s="154" t="s">
        <v>146</v>
      </c>
      <c r="F1159" s="920"/>
      <c r="G1159" s="140"/>
      <c r="H1159" s="141" t="s">
        <v>1435</v>
      </c>
      <c r="I1159" s="184" t="s">
        <v>147</v>
      </c>
      <c r="J1159" s="143">
        <v>128736</v>
      </c>
      <c r="K1159" s="184" t="s">
        <v>147</v>
      </c>
      <c r="L1159" s="143">
        <v>133716</v>
      </c>
      <c r="M1159" s="144">
        <f>L1159-J1159</f>
        <v>4980</v>
      </c>
      <c r="N1159" s="879"/>
      <c r="O1159" s="115">
        <f>M1159+L1159</f>
        <v>138696</v>
      </c>
      <c r="P1159" s="115"/>
      <c r="Q1159" s="116"/>
      <c r="R1159" s="116"/>
      <c r="S1159" s="145"/>
    </row>
    <row r="1160" spans="1:19" s="146" customFormat="1" ht="18" customHeight="1">
      <c r="A1160" s="183"/>
      <c r="B1160" s="957"/>
      <c r="C1160" s="957"/>
      <c r="D1160" s="957"/>
      <c r="E1160" s="154"/>
      <c r="F1160" s="957"/>
      <c r="G1160" s="140"/>
      <c r="H1160" s="141"/>
      <c r="I1160" s="184"/>
      <c r="J1160" s="143"/>
      <c r="K1160" s="184"/>
      <c r="L1160" s="143"/>
      <c r="M1160" s="144"/>
      <c r="N1160" s="879"/>
      <c r="O1160" s="115"/>
      <c r="P1160" s="115"/>
      <c r="Q1160" s="116"/>
      <c r="R1160" s="116"/>
      <c r="S1160" s="145"/>
    </row>
    <row r="1161" spans="1:19" s="146" customFormat="1" ht="18" customHeight="1">
      <c r="A1161" s="183"/>
      <c r="B1161" s="957"/>
      <c r="C1161" s="957"/>
      <c r="D1161" s="957"/>
      <c r="E1161" s="154"/>
      <c r="F1161" s="957"/>
      <c r="G1161" s="140"/>
      <c r="H1161" s="141"/>
      <c r="I1161" s="184"/>
      <c r="J1161" s="143"/>
      <c r="K1161" s="184"/>
      <c r="L1161" s="143"/>
      <c r="M1161" s="144"/>
      <c r="N1161" s="879"/>
      <c r="O1161" s="115"/>
      <c r="P1161" s="115"/>
      <c r="Q1161" s="116"/>
      <c r="R1161" s="116"/>
      <c r="S1161" s="145"/>
    </row>
    <row r="1162" spans="1:19" s="146" customFormat="1" ht="18" customHeight="1">
      <c r="A1162" s="183">
        <v>16</v>
      </c>
      <c r="B1162" s="920"/>
      <c r="C1162" s="920"/>
      <c r="D1162" s="920"/>
      <c r="E1162" s="154" t="s">
        <v>146</v>
      </c>
      <c r="F1162" s="920"/>
      <c r="G1162" s="140"/>
      <c r="H1162" s="141" t="s">
        <v>148</v>
      </c>
      <c r="I1162" s="184" t="s">
        <v>921</v>
      </c>
      <c r="J1162" s="143">
        <v>134220</v>
      </c>
      <c r="K1162" s="184" t="s">
        <v>921</v>
      </c>
      <c r="L1162" s="143">
        <v>139392</v>
      </c>
      <c r="M1162" s="144">
        <f>L1162-J1162</f>
        <v>5172</v>
      </c>
      <c r="N1162" s="879"/>
      <c r="O1162" s="115">
        <f>M1162+L1162</f>
        <v>144564</v>
      </c>
      <c r="P1162" s="115"/>
      <c r="Q1162" s="116"/>
      <c r="R1162" s="116"/>
      <c r="S1162" s="145"/>
    </row>
    <row r="1163" spans="1:19" s="146" customFormat="1" ht="18" customHeight="1">
      <c r="A1163" s="183"/>
      <c r="B1163" s="957"/>
      <c r="C1163" s="957"/>
      <c r="D1163" s="957"/>
      <c r="E1163" s="154"/>
      <c r="F1163" s="957"/>
      <c r="G1163" s="140"/>
      <c r="H1163" s="141"/>
      <c r="I1163" s="184"/>
      <c r="J1163" s="143"/>
      <c r="K1163" s="184"/>
      <c r="L1163" s="143"/>
      <c r="M1163" s="144"/>
      <c r="N1163" s="879"/>
      <c r="O1163" s="115"/>
      <c r="P1163" s="115"/>
      <c r="Q1163" s="116"/>
      <c r="R1163" s="116"/>
      <c r="S1163" s="145"/>
    </row>
    <row r="1164" spans="1:19" s="146" customFormat="1" ht="18" customHeight="1">
      <c r="A1164" s="183"/>
      <c r="B1164" s="920"/>
      <c r="C1164" s="920"/>
      <c r="D1164" s="920"/>
      <c r="E1164" s="154"/>
      <c r="F1164" s="920"/>
      <c r="G1164" s="140"/>
      <c r="H1164" s="141"/>
      <c r="I1164" s="184"/>
      <c r="J1164" s="149"/>
      <c r="K1164" s="184"/>
      <c r="L1164" s="149"/>
      <c r="M1164" s="144"/>
      <c r="N1164" s="879"/>
      <c r="O1164" s="115"/>
      <c r="P1164" s="115"/>
      <c r="Q1164" s="116"/>
      <c r="R1164" s="116"/>
      <c r="S1164" s="117"/>
    </row>
    <row r="1165" spans="1:19" s="146" customFormat="1" ht="18" customHeight="1">
      <c r="A1165" s="183">
        <v>17</v>
      </c>
      <c r="B1165" s="920"/>
      <c r="C1165" s="920"/>
      <c r="D1165" s="920"/>
      <c r="E1165" s="154" t="s">
        <v>146</v>
      </c>
      <c r="F1165" s="920"/>
      <c r="G1165" s="140"/>
      <c r="H1165" s="141" t="s">
        <v>871</v>
      </c>
      <c r="I1165" s="184" t="s">
        <v>147</v>
      </c>
      <c r="J1165" s="143">
        <v>128736</v>
      </c>
      <c r="K1165" s="184" t="s">
        <v>147</v>
      </c>
      <c r="L1165" s="143">
        <v>133716</v>
      </c>
      <c r="M1165" s="144">
        <f>L1165-J1165</f>
        <v>4980</v>
      </c>
      <c r="N1165" s="879"/>
      <c r="O1165" s="115">
        <f>M1165+L1165</f>
        <v>138696</v>
      </c>
      <c r="P1165" s="115"/>
      <c r="Q1165" s="116"/>
      <c r="R1165" s="116"/>
      <c r="S1165" s="145"/>
    </row>
    <row r="1166" spans="1:19" s="146" customFormat="1" ht="18" customHeight="1">
      <c r="A1166" s="183"/>
      <c r="B1166" s="920"/>
      <c r="C1166" s="920"/>
      <c r="D1166" s="920"/>
      <c r="E1166" s="919"/>
      <c r="F1166" s="197"/>
      <c r="G1166" s="140"/>
      <c r="H1166" s="141"/>
      <c r="I1166" s="205"/>
      <c r="J1166" s="235"/>
      <c r="K1166" s="205"/>
      <c r="L1166" s="235"/>
      <c r="M1166" s="144"/>
      <c r="N1166" s="879"/>
      <c r="O1166" s="115"/>
      <c r="P1166" s="115"/>
      <c r="Q1166" s="116"/>
      <c r="R1166" s="116"/>
      <c r="S1166" s="117"/>
    </row>
    <row r="1167" spans="1:19" s="168" customFormat="1" ht="18" customHeight="1" thickBot="1">
      <c r="A1167" s="161"/>
      <c r="B1167" s="158"/>
      <c r="C1167" s="158"/>
      <c r="D1167" s="158"/>
      <c r="E1167" s="186"/>
      <c r="F1167" s="158"/>
      <c r="G1167" s="160"/>
      <c r="H1167" s="161" t="s">
        <v>155</v>
      </c>
      <c r="I1167" s="187"/>
      <c r="J1167" s="164">
        <f>SUM(J1117:J1166)</f>
        <v>3024912</v>
      </c>
      <c r="K1167" s="187"/>
      <c r="L1167" s="164">
        <f>SUM(L1117:L1166)</f>
        <v>3141180</v>
      </c>
      <c r="M1167" s="164">
        <f>SUM(M1117:M1166)</f>
        <v>116268</v>
      </c>
      <c r="N1167" s="171"/>
      <c r="O1167" s="165">
        <f>SUM(O1116:O1166)</f>
        <v>3257448</v>
      </c>
      <c r="P1167" s="165"/>
      <c r="Q1167" s="166"/>
      <c r="R1167" s="166"/>
      <c r="S1167" s="167"/>
    </row>
    <row r="1168" spans="1:19" s="168" customFormat="1" ht="18" customHeight="1" thickTop="1">
      <c r="A1168" s="188"/>
      <c r="B1168" s="188"/>
      <c r="C1168" s="188"/>
      <c r="D1168" s="188"/>
      <c r="E1168" s="188"/>
      <c r="F1168" s="188"/>
      <c r="G1168" s="189"/>
      <c r="H1168" s="188"/>
      <c r="I1168" s="188"/>
      <c r="J1168" s="171"/>
      <c r="K1168" s="190"/>
      <c r="L1168" s="171"/>
      <c r="M1168" s="171"/>
      <c r="N1168" s="171"/>
      <c r="O1168" s="165"/>
      <c r="P1168" s="165"/>
      <c r="Q1168" s="166"/>
      <c r="R1168" s="166"/>
      <c r="S1168" s="167"/>
    </row>
    <row r="1169" spans="1:19" s="168" customFormat="1" ht="18" customHeight="1">
      <c r="A1169" s="188"/>
      <c r="B1169" s="188"/>
      <c r="C1169" s="188"/>
      <c r="D1169" s="188"/>
      <c r="E1169" s="188"/>
      <c r="F1169" s="188"/>
      <c r="G1169" s="189"/>
      <c r="H1169" s="188"/>
      <c r="I1169" s="188"/>
      <c r="J1169" s="171"/>
      <c r="K1169" s="190"/>
      <c r="L1169" s="171"/>
      <c r="M1169" s="171"/>
      <c r="N1169" s="171"/>
      <c r="O1169" s="165"/>
      <c r="P1169" s="165"/>
      <c r="Q1169" s="166"/>
      <c r="R1169" s="166"/>
      <c r="S1169" s="167"/>
    </row>
    <row r="1170" spans="1:19" ht="18" customHeight="1">
      <c r="A1170" s="111"/>
      <c r="B1170" s="111"/>
      <c r="C1170" s="910"/>
      <c r="D1170" s="910"/>
      <c r="E1170" s="111"/>
      <c r="F1170" s="111"/>
      <c r="G1170" s="111"/>
      <c r="H1170" s="111"/>
      <c r="I1170" s="111"/>
      <c r="J1170" s="111"/>
      <c r="K1170" s="112"/>
      <c r="M1170" s="113"/>
      <c r="N1170" s="113"/>
    </row>
    <row r="1171" spans="1:19" ht="18" customHeight="1">
      <c r="A1171" s="111"/>
      <c r="B1171" s="111"/>
      <c r="C1171" s="910"/>
      <c r="D1171" s="910"/>
      <c r="E1171" s="111"/>
      <c r="F1171" s="111"/>
      <c r="G1171" s="111"/>
      <c r="H1171" s="111"/>
      <c r="I1171" s="111"/>
      <c r="J1171" s="111"/>
      <c r="K1171" s="112"/>
      <c r="M1171" s="113"/>
      <c r="N1171" s="113"/>
    </row>
    <row r="1172" spans="1:19" ht="18" customHeight="1">
      <c r="A1172" s="111"/>
      <c r="B1172" s="111"/>
      <c r="C1172" s="910"/>
      <c r="D1172" s="910"/>
      <c r="E1172" s="111"/>
      <c r="F1172" s="111"/>
      <c r="G1172" s="111"/>
      <c r="H1172" s="111"/>
      <c r="I1172" s="111"/>
      <c r="J1172" s="111"/>
      <c r="K1172" s="112"/>
      <c r="M1172" s="113"/>
      <c r="N1172" s="113"/>
    </row>
    <row r="1173" spans="1:19" ht="20.100000000000001" customHeight="1">
      <c r="A1173" s="1448" t="s">
        <v>972</v>
      </c>
      <c r="B1173" s="1448"/>
      <c r="C1173" s="1448"/>
      <c r="D1173" s="1448"/>
      <c r="E1173" s="1448"/>
      <c r="F1173" s="1448"/>
      <c r="G1173" s="1448"/>
      <c r="H1173" s="1448"/>
      <c r="I1173" s="1448"/>
      <c r="J1173" s="1448"/>
      <c r="K1173" s="1448"/>
      <c r="L1173" s="1448"/>
      <c r="M1173" s="1448"/>
      <c r="N1173" s="918"/>
    </row>
    <row r="1174" spans="1:19" ht="18" customHeight="1">
      <c r="A1174" s="110"/>
      <c r="B1174" s="110"/>
      <c r="C1174" s="917"/>
      <c r="D1174" s="917"/>
      <c r="E1174" s="111"/>
      <c r="F1174" s="111"/>
      <c r="G1174" s="111"/>
      <c r="H1174" s="111"/>
      <c r="I1174" s="111"/>
      <c r="J1174" s="111"/>
      <c r="K1174" s="112"/>
      <c r="M1174" s="114"/>
      <c r="N1174" s="114"/>
    </row>
    <row r="1175" spans="1:19" ht="18" customHeight="1">
      <c r="A1175" s="1538" t="s">
        <v>1663</v>
      </c>
      <c r="B1175" s="1538"/>
      <c r="C1175" s="1538"/>
      <c r="D1175" s="1538"/>
      <c r="E1175" s="1538"/>
      <c r="F1175" s="1538"/>
      <c r="G1175" s="1538"/>
      <c r="H1175" s="1538"/>
      <c r="I1175" s="1538"/>
      <c r="J1175" s="1538"/>
      <c r="K1175" s="1538"/>
      <c r="L1175" s="1538"/>
      <c r="M1175" s="1538"/>
      <c r="N1175" s="908"/>
    </row>
    <row r="1176" spans="1:19" ht="18" customHeight="1">
      <c r="A1176" s="1539" t="s">
        <v>351</v>
      </c>
      <c r="B1176" s="1539"/>
      <c r="C1176" s="1539"/>
      <c r="D1176" s="1539"/>
      <c r="E1176" s="1539"/>
      <c r="F1176" s="1539"/>
      <c r="G1176" s="1539"/>
      <c r="H1176" s="1539"/>
      <c r="I1176" s="1539"/>
      <c r="J1176" s="1539"/>
      <c r="K1176" s="1539"/>
      <c r="L1176" s="1539"/>
      <c r="M1176" s="1539"/>
      <c r="N1176" s="909"/>
    </row>
    <row r="1177" spans="1:19" ht="18" customHeight="1">
      <c r="A1177" s="1540"/>
      <c r="B1177" s="1540"/>
      <c r="C1177" s="1540"/>
      <c r="D1177" s="1540"/>
      <c r="E1177" s="1540"/>
      <c r="F1177" s="1540"/>
      <c r="G1177" s="1540"/>
      <c r="H1177" s="1540"/>
      <c r="I1177" s="1540"/>
      <c r="J1177" s="1540"/>
      <c r="K1177" s="1540"/>
      <c r="L1177" s="1540"/>
      <c r="M1177" s="1540"/>
      <c r="N1177" s="910"/>
    </row>
    <row r="1178" spans="1:19" ht="18" customHeight="1">
      <c r="A1178" s="910"/>
      <c r="B1178" s="910"/>
      <c r="C1178" s="910"/>
      <c r="D1178" s="910"/>
      <c r="E1178" s="910"/>
      <c r="F1178" s="910"/>
      <c r="G1178" s="910"/>
      <c r="H1178" s="910"/>
      <c r="I1178" s="910"/>
      <c r="J1178" s="910"/>
      <c r="K1178" s="910"/>
      <c r="L1178" s="910"/>
      <c r="M1178" s="910"/>
      <c r="N1178" s="910"/>
    </row>
    <row r="1179" spans="1:19" ht="18" customHeight="1">
      <c r="A1179" s="111" t="s">
        <v>437</v>
      </c>
      <c r="B1179" s="111"/>
      <c r="C1179" s="111" t="s">
        <v>439</v>
      </c>
      <c r="D1179" s="111" t="s">
        <v>468</v>
      </c>
      <c r="E1179" s="111"/>
      <c r="F1179" s="111"/>
      <c r="G1179" s="111"/>
      <c r="H1179" s="111"/>
      <c r="I1179" s="112"/>
      <c r="J1179" s="910"/>
      <c r="K1179" s="910"/>
      <c r="L1179" s="910"/>
      <c r="M1179" s="910"/>
      <c r="N1179" s="910"/>
    </row>
    <row r="1180" spans="1:19" ht="18" customHeight="1">
      <c r="A1180" s="111" t="s">
        <v>442</v>
      </c>
      <c r="B1180" s="111"/>
      <c r="C1180" s="111" t="s">
        <v>439</v>
      </c>
      <c r="D1180" s="111" t="s">
        <v>469</v>
      </c>
      <c r="E1180" s="111"/>
      <c r="F1180" s="111"/>
      <c r="G1180" s="111"/>
      <c r="H1180" s="111"/>
      <c r="I1180" s="112"/>
      <c r="J1180" s="910"/>
      <c r="K1180" s="910"/>
      <c r="L1180" s="910"/>
      <c r="M1180" s="910"/>
      <c r="N1180" s="910"/>
      <c r="O1180" s="180"/>
    </row>
    <row r="1181" spans="1:19" ht="18" customHeight="1" thickBot="1">
      <c r="A1181" s="111" t="s">
        <v>446</v>
      </c>
      <c r="B1181" s="111"/>
      <c r="C1181" s="111" t="s">
        <v>439</v>
      </c>
      <c r="D1181" s="111" t="s">
        <v>668</v>
      </c>
      <c r="E1181" s="111"/>
      <c r="F1181" s="111"/>
      <c r="G1181" s="111"/>
      <c r="H1181" s="111"/>
      <c r="I1181" s="112"/>
      <c r="J1181" s="910"/>
      <c r="K1181" s="910"/>
      <c r="L1181" s="910"/>
      <c r="M1181" s="910"/>
      <c r="N1181" s="910"/>
      <c r="O1181" s="180"/>
    </row>
    <row r="1182" spans="1:19" ht="18" customHeight="1">
      <c r="A1182" s="1532" t="s">
        <v>619</v>
      </c>
      <c r="B1182" s="1533"/>
      <c r="C1182" s="1533"/>
      <c r="D1182" s="1533"/>
      <c r="E1182" s="1534"/>
      <c r="F1182" s="1533"/>
      <c r="G1182" s="1535"/>
      <c r="H1182" s="121"/>
      <c r="I1182" s="1536" t="s">
        <v>623</v>
      </c>
      <c r="J1182" s="1537"/>
      <c r="K1182" s="1536" t="s">
        <v>623</v>
      </c>
      <c r="L1182" s="1537"/>
      <c r="M1182" s="122"/>
      <c r="N1182" s="876"/>
      <c r="O1182" s="180"/>
    </row>
    <row r="1183" spans="1:19" ht="18" customHeight="1">
      <c r="A1183" s="123" t="s">
        <v>620</v>
      </c>
      <c r="B1183" s="1544" t="s">
        <v>621</v>
      </c>
      <c r="C1183" s="1545"/>
      <c r="D1183" s="1546"/>
      <c r="E1183" s="1547" t="s">
        <v>43</v>
      </c>
      <c r="F1183" s="1548"/>
      <c r="G1183" s="1549"/>
      <c r="H1183" s="914" t="s">
        <v>44</v>
      </c>
      <c r="I1183" s="1547" t="s">
        <v>1613</v>
      </c>
      <c r="J1183" s="1549"/>
      <c r="K1183" s="1548" t="s">
        <v>1660</v>
      </c>
      <c r="L1183" s="1549"/>
      <c r="M1183" s="124" t="s">
        <v>45</v>
      </c>
      <c r="N1183" s="877"/>
    </row>
    <row r="1184" spans="1:19" ht="18" customHeight="1">
      <c r="A1184" s="125"/>
      <c r="B1184" s="914"/>
      <c r="C1184" s="915"/>
      <c r="D1184" s="915"/>
      <c r="E1184" s="914"/>
      <c r="F1184" s="915"/>
      <c r="G1184" s="916"/>
      <c r="H1184" s="914" t="s">
        <v>46</v>
      </c>
      <c r="I1184" s="1550"/>
      <c r="J1184" s="1551"/>
      <c r="K1184" s="1550"/>
      <c r="L1184" s="1551"/>
      <c r="M1184" s="124" t="s">
        <v>47</v>
      </c>
      <c r="N1184" s="877"/>
    </row>
    <row r="1185" spans="1:19" ht="18" customHeight="1">
      <c r="A1185" s="125"/>
      <c r="B1185" s="914"/>
      <c r="C1185" s="915"/>
      <c r="D1185" s="915"/>
      <c r="E1185" s="914"/>
      <c r="F1185" s="915"/>
      <c r="G1185" s="126"/>
      <c r="H1185" s="127"/>
      <c r="I1185" s="128" t="s">
        <v>622</v>
      </c>
      <c r="J1185" s="129" t="s">
        <v>48</v>
      </c>
      <c r="K1185" s="128" t="s">
        <v>622</v>
      </c>
      <c r="L1185" s="129" t="s">
        <v>48</v>
      </c>
      <c r="M1185" s="124"/>
      <c r="N1185" s="120"/>
    </row>
    <row r="1186" spans="1:19" ht="18" customHeight="1" thickBot="1">
      <c r="A1186" s="130"/>
      <c r="B1186" s="1541"/>
      <c r="C1186" s="1542"/>
      <c r="D1186" s="1543"/>
      <c r="E1186" s="1541"/>
      <c r="F1186" s="1542"/>
      <c r="G1186" s="1543"/>
      <c r="H1186" s="131"/>
      <c r="I1186" s="131"/>
      <c r="J1186" s="131"/>
      <c r="K1186" s="131"/>
      <c r="L1186" s="131"/>
      <c r="M1186" s="132"/>
      <c r="N1186" s="883"/>
    </row>
    <row r="1187" spans="1:19" ht="18" customHeight="1">
      <c r="A1187" s="181"/>
      <c r="B1187" s="119"/>
      <c r="C1187" s="119"/>
      <c r="D1187" s="119"/>
      <c r="E1187" s="133"/>
      <c r="F1187" s="119"/>
      <c r="G1187" s="217"/>
      <c r="H1187" s="181"/>
      <c r="I1187" s="181"/>
      <c r="J1187" s="181"/>
      <c r="K1187" s="181"/>
      <c r="L1187" s="181"/>
      <c r="M1187" s="181"/>
      <c r="N1187" s="119"/>
    </row>
    <row r="1188" spans="1:19" s="146" customFormat="1" ht="18" customHeight="1">
      <c r="A1188" s="183">
        <v>18</v>
      </c>
      <c r="B1188" s="920"/>
      <c r="C1188" s="920"/>
      <c r="D1188" s="920"/>
      <c r="E1188" s="154" t="s">
        <v>146</v>
      </c>
      <c r="F1188" s="920"/>
      <c r="G1188" s="140"/>
      <c r="H1188" s="141" t="s">
        <v>102</v>
      </c>
      <c r="I1188" s="184" t="s">
        <v>387</v>
      </c>
      <c r="J1188" s="143">
        <v>133104</v>
      </c>
      <c r="K1188" s="184" t="s">
        <v>150</v>
      </c>
      <c r="L1188" s="143">
        <v>132600</v>
      </c>
      <c r="M1188" s="144">
        <f>L1188-J1188</f>
        <v>-504</v>
      </c>
      <c r="N1188" s="879"/>
      <c r="O1188" s="115">
        <v>135372</v>
      </c>
      <c r="P1188" s="115"/>
      <c r="Q1188" s="116"/>
      <c r="R1188" s="116"/>
      <c r="S1188" s="145"/>
    </row>
    <row r="1189" spans="1:19" s="146" customFormat="1" ht="18" customHeight="1">
      <c r="A1189" s="183"/>
      <c r="B1189" s="957"/>
      <c r="C1189" s="957"/>
      <c r="D1189" s="957"/>
      <c r="E1189" s="154"/>
      <c r="F1189" s="957"/>
      <c r="G1189" s="140"/>
      <c r="H1189" s="141"/>
      <c r="I1189" s="184"/>
      <c r="J1189" s="143"/>
      <c r="K1189" s="184"/>
      <c r="L1189" s="143"/>
      <c r="M1189" s="144"/>
      <c r="N1189" s="879"/>
      <c r="O1189" s="115"/>
      <c r="P1189" s="115"/>
      <c r="Q1189" s="116"/>
      <c r="R1189" s="116"/>
      <c r="S1189" s="145"/>
    </row>
    <row r="1190" spans="1:19" s="146" customFormat="1" ht="18" customHeight="1">
      <c r="A1190" s="183"/>
      <c r="B1190" s="920"/>
      <c r="C1190" s="920"/>
      <c r="D1190" s="920"/>
      <c r="E1190" s="154"/>
      <c r="F1190" s="920"/>
      <c r="G1190" s="140"/>
      <c r="H1190" s="141"/>
      <c r="I1190" s="184"/>
      <c r="J1190" s="143"/>
      <c r="K1190" s="184"/>
      <c r="L1190" s="143"/>
      <c r="M1190" s="144"/>
      <c r="N1190" s="879"/>
      <c r="O1190" s="115"/>
      <c r="P1190" s="115"/>
      <c r="Q1190" s="116"/>
      <c r="R1190" s="116"/>
      <c r="S1190" s="145"/>
    </row>
    <row r="1191" spans="1:19" s="146" customFormat="1" ht="18" customHeight="1">
      <c r="A1191" s="183">
        <v>19</v>
      </c>
      <c r="B1191" s="920"/>
      <c r="C1191" s="920"/>
      <c r="D1191" s="920"/>
      <c r="E1191" s="154" t="s">
        <v>146</v>
      </c>
      <c r="F1191" s="920"/>
      <c r="G1191" s="140"/>
      <c r="H1191" s="141" t="s">
        <v>102</v>
      </c>
      <c r="I1191" s="184" t="s">
        <v>145</v>
      </c>
      <c r="J1191" s="143">
        <v>129828</v>
      </c>
      <c r="K1191" s="184" t="s">
        <v>150</v>
      </c>
      <c r="L1191" s="143">
        <v>132600</v>
      </c>
      <c r="M1191" s="144">
        <f>L1191-J1191</f>
        <v>2772</v>
      </c>
      <c r="N1191" s="879"/>
      <c r="O1191" s="115">
        <f>M1191++L1191</f>
        <v>135372</v>
      </c>
      <c r="P1191" s="115"/>
      <c r="Q1191" s="116"/>
      <c r="R1191" s="116"/>
      <c r="S1191" s="145"/>
    </row>
    <row r="1192" spans="1:19" s="146" customFormat="1" ht="18" customHeight="1">
      <c r="A1192" s="183"/>
      <c r="B1192" s="957"/>
      <c r="C1192" s="957"/>
      <c r="D1192" s="957"/>
      <c r="E1192" s="154"/>
      <c r="F1192" s="957"/>
      <c r="G1192" s="140"/>
      <c r="H1192" s="141"/>
      <c r="I1192" s="184"/>
      <c r="J1192" s="143"/>
      <c r="K1192" s="184"/>
      <c r="L1192" s="143"/>
      <c r="M1192" s="144"/>
      <c r="N1192" s="879"/>
      <c r="O1192" s="115"/>
      <c r="P1192" s="115"/>
      <c r="Q1192" s="116"/>
      <c r="R1192" s="116"/>
      <c r="S1192" s="145"/>
    </row>
    <row r="1193" spans="1:19" s="146" customFormat="1" ht="18" customHeight="1">
      <c r="A1193" s="183"/>
      <c r="B1193" s="920"/>
      <c r="C1193" s="920"/>
      <c r="D1193" s="920"/>
      <c r="E1193" s="154"/>
      <c r="F1193" s="920"/>
      <c r="G1193" s="140"/>
      <c r="H1193" s="141"/>
      <c r="I1193" s="184"/>
      <c r="J1193" s="143"/>
      <c r="K1193" s="184"/>
      <c r="L1193" s="143"/>
      <c r="M1193" s="144"/>
      <c r="N1193" s="879"/>
      <c r="O1193" s="115"/>
      <c r="P1193" s="115"/>
      <c r="Q1193" s="116"/>
      <c r="R1193" s="116"/>
      <c r="S1193" s="145"/>
    </row>
    <row r="1194" spans="1:19" s="146" customFormat="1" ht="18" customHeight="1">
      <c r="A1194" s="183">
        <v>20</v>
      </c>
      <c r="B1194" s="920"/>
      <c r="C1194" s="920"/>
      <c r="D1194" s="920"/>
      <c r="E1194" s="154" t="s">
        <v>146</v>
      </c>
      <c r="F1194" s="920"/>
      <c r="G1194" s="140"/>
      <c r="H1194" s="141" t="s">
        <v>435</v>
      </c>
      <c r="I1194" s="184" t="s">
        <v>387</v>
      </c>
      <c r="J1194" s="143">
        <v>133104</v>
      </c>
      <c r="K1194" s="184" t="s">
        <v>387</v>
      </c>
      <c r="L1194" s="143">
        <v>138240</v>
      </c>
      <c r="M1194" s="144">
        <f>L1194-J1194</f>
        <v>5136</v>
      </c>
      <c r="N1194" s="879"/>
      <c r="O1194" s="115">
        <f>M1194++L1194</f>
        <v>143376</v>
      </c>
      <c r="P1194" s="115"/>
      <c r="Q1194" s="116"/>
      <c r="R1194" s="116"/>
      <c r="S1194" s="145"/>
    </row>
    <row r="1195" spans="1:19" s="146" customFormat="1" ht="18" customHeight="1">
      <c r="A1195" s="183"/>
      <c r="B1195" s="957"/>
      <c r="C1195" s="957"/>
      <c r="D1195" s="957"/>
      <c r="E1195" s="154"/>
      <c r="F1195" s="957"/>
      <c r="G1195" s="140"/>
      <c r="H1195" s="141"/>
      <c r="I1195" s="184"/>
      <c r="J1195" s="143"/>
      <c r="K1195" s="184"/>
      <c r="L1195" s="143"/>
      <c r="M1195" s="144"/>
      <c r="N1195" s="879"/>
      <c r="O1195" s="115"/>
      <c r="P1195" s="115"/>
      <c r="Q1195" s="116"/>
      <c r="R1195" s="116"/>
      <c r="S1195" s="145"/>
    </row>
    <row r="1196" spans="1:19" s="146" customFormat="1" ht="18" customHeight="1">
      <c r="A1196" s="183"/>
      <c r="B1196" s="920"/>
      <c r="C1196" s="920"/>
      <c r="D1196" s="920"/>
      <c r="E1196" s="154"/>
      <c r="F1196" s="920"/>
      <c r="G1196" s="140"/>
      <c r="H1196" s="141"/>
      <c r="I1196" s="184"/>
      <c r="J1196" s="143"/>
      <c r="K1196" s="184"/>
      <c r="L1196" s="143"/>
      <c r="M1196" s="144"/>
      <c r="N1196" s="879"/>
      <c r="O1196" s="115"/>
      <c r="P1196" s="115"/>
      <c r="Q1196" s="116"/>
      <c r="R1196" s="116"/>
      <c r="S1196" s="145"/>
    </row>
    <row r="1197" spans="1:19" s="146" customFormat="1" ht="18" customHeight="1">
      <c r="A1197" s="183">
        <v>21</v>
      </c>
      <c r="B1197" s="920"/>
      <c r="C1197" s="920"/>
      <c r="D1197" s="920"/>
      <c r="E1197" s="154" t="s">
        <v>146</v>
      </c>
      <c r="F1197" s="920"/>
      <c r="G1197" s="140"/>
      <c r="H1197" s="141" t="s">
        <v>874</v>
      </c>
      <c r="I1197" s="184" t="s">
        <v>145</v>
      </c>
      <c r="J1197" s="143">
        <v>129828</v>
      </c>
      <c r="K1197" s="184" t="s">
        <v>145</v>
      </c>
      <c r="L1197" s="143">
        <v>134832</v>
      </c>
      <c r="M1197" s="144">
        <f>L1197-J1197</f>
        <v>5004</v>
      </c>
      <c r="N1197" s="879"/>
      <c r="O1197" s="115">
        <f>M1197++L1197</f>
        <v>139836</v>
      </c>
      <c r="P1197" s="115"/>
      <c r="Q1197" s="116"/>
      <c r="R1197" s="116"/>
      <c r="S1197" s="145"/>
    </row>
    <row r="1198" spans="1:19" s="146" customFormat="1" ht="18" customHeight="1">
      <c r="A1198" s="183"/>
      <c r="B1198" s="957"/>
      <c r="C1198" s="957"/>
      <c r="D1198" s="957"/>
      <c r="E1198" s="154"/>
      <c r="F1198" s="957"/>
      <c r="G1198" s="140"/>
      <c r="H1198" s="141"/>
      <c r="I1198" s="184"/>
      <c r="J1198" s="143"/>
      <c r="K1198" s="184"/>
      <c r="L1198" s="143"/>
      <c r="M1198" s="144"/>
      <c r="N1198" s="879"/>
      <c r="O1198" s="115"/>
      <c r="P1198" s="115"/>
      <c r="Q1198" s="116"/>
      <c r="R1198" s="116"/>
      <c r="S1198" s="145"/>
    </row>
    <row r="1199" spans="1:19" s="146" customFormat="1" ht="18" customHeight="1">
      <c r="A1199" s="183"/>
      <c r="B1199" s="920"/>
      <c r="C1199" s="920"/>
      <c r="D1199" s="920"/>
      <c r="E1199" s="154"/>
      <c r="F1199" s="920"/>
      <c r="G1199" s="140"/>
      <c r="H1199" s="141"/>
      <c r="I1199" s="184"/>
      <c r="J1199" s="143"/>
      <c r="K1199" s="184"/>
      <c r="L1199" s="149"/>
      <c r="M1199" s="144"/>
      <c r="N1199" s="879"/>
      <c r="O1199" s="115"/>
      <c r="P1199" s="115"/>
      <c r="Q1199" s="116"/>
      <c r="R1199" s="116"/>
      <c r="S1199" s="145"/>
    </row>
    <row r="1200" spans="1:19" s="146" customFormat="1" ht="18" customHeight="1">
      <c r="A1200" s="183">
        <v>22</v>
      </c>
      <c r="B1200" s="920"/>
      <c r="C1200" s="920"/>
      <c r="D1200" s="920"/>
      <c r="E1200" s="154" t="s">
        <v>146</v>
      </c>
      <c r="F1200" s="920"/>
      <c r="G1200" s="140"/>
      <c r="H1200" s="141" t="s">
        <v>54</v>
      </c>
      <c r="I1200" s="184" t="s">
        <v>147</v>
      </c>
      <c r="J1200" s="143">
        <v>123768</v>
      </c>
      <c r="K1200" s="184" t="s">
        <v>147</v>
      </c>
      <c r="L1200" s="143">
        <v>133716</v>
      </c>
      <c r="M1200" s="144">
        <f>L1200-J1200</f>
        <v>9948</v>
      </c>
      <c r="N1200" s="879"/>
      <c r="O1200" s="115">
        <f>M1200++L1200</f>
        <v>143664</v>
      </c>
      <c r="P1200" s="115"/>
      <c r="Q1200" s="116"/>
      <c r="R1200" s="116"/>
      <c r="S1200" s="145"/>
    </row>
    <row r="1201" spans="1:19" s="146" customFormat="1" ht="18" customHeight="1">
      <c r="A1201" s="183"/>
      <c r="B1201" s="957"/>
      <c r="C1201" s="957"/>
      <c r="D1201" s="957"/>
      <c r="E1201" s="956"/>
      <c r="F1201" s="957"/>
      <c r="G1201" s="140"/>
      <c r="H1201" s="141"/>
      <c r="I1201" s="205"/>
      <c r="J1201" s="143"/>
      <c r="K1201" s="205"/>
      <c r="L1201" s="143"/>
      <c r="M1201" s="144"/>
      <c r="N1201" s="879"/>
      <c r="O1201" s="115"/>
      <c r="P1201" s="115"/>
      <c r="Q1201" s="116"/>
      <c r="R1201" s="116"/>
      <c r="S1201" s="117"/>
    </row>
    <row r="1202" spans="1:19" s="146" customFormat="1" ht="18" customHeight="1">
      <c r="A1202" s="183"/>
      <c r="B1202" s="957"/>
      <c r="C1202" s="957"/>
      <c r="D1202" s="957"/>
      <c r="E1202" s="956"/>
      <c r="F1202" s="957"/>
      <c r="G1202" s="140"/>
      <c r="H1202" s="141"/>
      <c r="I1202" s="205"/>
      <c r="J1202" s="143"/>
      <c r="K1202" s="205"/>
      <c r="L1202" s="143"/>
      <c r="M1202" s="144"/>
      <c r="N1202" s="879"/>
      <c r="O1202" s="115"/>
      <c r="P1202" s="115"/>
      <c r="Q1202" s="116"/>
      <c r="R1202" s="116"/>
      <c r="S1202" s="117"/>
    </row>
    <row r="1203" spans="1:19" s="146" customFormat="1" ht="18" customHeight="1">
      <c r="A1203" s="183">
        <v>23</v>
      </c>
      <c r="B1203" s="920"/>
      <c r="C1203" s="920"/>
      <c r="D1203" s="920"/>
      <c r="E1203" s="154" t="s">
        <v>146</v>
      </c>
      <c r="F1203" s="920"/>
      <c r="G1203" s="140"/>
      <c r="H1203" s="141" t="s">
        <v>872</v>
      </c>
      <c r="I1203" s="184" t="s">
        <v>147</v>
      </c>
      <c r="J1203" s="143">
        <v>128736</v>
      </c>
      <c r="K1203" s="184" t="s">
        <v>147</v>
      </c>
      <c r="L1203" s="143">
        <v>133716</v>
      </c>
      <c r="M1203" s="144">
        <f>L1203-J1203</f>
        <v>4980</v>
      </c>
      <c r="N1203" s="879"/>
      <c r="O1203" s="115">
        <f>L1204+M1203+M1204</f>
        <v>140370</v>
      </c>
      <c r="P1203" s="115"/>
      <c r="Q1203" s="116"/>
      <c r="R1203" s="116"/>
      <c r="S1203" s="145"/>
    </row>
    <row r="1204" spans="1:19" s="146" customFormat="1" ht="18" customHeight="1">
      <c r="A1204" s="183"/>
      <c r="B1204" s="957"/>
      <c r="C1204" s="957"/>
      <c r="D1204" s="957"/>
      <c r="E1204" s="154"/>
      <c r="F1204" s="957"/>
      <c r="G1204" s="140"/>
      <c r="H1204" s="141"/>
      <c r="I1204" s="184"/>
      <c r="J1204" s="143"/>
      <c r="K1204" s="184" t="s">
        <v>145</v>
      </c>
      <c r="L1204" s="143">
        <v>134832</v>
      </c>
      <c r="M1204" s="144">
        <v>558</v>
      </c>
      <c r="N1204" s="879">
        <f>(L1204-L1203)*6/12</f>
        <v>558</v>
      </c>
      <c r="O1204" s="115"/>
      <c r="P1204" s="115"/>
      <c r="Q1204" s="116"/>
      <c r="R1204" s="116"/>
      <c r="S1204" s="145"/>
    </row>
    <row r="1205" spans="1:19" s="146" customFormat="1" ht="18" customHeight="1">
      <c r="A1205" s="183"/>
      <c r="B1205" s="957"/>
      <c r="C1205" s="957"/>
      <c r="D1205" s="957"/>
      <c r="E1205" s="154"/>
      <c r="F1205" s="957"/>
      <c r="G1205" s="140"/>
      <c r="H1205" s="141"/>
      <c r="I1205" s="184"/>
      <c r="J1205" s="143"/>
      <c r="K1205" s="184"/>
      <c r="L1205" s="149">
        <v>45108</v>
      </c>
      <c r="M1205" s="144"/>
      <c r="N1205" s="879"/>
      <c r="O1205" s="115"/>
      <c r="P1205" s="115"/>
      <c r="Q1205" s="116"/>
      <c r="R1205" s="116"/>
      <c r="S1205" s="145"/>
    </row>
    <row r="1206" spans="1:19" s="146" customFormat="1" ht="18" customHeight="1">
      <c r="A1206" s="183"/>
      <c r="B1206" s="957"/>
      <c r="C1206" s="957"/>
      <c r="D1206" s="957"/>
      <c r="E1206" s="154"/>
      <c r="F1206" s="957"/>
      <c r="G1206" s="140"/>
      <c r="H1206" s="141"/>
      <c r="I1206" s="184"/>
      <c r="J1206" s="143"/>
      <c r="K1206" s="184"/>
      <c r="L1206" s="149"/>
      <c r="M1206" s="144"/>
      <c r="N1206" s="879"/>
      <c r="O1206" s="115"/>
      <c r="P1206" s="115"/>
      <c r="Q1206" s="116"/>
      <c r="R1206" s="116"/>
      <c r="S1206" s="145"/>
    </row>
    <row r="1207" spans="1:19" s="146" customFormat="1" ht="18" customHeight="1">
      <c r="A1207" s="183"/>
      <c r="B1207" s="920"/>
      <c r="C1207" s="920"/>
      <c r="D1207" s="920"/>
      <c r="E1207" s="154"/>
      <c r="F1207" s="920"/>
      <c r="G1207" s="140"/>
      <c r="H1207" s="141"/>
      <c r="I1207" s="184"/>
      <c r="J1207" s="143"/>
      <c r="K1207" s="184"/>
      <c r="L1207" s="143"/>
      <c r="M1207" s="144"/>
      <c r="N1207" s="879"/>
      <c r="O1207" s="115"/>
      <c r="P1207" s="115"/>
      <c r="Q1207" s="116"/>
      <c r="R1207" s="116"/>
      <c r="S1207" s="117"/>
    </row>
    <row r="1208" spans="1:19" s="146" customFormat="1" ht="18" customHeight="1">
      <c r="A1208" s="183">
        <v>24</v>
      </c>
      <c r="B1208" s="920"/>
      <c r="C1208" s="920"/>
      <c r="D1208" s="920"/>
      <c r="E1208" s="154" t="s">
        <v>146</v>
      </c>
      <c r="F1208" s="920"/>
      <c r="G1208" s="140"/>
      <c r="H1208" s="141" t="s">
        <v>151</v>
      </c>
      <c r="I1208" s="184" t="s">
        <v>217</v>
      </c>
      <c r="J1208" s="143">
        <v>135336</v>
      </c>
      <c r="K1208" s="184" t="s">
        <v>217</v>
      </c>
      <c r="L1208" s="143">
        <v>140556</v>
      </c>
      <c r="M1208" s="144">
        <f>L1208-J1208</f>
        <v>5220</v>
      </c>
      <c r="N1208" s="879"/>
      <c r="O1208" s="115">
        <f>M1208++L1208</f>
        <v>145776</v>
      </c>
      <c r="P1208" s="115"/>
      <c r="Q1208" s="116"/>
      <c r="R1208" s="116"/>
      <c r="S1208" s="145"/>
    </row>
    <row r="1209" spans="1:19" s="146" customFormat="1" ht="18" customHeight="1">
      <c r="A1209" s="183"/>
      <c r="B1209" s="920"/>
      <c r="C1209" s="920"/>
      <c r="D1209" s="920"/>
      <c r="E1209" s="919"/>
      <c r="F1209" s="920"/>
      <c r="G1209" s="140"/>
      <c r="H1209" s="141"/>
      <c r="I1209" s="205"/>
      <c r="J1209" s="235"/>
      <c r="K1209" s="205"/>
      <c r="L1209" s="235"/>
      <c r="M1209" s="144"/>
      <c r="N1209" s="879"/>
      <c r="O1209" s="115"/>
      <c r="P1209" s="115"/>
      <c r="Q1209" s="116"/>
      <c r="R1209" s="116"/>
      <c r="S1209" s="117"/>
    </row>
    <row r="1210" spans="1:19" s="146" customFormat="1" ht="18" customHeight="1">
      <c r="A1210" s="183"/>
      <c r="B1210" s="920"/>
      <c r="C1210" s="920"/>
      <c r="D1210" s="920"/>
      <c r="E1210" s="919"/>
      <c r="F1210" s="920"/>
      <c r="G1210" s="140"/>
      <c r="H1210" s="141"/>
      <c r="I1210" s="205"/>
      <c r="J1210" s="143"/>
      <c r="K1210" s="205"/>
      <c r="L1210" s="143"/>
      <c r="M1210" s="144"/>
      <c r="N1210" s="879"/>
      <c r="O1210" s="115"/>
      <c r="P1210" s="115"/>
      <c r="Q1210" s="116"/>
      <c r="R1210" s="116"/>
      <c r="S1210" s="117"/>
    </row>
    <row r="1211" spans="1:19" s="146" customFormat="1" ht="18" customHeight="1">
      <c r="A1211" s="183"/>
      <c r="B1211" s="920"/>
      <c r="C1211" s="920"/>
      <c r="D1211" s="920"/>
      <c r="E1211" s="919"/>
      <c r="F1211" s="920"/>
      <c r="G1211" s="140"/>
      <c r="H1211" s="141"/>
      <c r="I1211" s="205"/>
      <c r="J1211" s="143"/>
      <c r="K1211" s="205"/>
      <c r="L1211" s="143"/>
      <c r="M1211" s="143"/>
      <c r="N1211" s="170"/>
      <c r="O1211" s="115"/>
      <c r="P1211" s="115"/>
      <c r="Q1211" s="116"/>
      <c r="R1211" s="116"/>
      <c r="S1211" s="117"/>
    </row>
    <row r="1212" spans="1:19" s="146" customFormat="1" ht="18" customHeight="1">
      <c r="A1212" s="183"/>
      <c r="B1212" s="920"/>
      <c r="C1212" s="920"/>
      <c r="D1212" s="920"/>
      <c r="E1212" s="919"/>
      <c r="F1212" s="920"/>
      <c r="G1212" s="140"/>
      <c r="H1212" s="141"/>
      <c r="I1212" s="205"/>
      <c r="J1212" s="143"/>
      <c r="K1212" s="205"/>
      <c r="L1212" s="143"/>
      <c r="M1212" s="144"/>
      <c r="N1212" s="879"/>
      <c r="O1212" s="115"/>
      <c r="P1212" s="115"/>
      <c r="Q1212" s="116"/>
      <c r="R1212" s="116"/>
      <c r="S1212" s="117"/>
    </row>
    <row r="1213" spans="1:19" s="146" customFormat="1" ht="18" customHeight="1">
      <c r="A1213" s="183"/>
      <c r="B1213" s="920"/>
      <c r="C1213" s="920"/>
      <c r="D1213" s="920"/>
      <c r="E1213" s="919"/>
      <c r="F1213" s="920"/>
      <c r="G1213" s="140"/>
      <c r="H1213" s="141"/>
      <c r="I1213" s="205"/>
      <c r="J1213" s="143"/>
      <c r="K1213" s="205"/>
      <c r="L1213" s="143"/>
      <c r="M1213" s="143"/>
      <c r="N1213" s="170"/>
      <c r="O1213" s="115"/>
      <c r="P1213" s="115"/>
      <c r="Q1213" s="116"/>
      <c r="R1213" s="116"/>
      <c r="S1213" s="117"/>
    </row>
    <row r="1214" spans="1:19" s="146" customFormat="1" ht="18" customHeight="1">
      <c r="A1214" s="196"/>
      <c r="B1214" s="920"/>
      <c r="C1214" s="920"/>
      <c r="D1214" s="920"/>
      <c r="E1214" s="919"/>
      <c r="F1214" s="920"/>
      <c r="G1214" s="140"/>
      <c r="H1214" s="141"/>
      <c r="I1214" s="205"/>
      <c r="J1214" s="143"/>
      <c r="K1214" s="205"/>
      <c r="L1214" s="143"/>
      <c r="M1214" s="144"/>
      <c r="N1214" s="879"/>
      <c r="O1214" s="115"/>
      <c r="P1214" s="115"/>
      <c r="Q1214" s="116"/>
      <c r="R1214" s="116"/>
      <c r="S1214" s="117"/>
    </row>
    <row r="1215" spans="1:19" s="146" customFormat="1" ht="18" customHeight="1">
      <c r="A1215" s="204"/>
      <c r="B1215" s="236"/>
      <c r="C1215" s="236"/>
      <c r="D1215" s="236"/>
      <c r="E1215" s="237"/>
      <c r="F1215" s="236"/>
      <c r="G1215" s="238"/>
      <c r="H1215" s="204" t="s">
        <v>161</v>
      </c>
      <c r="I1215" s="240"/>
      <c r="J1215" s="239">
        <f>SUM(J1188:J1214)</f>
        <v>913704</v>
      </c>
      <c r="K1215" s="240"/>
      <c r="L1215" s="239"/>
      <c r="M1215" s="239">
        <f>SUM(M1188:M1214)</f>
        <v>33114</v>
      </c>
      <c r="N1215" s="171"/>
      <c r="O1215" s="115"/>
      <c r="P1215" s="115"/>
      <c r="Q1215" s="116"/>
      <c r="R1215" s="116"/>
      <c r="S1215" s="117"/>
    </row>
    <row r="1216" spans="1:19" s="146" customFormat="1" ht="18" customHeight="1">
      <c r="A1216" s="183"/>
      <c r="B1216" s="920"/>
      <c r="C1216" s="920"/>
      <c r="D1216" s="920"/>
      <c r="E1216" s="919"/>
      <c r="F1216" s="920"/>
      <c r="G1216" s="140"/>
      <c r="H1216" s="141"/>
      <c r="I1216" s="205"/>
      <c r="J1216" s="235"/>
      <c r="K1216" s="205"/>
      <c r="L1216" s="235"/>
      <c r="M1216" s="144"/>
      <c r="N1216" s="879"/>
      <c r="O1216" s="115"/>
      <c r="P1216" s="115"/>
      <c r="Q1216" s="116"/>
      <c r="R1216" s="116"/>
      <c r="S1216" s="117"/>
    </row>
    <row r="1217" spans="1:19" s="146" customFormat="1" ht="18" customHeight="1">
      <c r="A1217" s="183"/>
      <c r="B1217" s="920"/>
      <c r="C1217" s="920"/>
      <c r="D1217" s="920"/>
      <c r="E1217" s="919"/>
      <c r="F1217" s="920"/>
      <c r="G1217" s="140"/>
      <c r="H1217" s="141"/>
      <c r="I1217" s="142"/>
      <c r="J1217" s="235"/>
      <c r="K1217" s="142"/>
      <c r="L1217" s="235"/>
      <c r="M1217" s="143"/>
      <c r="N1217" s="170"/>
      <c r="O1217" s="115"/>
      <c r="P1217" s="115"/>
      <c r="Q1217" s="116"/>
      <c r="R1217" s="116"/>
      <c r="S1217" s="117"/>
    </row>
    <row r="1218" spans="1:19" s="146" customFormat="1" ht="18" customHeight="1">
      <c r="A1218" s="241"/>
      <c r="B1218" s="242"/>
      <c r="C1218" s="242"/>
      <c r="D1218" s="242"/>
      <c r="E1218" s="243"/>
      <c r="F1218" s="242"/>
      <c r="G1218" s="244"/>
      <c r="H1218" s="204" t="s">
        <v>41</v>
      </c>
      <c r="I1218" s="245"/>
      <c r="J1218" s="239">
        <f>J1215+J1167</f>
        <v>3938616</v>
      </c>
      <c r="K1218" s="245"/>
      <c r="L1218" s="239"/>
      <c r="M1218" s="239">
        <f>M1215+M1167</f>
        <v>149382</v>
      </c>
      <c r="N1218" s="171"/>
      <c r="O1218" s="115">
        <f>SUM(O1188:O1208)</f>
        <v>983766</v>
      </c>
      <c r="P1218" s="115"/>
      <c r="Q1218" s="116"/>
      <c r="R1218" s="116"/>
      <c r="S1218" s="117"/>
    </row>
    <row r="1219" spans="1:19" s="146" customFormat="1" ht="18" customHeight="1">
      <c r="A1219" s="920"/>
      <c r="B1219" s="920"/>
      <c r="C1219" s="920"/>
      <c r="D1219" s="920"/>
      <c r="E1219" s="920"/>
      <c r="F1219" s="920"/>
      <c r="G1219" s="155"/>
      <c r="H1219" s="188"/>
      <c r="I1219" s="920"/>
      <c r="J1219" s="171"/>
      <c r="K1219" s="152"/>
      <c r="L1219" s="170"/>
      <c r="M1219" s="171"/>
      <c r="N1219" s="171"/>
      <c r="O1219" s="115"/>
      <c r="P1219" s="115"/>
      <c r="Q1219" s="116"/>
      <c r="R1219" s="116"/>
      <c r="S1219" s="117"/>
    </row>
    <row r="1220" spans="1:19" s="146" customFormat="1" ht="18" customHeight="1">
      <c r="A1220" s="920"/>
      <c r="B1220" s="920"/>
      <c r="C1220" s="920"/>
      <c r="D1220" s="920"/>
      <c r="E1220" s="920"/>
      <c r="F1220" s="920"/>
      <c r="G1220" s="155"/>
      <c r="H1220" s="188"/>
      <c r="I1220" s="920"/>
      <c r="J1220" s="171"/>
      <c r="K1220" s="152"/>
      <c r="L1220" s="170"/>
      <c r="M1220" s="171"/>
      <c r="N1220" s="171"/>
      <c r="O1220" s="115"/>
      <c r="P1220" s="115"/>
      <c r="Q1220" s="116"/>
      <c r="R1220" s="116"/>
      <c r="S1220" s="117"/>
    </row>
    <row r="1221" spans="1:19" s="146" customFormat="1" ht="18" customHeight="1">
      <c r="A1221" s="920"/>
      <c r="B1221" s="920"/>
      <c r="C1221" s="920"/>
      <c r="D1221" s="920"/>
      <c r="E1221" s="920"/>
      <c r="F1221" s="920"/>
      <c r="G1221" s="155"/>
      <c r="H1221" s="188"/>
      <c r="I1221" s="920"/>
      <c r="J1221" s="171"/>
      <c r="K1221" s="152"/>
      <c r="L1221" s="170"/>
      <c r="M1221" s="171"/>
      <c r="N1221" s="171"/>
      <c r="O1221" s="115"/>
      <c r="P1221" s="115"/>
      <c r="Q1221" s="116"/>
      <c r="R1221" s="116"/>
      <c r="S1221" s="117"/>
    </row>
    <row r="1222" spans="1:19" s="146" customFormat="1" ht="18" customHeight="1">
      <c r="A1222" s="173" t="s">
        <v>614</v>
      </c>
      <c r="B1222" s="173"/>
      <c r="C1222" s="912"/>
      <c r="D1222" s="912"/>
      <c r="E1222" s="174"/>
      <c r="F1222" s="174"/>
      <c r="G1222" s="174"/>
      <c r="H1222" s="173" t="s">
        <v>615</v>
      </c>
      <c r="I1222" s="174"/>
      <c r="K1222" s="173" t="s">
        <v>253</v>
      </c>
      <c r="L1222" s="175"/>
      <c r="M1222" s="175"/>
      <c r="N1222" s="175"/>
      <c r="O1222" s="115"/>
      <c r="P1222" s="115"/>
      <c r="Q1222" s="116"/>
      <c r="R1222" s="116"/>
      <c r="S1222" s="117"/>
    </row>
    <row r="1223" spans="1:19" s="146" customFormat="1" ht="18" customHeight="1">
      <c r="A1223" s="174"/>
      <c r="B1223" s="174"/>
      <c r="C1223" s="913"/>
      <c r="D1223" s="913"/>
      <c r="E1223" s="174"/>
      <c r="F1223" s="174"/>
      <c r="G1223" s="174"/>
      <c r="H1223" s="174"/>
      <c r="I1223" s="174"/>
      <c r="J1223" s="174"/>
      <c r="K1223" s="176"/>
      <c r="L1223" s="175"/>
      <c r="M1223" s="175"/>
      <c r="N1223" s="175"/>
      <c r="O1223" s="115"/>
      <c r="P1223" s="115"/>
      <c r="Q1223" s="116"/>
      <c r="R1223" s="116"/>
      <c r="S1223" s="117"/>
    </row>
    <row r="1224" spans="1:19" s="146" customFormat="1" ht="18" customHeight="1">
      <c r="A1224" s="1531" t="s">
        <v>242</v>
      </c>
      <c r="B1224" s="1531"/>
      <c r="C1224" s="1531"/>
      <c r="D1224" s="1531"/>
      <c r="E1224" s="1531"/>
      <c r="F1224" s="1531"/>
      <c r="G1224" s="174"/>
      <c r="H1224" s="1531" t="s">
        <v>17</v>
      </c>
      <c r="I1224" s="1531"/>
      <c r="J1224" s="174"/>
      <c r="K1224" s="1531" t="s">
        <v>1436</v>
      </c>
      <c r="L1224" s="1531"/>
      <c r="M1224" s="1531"/>
      <c r="N1224" s="912"/>
      <c r="O1224" s="115"/>
      <c r="P1224" s="115"/>
      <c r="Q1224" s="116"/>
      <c r="R1224" s="116"/>
      <c r="S1224" s="117"/>
    </row>
    <row r="1225" spans="1:19" s="146" customFormat="1" ht="18" customHeight="1">
      <c r="A1225" s="1520" t="s">
        <v>422</v>
      </c>
      <c r="B1225" s="1520"/>
      <c r="C1225" s="1520"/>
      <c r="D1225" s="1520"/>
      <c r="E1225" s="1520"/>
      <c r="F1225" s="1520"/>
      <c r="G1225" s="177"/>
      <c r="H1225" s="1520" t="s">
        <v>18</v>
      </c>
      <c r="I1225" s="1520"/>
      <c r="J1225" s="912"/>
      <c r="K1225" s="1520" t="s">
        <v>14</v>
      </c>
      <c r="L1225" s="1520"/>
      <c r="M1225" s="1520"/>
      <c r="N1225" s="913"/>
      <c r="O1225" s="115"/>
      <c r="P1225" s="115"/>
      <c r="Q1225" s="116"/>
      <c r="R1225" s="116"/>
      <c r="S1225" s="117"/>
    </row>
    <row r="1226" spans="1:19" ht="18" customHeight="1">
      <c r="A1226" s="111"/>
      <c r="B1226" s="111"/>
      <c r="C1226" s="910"/>
      <c r="D1226" s="910"/>
      <c r="E1226" s="1540"/>
      <c r="F1226" s="1540"/>
      <c r="G1226" s="1540"/>
      <c r="H1226" s="910"/>
      <c r="I1226" s="910"/>
      <c r="J1226" s="910"/>
      <c r="K1226" s="1540"/>
      <c r="L1226" s="1540"/>
      <c r="M1226" s="1540"/>
      <c r="N1226" s="910"/>
    </row>
    <row r="1227" spans="1:19" ht="18" customHeight="1">
      <c r="A1227" s="111"/>
      <c r="B1227" s="111"/>
      <c r="C1227" s="910"/>
      <c r="D1227" s="910"/>
      <c r="E1227" s="910"/>
      <c r="F1227" s="910"/>
      <c r="G1227" s="910"/>
      <c r="H1227" s="910"/>
      <c r="I1227" s="910"/>
      <c r="J1227" s="910"/>
      <c r="K1227" s="910"/>
      <c r="L1227" s="910"/>
      <c r="M1227" s="910"/>
      <c r="N1227" s="910"/>
    </row>
    <row r="1228" spans="1:19" ht="18" customHeight="1">
      <c r="A1228" s="111"/>
      <c r="B1228" s="111"/>
      <c r="C1228" s="910"/>
      <c r="D1228" s="910"/>
      <c r="E1228" s="910"/>
      <c r="F1228" s="910"/>
      <c r="G1228" s="910"/>
      <c r="H1228" s="910"/>
      <c r="I1228" s="910"/>
      <c r="J1228" s="910"/>
      <c r="K1228" s="910"/>
      <c r="L1228" s="910"/>
      <c r="M1228" s="910"/>
      <c r="N1228" s="910"/>
    </row>
    <row r="1229" spans="1:19" ht="18" customHeight="1">
      <c r="A1229" s="111"/>
      <c r="B1229" s="111"/>
      <c r="C1229" s="910"/>
      <c r="D1229" s="910"/>
      <c r="E1229" s="910"/>
      <c r="F1229" s="910"/>
      <c r="G1229" s="910"/>
      <c r="H1229" s="910"/>
      <c r="I1229" s="910"/>
      <c r="J1229" s="910"/>
      <c r="K1229" s="910"/>
      <c r="L1229" s="910"/>
      <c r="M1229" s="910"/>
      <c r="N1229" s="910"/>
    </row>
    <row r="1230" spans="1:19" ht="18" customHeight="1">
      <c r="A1230" s="111"/>
      <c r="B1230" s="111"/>
      <c r="C1230" s="910"/>
      <c r="D1230" s="910"/>
      <c r="E1230" s="910"/>
      <c r="F1230" s="910"/>
      <c r="G1230" s="910"/>
      <c r="H1230" s="910"/>
      <c r="I1230" s="910"/>
      <c r="J1230" s="910"/>
      <c r="K1230" s="910"/>
      <c r="L1230" s="910"/>
      <c r="M1230" s="910"/>
      <c r="N1230" s="910"/>
    </row>
    <row r="1231" spans="1:19" ht="18" customHeight="1">
      <c r="A1231" s="111"/>
      <c r="B1231" s="111"/>
      <c r="C1231" s="910"/>
      <c r="D1231" s="910"/>
      <c r="E1231" s="910"/>
      <c r="F1231" s="910"/>
      <c r="G1231" s="910"/>
      <c r="H1231" s="910"/>
      <c r="I1231" s="910"/>
      <c r="J1231" s="910"/>
      <c r="K1231" s="910"/>
      <c r="L1231" s="910"/>
      <c r="M1231" s="910"/>
      <c r="N1231" s="910"/>
    </row>
    <row r="1232" spans="1:19" ht="18" customHeight="1">
      <c r="A1232" s="111"/>
      <c r="B1232" s="111"/>
      <c r="C1232" s="910"/>
      <c r="D1232" s="910"/>
      <c r="E1232" s="910"/>
      <c r="F1232" s="910"/>
      <c r="G1232" s="910"/>
      <c r="H1232" s="910"/>
      <c r="I1232" s="910"/>
      <c r="J1232" s="910"/>
      <c r="K1232" s="910"/>
      <c r="L1232" s="910"/>
      <c r="M1232" s="910"/>
      <c r="N1232" s="910"/>
    </row>
    <row r="1233" spans="1:14" ht="18" customHeight="1">
      <c r="A1233" s="111"/>
      <c r="B1233" s="111"/>
      <c r="C1233" s="910"/>
      <c r="D1233" s="910"/>
      <c r="E1233" s="910"/>
      <c r="F1233" s="910"/>
      <c r="G1233" s="910"/>
      <c r="H1233" s="910"/>
      <c r="I1233" s="910"/>
      <c r="J1233" s="910"/>
      <c r="K1233" s="910"/>
      <c r="L1233" s="910"/>
      <c r="M1233" s="910"/>
      <c r="N1233" s="910"/>
    </row>
    <row r="1234" spans="1:14" ht="18" customHeight="1">
      <c r="A1234" s="111"/>
      <c r="B1234" s="111"/>
      <c r="C1234" s="910"/>
      <c r="D1234" s="910"/>
      <c r="E1234" s="910"/>
      <c r="F1234" s="910"/>
      <c r="G1234" s="910"/>
      <c r="H1234" s="910"/>
      <c r="I1234" s="910"/>
      <c r="J1234" s="910"/>
      <c r="K1234" s="910"/>
      <c r="L1234" s="910"/>
      <c r="M1234" s="910"/>
      <c r="N1234" s="910"/>
    </row>
    <row r="1235" spans="1:14" ht="18" customHeight="1">
      <c r="A1235" s="111"/>
      <c r="B1235" s="111"/>
      <c r="C1235" s="910"/>
      <c r="D1235" s="910"/>
      <c r="E1235" s="910"/>
      <c r="F1235" s="910"/>
      <c r="G1235" s="910"/>
      <c r="H1235" s="910"/>
      <c r="I1235" s="910"/>
      <c r="J1235" s="910"/>
      <c r="K1235" s="910"/>
      <c r="L1235" s="910"/>
      <c r="M1235" s="910"/>
      <c r="N1235" s="910"/>
    </row>
    <row r="1236" spans="1:14" ht="18" customHeight="1">
      <c r="A1236" s="111"/>
      <c r="B1236" s="111"/>
      <c r="C1236" s="910"/>
      <c r="D1236" s="910"/>
      <c r="E1236" s="910"/>
      <c r="F1236" s="910"/>
      <c r="G1236" s="910"/>
      <c r="H1236" s="910"/>
      <c r="I1236" s="910"/>
      <c r="J1236" s="910"/>
      <c r="K1236" s="910"/>
      <c r="L1236" s="910"/>
      <c r="M1236" s="910"/>
      <c r="N1236" s="910"/>
    </row>
    <row r="1237" spans="1:14" ht="18" customHeight="1">
      <c r="A1237" s="111"/>
      <c r="B1237" s="111"/>
      <c r="C1237" s="910"/>
      <c r="D1237" s="910"/>
      <c r="E1237" s="910"/>
      <c r="F1237" s="910"/>
      <c r="G1237" s="910"/>
      <c r="H1237" s="910"/>
      <c r="I1237" s="910"/>
      <c r="J1237" s="910"/>
      <c r="K1237" s="910"/>
      <c r="L1237" s="910"/>
      <c r="M1237" s="910"/>
      <c r="N1237" s="910"/>
    </row>
    <row r="1238" spans="1:14" ht="18" customHeight="1">
      <c r="A1238" s="111"/>
      <c r="B1238" s="111"/>
      <c r="C1238" s="910"/>
      <c r="D1238" s="910"/>
      <c r="E1238" s="910"/>
      <c r="F1238" s="910"/>
      <c r="G1238" s="910"/>
      <c r="H1238" s="910"/>
      <c r="I1238" s="910"/>
      <c r="J1238" s="910"/>
      <c r="K1238" s="910"/>
      <c r="L1238" s="910"/>
      <c r="M1238" s="910"/>
      <c r="N1238" s="910"/>
    </row>
    <row r="1239" spans="1:14" ht="18" customHeight="1">
      <c r="A1239" s="111"/>
      <c r="B1239" s="111"/>
      <c r="C1239" s="910"/>
      <c r="D1239" s="910"/>
      <c r="E1239" s="910"/>
      <c r="F1239" s="910"/>
      <c r="G1239" s="910"/>
      <c r="H1239" s="910"/>
      <c r="I1239" s="910"/>
      <c r="J1239" s="910"/>
      <c r="K1239" s="910"/>
      <c r="L1239" s="910"/>
      <c r="M1239" s="910"/>
      <c r="N1239" s="910"/>
    </row>
    <row r="1240" spans="1:14" ht="18" customHeight="1">
      <c r="A1240" s="111"/>
      <c r="B1240" s="111"/>
      <c r="C1240" s="910"/>
      <c r="D1240" s="910"/>
      <c r="E1240" s="910"/>
      <c r="F1240" s="910"/>
      <c r="G1240" s="910"/>
      <c r="H1240" s="910"/>
      <c r="I1240" s="910"/>
      <c r="J1240" s="910"/>
      <c r="K1240" s="910"/>
      <c r="L1240" s="910"/>
      <c r="M1240" s="910"/>
      <c r="N1240" s="910"/>
    </row>
    <row r="1241" spans="1:14" ht="18" customHeight="1">
      <c r="A1241" s="111"/>
      <c r="B1241" s="111"/>
      <c r="C1241" s="910"/>
      <c r="D1241" s="910"/>
      <c r="E1241" s="910"/>
      <c r="F1241" s="910"/>
      <c r="G1241" s="910"/>
      <c r="H1241" s="910"/>
      <c r="I1241" s="910"/>
      <c r="J1241" s="910"/>
      <c r="K1241" s="910"/>
      <c r="L1241" s="910"/>
      <c r="M1241" s="910"/>
      <c r="N1241" s="910"/>
    </row>
    <row r="1242" spans="1:14" ht="20.100000000000001" customHeight="1">
      <c r="A1242" s="1448" t="s">
        <v>973</v>
      </c>
      <c r="B1242" s="1448"/>
      <c r="C1242" s="1448"/>
      <c r="D1242" s="1448"/>
      <c r="E1242" s="1448"/>
      <c r="F1242" s="1448"/>
      <c r="G1242" s="1448"/>
      <c r="H1242" s="1448"/>
      <c r="I1242" s="1448"/>
      <c r="J1242" s="1448"/>
      <c r="K1242" s="1448"/>
      <c r="L1242" s="1448"/>
      <c r="M1242" s="1448"/>
      <c r="N1242" s="918"/>
    </row>
    <row r="1243" spans="1:14" ht="18" customHeight="1">
      <c r="A1243" s="111"/>
      <c r="B1243" s="111"/>
      <c r="C1243" s="910"/>
      <c r="D1243" s="910"/>
      <c r="E1243" s="910"/>
      <c r="F1243" s="910"/>
      <c r="G1243" s="910"/>
      <c r="H1243" s="910"/>
      <c r="I1243" s="910"/>
      <c r="J1243" s="910"/>
      <c r="K1243" s="910"/>
      <c r="L1243" s="910"/>
      <c r="M1243" s="910"/>
      <c r="N1243" s="910"/>
    </row>
    <row r="1244" spans="1:14" ht="18" customHeight="1">
      <c r="A1244" s="111"/>
      <c r="B1244" s="111"/>
      <c r="C1244" s="910"/>
      <c r="D1244" s="910"/>
      <c r="E1244" s="910"/>
      <c r="F1244" s="910"/>
      <c r="G1244" s="910"/>
      <c r="H1244" s="910"/>
      <c r="I1244" s="910"/>
      <c r="J1244" s="910"/>
      <c r="K1244" s="910"/>
      <c r="L1244" s="910"/>
      <c r="M1244" s="910"/>
      <c r="N1244" s="910"/>
    </row>
    <row r="1245" spans="1:14" ht="18" customHeight="1">
      <c r="A1245" s="111"/>
      <c r="B1245" s="111"/>
      <c r="C1245" s="910"/>
      <c r="D1245" s="910"/>
      <c r="E1245" s="910"/>
      <c r="F1245" s="910"/>
      <c r="G1245" s="910"/>
      <c r="H1245" s="910"/>
      <c r="I1245" s="910"/>
      <c r="J1245" s="910"/>
      <c r="K1245" s="910"/>
      <c r="L1245" s="910"/>
      <c r="M1245" s="910"/>
      <c r="N1245" s="910"/>
    </row>
    <row r="1246" spans="1:14" ht="18" customHeight="1"/>
    <row r="1247" spans="1:14" ht="18" customHeight="1"/>
    <row r="1248" spans="1:14" ht="18" customHeight="1">
      <c r="A1248" s="1556"/>
      <c r="B1248" s="1556"/>
      <c r="C1248" s="1556"/>
      <c r="D1248" s="1556"/>
      <c r="E1248" s="1556"/>
      <c r="F1248" s="1556"/>
      <c r="G1248" s="1556"/>
      <c r="H1248" s="1556"/>
      <c r="I1248" s="1556"/>
      <c r="J1248" s="1556"/>
      <c r="K1248" s="1556"/>
      <c r="L1248" s="1556"/>
      <c r="M1248" s="1556"/>
      <c r="N1248" s="922"/>
    </row>
    <row r="1249" spans="1:23" ht="18" customHeight="1">
      <c r="A1249" s="110"/>
      <c r="B1249" s="110"/>
      <c r="C1249" s="917"/>
      <c r="D1249" s="917"/>
      <c r="E1249" s="111"/>
      <c r="F1249" s="111"/>
      <c r="G1249" s="111"/>
      <c r="H1249" s="111"/>
      <c r="I1249" s="111"/>
      <c r="J1249" s="111"/>
      <c r="K1249" s="112"/>
      <c r="M1249" s="114"/>
      <c r="N1249" s="114"/>
    </row>
    <row r="1250" spans="1:23" ht="18" customHeight="1">
      <c r="A1250" s="1538" t="s">
        <v>1663</v>
      </c>
      <c r="B1250" s="1538"/>
      <c r="C1250" s="1538"/>
      <c r="D1250" s="1538"/>
      <c r="E1250" s="1538"/>
      <c r="F1250" s="1538"/>
      <c r="G1250" s="1538"/>
      <c r="H1250" s="1538"/>
      <c r="I1250" s="1538"/>
      <c r="J1250" s="1538"/>
      <c r="K1250" s="1538"/>
      <c r="L1250" s="1538"/>
      <c r="M1250" s="1538"/>
      <c r="N1250" s="908"/>
    </row>
    <row r="1251" spans="1:23" ht="18" customHeight="1">
      <c r="A1251" s="1539" t="s">
        <v>351</v>
      </c>
      <c r="B1251" s="1539"/>
      <c r="C1251" s="1539"/>
      <c r="D1251" s="1539"/>
      <c r="E1251" s="1539"/>
      <c r="F1251" s="1539"/>
      <c r="G1251" s="1539"/>
      <c r="H1251" s="1539"/>
      <c r="I1251" s="1539"/>
      <c r="J1251" s="1539"/>
      <c r="K1251" s="1539"/>
      <c r="L1251" s="1539"/>
      <c r="M1251" s="1539"/>
      <c r="N1251" s="909"/>
    </row>
    <row r="1252" spans="1:23" ht="18" customHeight="1">
      <c r="A1252" s="1540"/>
      <c r="B1252" s="1540"/>
      <c r="C1252" s="1540"/>
      <c r="D1252" s="1540"/>
      <c r="E1252" s="1540"/>
      <c r="F1252" s="1540"/>
      <c r="G1252" s="1540"/>
      <c r="H1252" s="1540"/>
      <c r="I1252" s="1540"/>
      <c r="J1252" s="1540"/>
      <c r="K1252" s="1540"/>
      <c r="L1252" s="1540"/>
      <c r="M1252" s="1540"/>
      <c r="N1252" s="910"/>
    </row>
    <row r="1253" spans="1:23" ht="18" customHeight="1">
      <c r="A1253" s="910"/>
      <c r="B1253" s="910"/>
      <c r="C1253" s="910"/>
      <c r="D1253" s="910"/>
      <c r="E1253" s="910"/>
      <c r="F1253" s="910"/>
      <c r="G1253" s="910"/>
      <c r="H1253" s="910"/>
      <c r="I1253" s="910"/>
      <c r="J1253" s="910"/>
      <c r="K1253" s="910"/>
      <c r="L1253" s="910"/>
      <c r="M1253" s="910"/>
      <c r="N1253" s="910"/>
    </row>
    <row r="1254" spans="1:23" ht="18" customHeight="1">
      <c r="A1254" s="111" t="s">
        <v>454</v>
      </c>
      <c r="B1254" s="111"/>
      <c r="C1254" s="111" t="s">
        <v>439</v>
      </c>
      <c r="D1254" s="111" t="s">
        <v>471</v>
      </c>
      <c r="E1254" s="111"/>
      <c r="F1254" s="111"/>
      <c r="G1254" s="111"/>
      <c r="H1254" s="111"/>
      <c r="I1254" s="112"/>
      <c r="J1254" s="113"/>
      <c r="K1254" s="113"/>
      <c r="L1254" s="910"/>
      <c r="M1254" s="910"/>
      <c r="N1254" s="910"/>
    </row>
    <row r="1255" spans="1:23" ht="18" customHeight="1">
      <c r="A1255" s="111" t="s">
        <v>449</v>
      </c>
      <c r="B1255" s="111"/>
      <c r="C1255" s="111" t="s">
        <v>439</v>
      </c>
      <c r="D1255" s="111" t="s">
        <v>472</v>
      </c>
      <c r="E1255" s="111"/>
      <c r="F1255" s="111"/>
      <c r="I1255" s="136"/>
      <c r="J1255" s="113"/>
      <c r="K1255" s="178"/>
      <c r="L1255" s="910"/>
      <c r="M1255" s="910"/>
      <c r="N1255" s="910"/>
      <c r="O1255" s="180"/>
      <c r="P1255" s="180"/>
      <c r="Q1255" s="108"/>
      <c r="R1255" s="108"/>
      <c r="S1255" s="246"/>
      <c r="T1255" s="111"/>
      <c r="U1255" s="111"/>
      <c r="V1255" s="112"/>
      <c r="W1255" s="113"/>
    </row>
    <row r="1256" spans="1:23" ht="18" customHeight="1">
      <c r="A1256" s="111" t="s">
        <v>470</v>
      </c>
      <c r="B1256" s="111"/>
      <c r="C1256" s="111" t="s">
        <v>439</v>
      </c>
      <c r="D1256" s="111" t="s">
        <v>473</v>
      </c>
      <c r="E1256" s="111"/>
      <c r="F1256" s="111"/>
      <c r="G1256" s="111"/>
      <c r="H1256" s="111"/>
      <c r="I1256" s="112"/>
      <c r="J1256" s="113"/>
      <c r="K1256" s="113"/>
      <c r="L1256" s="910"/>
      <c r="M1256" s="910"/>
      <c r="N1256" s="910"/>
      <c r="O1256" s="180"/>
      <c r="P1256" s="180"/>
      <c r="Q1256" s="108"/>
      <c r="R1256" s="108"/>
      <c r="S1256" s="246"/>
      <c r="V1256" s="136"/>
      <c r="W1256" s="113"/>
    </row>
    <row r="1257" spans="1:23" ht="18" customHeight="1" thickBot="1">
      <c r="A1257" s="111"/>
      <c r="B1257" s="111"/>
      <c r="C1257" s="111"/>
      <c r="D1257" s="111" t="s">
        <v>669</v>
      </c>
      <c r="E1257" s="111"/>
      <c r="F1257" s="111"/>
      <c r="G1257" s="111"/>
      <c r="H1257" s="111"/>
      <c r="I1257" s="112"/>
      <c r="J1257" s="113"/>
      <c r="K1257" s="113"/>
      <c r="L1257" s="910"/>
      <c r="M1257" s="910"/>
      <c r="N1257" s="910"/>
      <c r="O1257" s="180"/>
      <c r="P1257" s="180"/>
      <c r="Q1257" s="108"/>
      <c r="R1257" s="108"/>
      <c r="S1257" s="246"/>
      <c r="V1257" s="136"/>
      <c r="W1257" s="113"/>
    </row>
    <row r="1258" spans="1:23" ht="18" customHeight="1">
      <c r="A1258" s="1532" t="s">
        <v>619</v>
      </c>
      <c r="B1258" s="1533"/>
      <c r="C1258" s="1533"/>
      <c r="D1258" s="1533"/>
      <c r="E1258" s="1534"/>
      <c r="F1258" s="1533"/>
      <c r="G1258" s="1535"/>
      <c r="H1258" s="121"/>
      <c r="I1258" s="1536" t="s">
        <v>623</v>
      </c>
      <c r="J1258" s="1537"/>
      <c r="K1258" s="1536" t="s">
        <v>623</v>
      </c>
      <c r="L1258" s="1537"/>
      <c r="M1258" s="122"/>
      <c r="N1258" s="876"/>
      <c r="O1258" s="180"/>
      <c r="P1258" s="180"/>
      <c r="Q1258" s="108"/>
      <c r="R1258" s="108"/>
      <c r="S1258" s="246"/>
      <c r="T1258" s="111"/>
      <c r="U1258" s="111"/>
      <c r="V1258" s="112"/>
      <c r="W1258" s="113"/>
    </row>
    <row r="1259" spans="1:23" ht="18" customHeight="1">
      <c r="A1259" s="123" t="s">
        <v>620</v>
      </c>
      <c r="B1259" s="1544" t="s">
        <v>621</v>
      </c>
      <c r="C1259" s="1545"/>
      <c r="D1259" s="1546"/>
      <c r="E1259" s="1547" t="s">
        <v>43</v>
      </c>
      <c r="F1259" s="1548"/>
      <c r="G1259" s="1549"/>
      <c r="H1259" s="914" t="s">
        <v>44</v>
      </c>
      <c r="I1259" s="1547" t="s">
        <v>1613</v>
      </c>
      <c r="J1259" s="1549"/>
      <c r="K1259" s="1548" t="s">
        <v>1660</v>
      </c>
      <c r="L1259" s="1549"/>
      <c r="M1259" s="124" t="s">
        <v>45</v>
      </c>
      <c r="N1259" s="877"/>
      <c r="O1259" s="180"/>
      <c r="P1259" s="180"/>
      <c r="Q1259" s="108"/>
      <c r="R1259" s="108"/>
      <c r="S1259" s="246"/>
      <c r="T1259" s="111"/>
      <c r="U1259" s="111"/>
      <c r="V1259" s="112"/>
      <c r="W1259" s="113"/>
    </row>
    <row r="1260" spans="1:23" ht="18" customHeight="1">
      <c r="A1260" s="125"/>
      <c r="B1260" s="914"/>
      <c r="C1260" s="915"/>
      <c r="D1260" s="915"/>
      <c r="E1260" s="914"/>
      <c r="F1260" s="915"/>
      <c r="G1260" s="916"/>
      <c r="H1260" s="914" t="s">
        <v>46</v>
      </c>
      <c r="I1260" s="1550"/>
      <c r="J1260" s="1551"/>
      <c r="K1260" s="1550"/>
      <c r="L1260" s="1551"/>
      <c r="M1260" s="124" t="s">
        <v>47</v>
      </c>
      <c r="N1260" s="877"/>
      <c r="O1260" s="180"/>
      <c r="P1260" s="180"/>
      <c r="Q1260" s="108"/>
      <c r="R1260" s="108"/>
      <c r="S1260" s="246"/>
      <c r="T1260" s="111"/>
      <c r="U1260" s="111"/>
      <c r="V1260" s="112"/>
      <c r="W1260" s="113"/>
    </row>
    <row r="1261" spans="1:23" ht="18" customHeight="1">
      <c r="A1261" s="125"/>
      <c r="B1261" s="914"/>
      <c r="C1261" s="915"/>
      <c r="D1261" s="915"/>
      <c r="E1261" s="914"/>
      <c r="F1261" s="915"/>
      <c r="G1261" s="126"/>
      <c r="H1261" s="127"/>
      <c r="I1261" s="128" t="s">
        <v>622</v>
      </c>
      <c r="J1261" s="129" t="s">
        <v>48</v>
      </c>
      <c r="K1261" s="128" t="s">
        <v>622</v>
      </c>
      <c r="L1261" s="129" t="s">
        <v>48</v>
      </c>
      <c r="M1261" s="124"/>
      <c r="N1261" s="120"/>
    </row>
    <row r="1262" spans="1:23" ht="18" customHeight="1" thickBot="1">
      <c r="A1262" s="130"/>
      <c r="B1262" s="1541"/>
      <c r="C1262" s="1542"/>
      <c r="D1262" s="1543"/>
      <c r="E1262" s="1541"/>
      <c r="F1262" s="1542"/>
      <c r="G1262" s="1543"/>
      <c r="H1262" s="131"/>
      <c r="I1262" s="131"/>
      <c r="J1262" s="131"/>
      <c r="K1262" s="131"/>
      <c r="L1262" s="131"/>
      <c r="M1262" s="132"/>
      <c r="N1262" s="883"/>
    </row>
    <row r="1263" spans="1:23" ht="18" customHeight="1">
      <c r="A1263" s="247"/>
      <c r="B1263" s="119"/>
      <c r="C1263" s="119"/>
      <c r="D1263" s="119"/>
      <c r="E1263" s="133"/>
      <c r="F1263" s="119"/>
      <c r="G1263" s="134"/>
      <c r="H1263" s="135"/>
      <c r="I1263" s="182"/>
      <c r="J1263" s="137"/>
      <c r="K1263" s="182"/>
      <c r="L1263" s="137"/>
      <c r="M1263" s="137"/>
      <c r="N1263" s="880"/>
    </row>
    <row r="1264" spans="1:23" s="146" customFormat="1" ht="18" customHeight="1">
      <c r="A1264" s="183">
        <v>1</v>
      </c>
      <c r="B1264" s="920"/>
      <c r="C1264" s="920"/>
      <c r="D1264" s="920"/>
      <c r="E1264" s="154" t="s">
        <v>247</v>
      </c>
      <c r="F1264" s="920"/>
      <c r="G1264" s="140"/>
      <c r="H1264" s="141" t="s">
        <v>873</v>
      </c>
      <c r="I1264" s="184" t="s">
        <v>1636</v>
      </c>
      <c r="J1264" s="143">
        <v>471408</v>
      </c>
      <c r="K1264" s="184" t="s">
        <v>1636</v>
      </c>
      <c r="L1264" s="143">
        <v>486924</v>
      </c>
      <c r="M1264" s="144">
        <f>L1264-J1264</f>
        <v>15516</v>
      </c>
      <c r="N1264" s="879"/>
      <c r="O1264" s="115">
        <f>M1264++L1264</f>
        <v>502440</v>
      </c>
      <c r="P1264" s="115"/>
      <c r="Q1264" s="116"/>
      <c r="R1264" s="116"/>
      <c r="S1264" s="145"/>
    </row>
    <row r="1265" spans="1:19" s="146" customFormat="1" ht="18" customHeight="1">
      <c r="A1265" s="183"/>
      <c r="B1265" s="920"/>
      <c r="C1265" s="920"/>
      <c r="D1265" s="920"/>
      <c r="E1265" s="154" t="s">
        <v>248</v>
      </c>
      <c r="F1265" s="920"/>
      <c r="G1265" s="140"/>
      <c r="H1265" s="141"/>
      <c r="I1265" s="184"/>
      <c r="J1265" s="143"/>
      <c r="K1265" s="184"/>
      <c r="L1265" s="143"/>
      <c r="M1265" s="143"/>
      <c r="N1265" s="170"/>
      <c r="O1265" s="115"/>
      <c r="P1265" s="115"/>
      <c r="Q1265" s="116"/>
      <c r="R1265" s="116"/>
      <c r="S1265" s="117"/>
    </row>
    <row r="1266" spans="1:19" s="146" customFormat="1" ht="18" customHeight="1">
      <c r="A1266" s="183"/>
      <c r="B1266" s="920"/>
      <c r="C1266" s="920"/>
      <c r="D1266" s="920"/>
      <c r="E1266" s="154"/>
      <c r="F1266" s="920"/>
      <c r="G1266" s="140"/>
      <c r="H1266" s="141"/>
      <c r="I1266" s="184"/>
      <c r="J1266" s="143"/>
      <c r="K1266" s="184"/>
      <c r="L1266" s="149"/>
      <c r="M1266" s="143"/>
      <c r="N1266" s="170"/>
      <c r="O1266" s="115"/>
      <c r="P1266" s="115"/>
      <c r="Q1266" s="116"/>
      <c r="R1266" s="116"/>
      <c r="S1266" s="117"/>
    </row>
    <row r="1267" spans="1:19" s="146" customFormat="1" ht="18" customHeight="1">
      <c r="A1267" s="183"/>
      <c r="B1267" s="920"/>
      <c r="C1267" s="920"/>
      <c r="D1267" s="920"/>
      <c r="E1267" s="154"/>
      <c r="F1267" s="920"/>
      <c r="G1267" s="140"/>
      <c r="H1267" s="141"/>
      <c r="I1267" s="184"/>
      <c r="J1267" s="143"/>
      <c r="K1267" s="184"/>
      <c r="L1267" s="143"/>
      <c r="M1267" s="143"/>
      <c r="N1267" s="170"/>
      <c r="O1267" s="115"/>
      <c r="P1267" s="115"/>
      <c r="Q1267" s="116"/>
      <c r="R1267" s="116"/>
      <c r="S1267" s="117"/>
    </row>
    <row r="1268" spans="1:19" s="146" customFormat="1" ht="18" customHeight="1">
      <c r="A1268" s="183"/>
      <c r="B1268" s="920"/>
      <c r="C1268" s="920"/>
      <c r="D1268" s="920"/>
      <c r="E1268" s="919"/>
      <c r="F1268" s="920"/>
      <c r="G1268" s="140"/>
      <c r="H1268" s="141"/>
      <c r="I1268" s="142"/>
      <c r="J1268" s="248"/>
      <c r="K1268" s="142"/>
      <c r="L1268" s="248"/>
      <c r="M1268" s="143"/>
      <c r="N1268" s="170"/>
      <c r="O1268" s="115"/>
      <c r="P1268" s="115"/>
      <c r="Q1268" s="116"/>
      <c r="R1268" s="116"/>
      <c r="S1268" s="117"/>
    </row>
    <row r="1269" spans="1:19" s="146" customFormat="1" ht="18" customHeight="1">
      <c r="A1269" s="183"/>
      <c r="B1269" s="920"/>
      <c r="C1269" s="920"/>
      <c r="D1269" s="920"/>
      <c r="E1269" s="919"/>
      <c r="F1269" s="920"/>
      <c r="G1269" s="140"/>
      <c r="H1269" s="141"/>
      <c r="I1269" s="142"/>
      <c r="J1269" s="143"/>
      <c r="K1269" s="142"/>
      <c r="L1269" s="143"/>
      <c r="M1269" s="144"/>
      <c r="N1269" s="879"/>
      <c r="O1269" s="115"/>
      <c r="P1269" s="115"/>
      <c r="Q1269" s="116"/>
      <c r="R1269" s="116"/>
      <c r="S1269" s="117"/>
    </row>
    <row r="1270" spans="1:19" s="146" customFormat="1" ht="18" customHeight="1">
      <c r="A1270" s="183">
        <v>2</v>
      </c>
      <c r="B1270" s="920"/>
      <c r="C1270" s="920"/>
      <c r="D1270" s="920"/>
      <c r="E1270" s="154" t="s">
        <v>247</v>
      </c>
      <c r="F1270" s="920"/>
      <c r="G1270" s="140"/>
      <c r="H1270" s="141" t="s">
        <v>90</v>
      </c>
      <c r="I1270" s="142" t="s">
        <v>384</v>
      </c>
      <c r="J1270" s="143">
        <v>259476</v>
      </c>
      <c r="K1270" s="142" t="s">
        <v>384</v>
      </c>
      <c r="L1270" s="143">
        <v>275400</v>
      </c>
      <c r="M1270" s="144">
        <f>L1270-J1270</f>
        <v>15924</v>
      </c>
      <c r="N1270" s="879"/>
      <c r="O1270" s="115">
        <f>L1271+M1270+M1271</f>
        <v>294939</v>
      </c>
      <c r="P1270" s="115"/>
      <c r="Q1270" s="116"/>
      <c r="R1270" s="116"/>
      <c r="S1270" s="117"/>
    </row>
    <row r="1271" spans="1:19" s="146" customFormat="1" ht="18" customHeight="1">
      <c r="A1271" s="183"/>
      <c r="B1271" s="920"/>
      <c r="C1271" s="920"/>
      <c r="D1271" s="920"/>
      <c r="E1271" s="154" t="s">
        <v>1476</v>
      </c>
      <c r="F1271" s="920"/>
      <c r="G1271" s="140"/>
      <c r="H1271" s="141"/>
      <c r="I1271" s="142"/>
      <c r="J1271" s="143"/>
      <c r="K1271" s="142" t="s">
        <v>130</v>
      </c>
      <c r="L1271" s="143">
        <v>278292</v>
      </c>
      <c r="M1271" s="143">
        <v>723</v>
      </c>
      <c r="N1271" s="170"/>
      <c r="O1271" s="115"/>
      <c r="P1271" s="115"/>
      <c r="Q1271" s="116"/>
      <c r="R1271" s="116"/>
      <c r="S1271" s="117"/>
    </row>
    <row r="1272" spans="1:19" s="146" customFormat="1" ht="18" customHeight="1">
      <c r="A1272" s="183"/>
      <c r="B1272" s="920"/>
      <c r="C1272" s="920"/>
      <c r="D1272" s="920"/>
      <c r="E1272" s="919"/>
      <c r="F1272" s="920"/>
      <c r="G1272" s="140"/>
      <c r="H1272" s="141"/>
      <c r="I1272" s="142"/>
      <c r="J1272" s="143"/>
      <c r="K1272" s="142"/>
      <c r="L1272" s="149">
        <v>45200</v>
      </c>
      <c r="M1272" s="143"/>
      <c r="N1272" s="170"/>
      <c r="O1272" s="115"/>
      <c r="P1272" s="115"/>
      <c r="Q1272" s="116"/>
      <c r="R1272" s="116"/>
      <c r="S1272" s="117"/>
    </row>
    <row r="1273" spans="1:19" s="146" customFormat="1" ht="18" customHeight="1">
      <c r="A1273" s="183"/>
      <c r="B1273" s="920"/>
      <c r="C1273" s="920"/>
      <c r="D1273" s="920"/>
      <c r="E1273" s="919"/>
      <c r="F1273" s="920"/>
      <c r="G1273" s="140"/>
      <c r="H1273" s="141"/>
      <c r="I1273" s="142"/>
      <c r="J1273" s="143"/>
      <c r="K1273" s="142"/>
      <c r="L1273" s="143"/>
      <c r="M1273" s="143"/>
      <c r="N1273" s="170"/>
      <c r="O1273" s="115"/>
      <c r="P1273" s="115"/>
      <c r="Q1273" s="116"/>
      <c r="R1273" s="116"/>
      <c r="S1273" s="117"/>
    </row>
    <row r="1274" spans="1:19" s="146" customFormat="1" ht="18" customHeight="1">
      <c r="A1274" s="183"/>
      <c r="B1274" s="920"/>
      <c r="C1274" s="920"/>
      <c r="D1274" s="920"/>
      <c r="E1274" s="919"/>
      <c r="F1274" s="920"/>
      <c r="G1274" s="140"/>
      <c r="H1274" s="141"/>
      <c r="I1274" s="142"/>
      <c r="J1274" s="143"/>
      <c r="K1274" s="142"/>
      <c r="L1274" s="143"/>
      <c r="M1274" s="143"/>
      <c r="N1274" s="170"/>
      <c r="O1274" s="115"/>
      <c r="P1274" s="115"/>
      <c r="Q1274" s="116"/>
      <c r="R1274" s="116"/>
      <c r="S1274" s="117"/>
    </row>
    <row r="1275" spans="1:19" s="146" customFormat="1" ht="18" customHeight="1">
      <c r="A1275" s="183"/>
      <c r="B1275" s="920"/>
      <c r="C1275" s="920"/>
      <c r="D1275" s="920"/>
      <c r="E1275" s="919"/>
      <c r="F1275" s="920"/>
      <c r="G1275" s="140"/>
      <c r="H1275" s="141"/>
      <c r="I1275" s="142"/>
      <c r="J1275" s="143"/>
      <c r="K1275" s="142"/>
      <c r="L1275" s="143"/>
      <c r="M1275" s="143"/>
      <c r="N1275" s="170"/>
      <c r="O1275" s="115"/>
      <c r="P1275" s="115"/>
      <c r="Q1275" s="116"/>
      <c r="R1275" s="116"/>
      <c r="S1275" s="117"/>
    </row>
    <row r="1276" spans="1:19" s="146" customFormat="1" ht="18" customHeight="1">
      <c r="A1276" s="183"/>
      <c r="B1276" s="920"/>
      <c r="C1276" s="920"/>
      <c r="D1276" s="920"/>
      <c r="E1276" s="919"/>
      <c r="F1276" s="920"/>
      <c r="G1276" s="140"/>
      <c r="H1276" s="141"/>
      <c r="I1276" s="142"/>
      <c r="J1276" s="143"/>
      <c r="K1276" s="142"/>
      <c r="L1276" s="143"/>
      <c r="M1276" s="143"/>
      <c r="N1276" s="170"/>
      <c r="O1276" s="115"/>
      <c r="P1276" s="115"/>
      <c r="Q1276" s="116"/>
      <c r="R1276" s="116"/>
      <c r="S1276" s="117"/>
    </row>
    <row r="1277" spans="1:19" s="146" customFormat="1" ht="18" customHeight="1">
      <c r="A1277" s="183"/>
      <c r="B1277" s="920"/>
      <c r="C1277" s="920"/>
      <c r="D1277" s="920"/>
      <c r="E1277" s="919"/>
      <c r="F1277" s="920"/>
      <c r="G1277" s="140"/>
      <c r="H1277" s="141"/>
      <c r="I1277" s="142"/>
      <c r="J1277" s="143"/>
      <c r="K1277" s="142"/>
      <c r="L1277" s="143"/>
      <c r="M1277" s="143"/>
      <c r="N1277" s="170"/>
      <c r="O1277" s="115"/>
      <c r="P1277" s="115"/>
      <c r="Q1277" s="116"/>
      <c r="R1277" s="116"/>
      <c r="S1277" s="117"/>
    </row>
    <row r="1278" spans="1:19" s="146" customFormat="1" ht="18" customHeight="1">
      <c r="A1278" s="183"/>
      <c r="B1278" s="920"/>
      <c r="C1278" s="920"/>
      <c r="D1278" s="920"/>
      <c r="E1278" s="919"/>
      <c r="F1278" s="920"/>
      <c r="G1278" s="140"/>
      <c r="H1278" s="141"/>
      <c r="I1278" s="142"/>
      <c r="J1278" s="143"/>
      <c r="K1278" s="142"/>
      <c r="L1278" s="143"/>
      <c r="M1278" s="143"/>
      <c r="N1278" s="170"/>
      <c r="O1278" s="115"/>
      <c r="P1278" s="115"/>
      <c r="Q1278" s="116"/>
      <c r="R1278" s="116"/>
      <c r="S1278" s="117"/>
    </row>
    <row r="1279" spans="1:19" s="146" customFormat="1" ht="18" customHeight="1">
      <c r="A1279" s="183"/>
      <c r="B1279" s="920"/>
      <c r="C1279" s="920"/>
      <c r="D1279" s="920"/>
      <c r="E1279" s="919"/>
      <c r="F1279" s="920"/>
      <c r="G1279" s="140"/>
      <c r="H1279" s="141"/>
      <c r="I1279" s="142"/>
      <c r="J1279" s="143"/>
      <c r="K1279" s="142"/>
      <c r="L1279" s="143"/>
      <c r="M1279" s="143"/>
      <c r="N1279" s="170"/>
      <c r="O1279" s="115"/>
      <c r="P1279" s="115"/>
      <c r="Q1279" s="116"/>
      <c r="R1279" s="116"/>
      <c r="S1279" s="117"/>
    </row>
    <row r="1280" spans="1:19" s="146" customFormat="1" ht="18" customHeight="1">
      <c r="A1280" s="183"/>
      <c r="B1280" s="920"/>
      <c r="C1280" s="920"/>
      <c r="D1280" s="920"/>
      <c r="E1280" s="919"/>
      <c r="F1280" s="920"/>
      <c r="G1280" s="140"/>
      <c r="H1280" s="141"/>
      <c r="I1280" s="142"/>
      <c r="J1280" s="143"/>
      <c r="K1280" s="142"/>
      <c r="L1280" s="143"/>
      <c r="M1280" s="143"/>
      <c r="N1280" s="170"/>
      <c r="O1280" s="115"/>
      <c r="P1280" s="115"/>
      <c r="Q1280" s="116"/>
      <c r="R1280" s="116"/>
      <c r="S1280" s="117"/>
    </row>
    <row r="1281" spans="1:19" s="146" customFormat="1" ht="18" customHeight="1">
      <c r="A1281" s="183"/>
      <c r="B1281" s="920"/>
      <c r="C1281" s="920"/>
      <c r="D1281" s="920"/>
      <c r="E1281" s="919"/>
      <c r="F1281" s="920"/>
      <c r="G1281" s="140"/>
      <c r="H1281" s="141"/>
      <c r="I1281" s="142"/>
      <c r="J1281" s="143"/>
      <c r="K1281" s="142"/>
      <c r="L1281" s="143"/>
      <c r="M1281" s="143"/>
      <c r="N1281" s="170"/>
      <c r="O1281" s="115"/>
      <c r="P1281" s="115"/>
      <c r="Q1281" s="116"/>
      <c r="R1281" s="116"/>
      <c r="S1281" s="117"/>
    </row>
    <row r="1282" spans="1:19" s="146" customFormat="1" ht="18" customHeight="1">
      <c r="A1282" s="183"/>
      <c r="B1282" s="920"/>
      <c r="C1282" s="920"/>
      <c r="D1282" s="920"/>
      <c r="E1282" s="919"/>
      <c r="F1282" s="920"/>
      <c r="G1282" s="140"/>
      <c r="H1282" s="141"/>
      <c r="I1282" s="142"/>
      <c r="J1282" s="143"/>
      <c r="K1282" s="142"/>
      <c r="L1282" s="143"/>
      <c r="M1282" s="144"/>
      <c r="N1282" s="879"/>
      <c r="O1282" s="115"/>
      <c r="P1282" s="115"/>
      <c r="Q1282" s="116"/>
      <c r="R1282" s="116"/>
      <c r="S1282" s="117"/>
    </row>
    <row r="1283" spans="1:19" s="146" customFormat="1" ht="18" customHeight="1">
      <c r="A1283" s="183"/>
      <c r="B1283" s="920"/>
      <c r="C1283" s="920"/>
      <c r="D1283" s="920"/>
      <c r="E1283" s="919"/>
      <c r="F1283" s="920"/>
      <c r="G1283" s="140"/>
      <c r="H1283" s="141"/>
      <c r="I1283" s="142"/>
      <c r="J1283" s="143"/>
      <c r="K1283" s="142"/>
      <c r="L1283" s="143"/>
      <c r="M1283" s="143"/>
      <c r="N1283" s="170"/>
      <c r="O1283" s="115"/>
      <c r="P1283" s="115"/>
      <c r="Q1283" s="116"/>
      <c r="R1283" s="116"/>
      <c r="S1283" s="117"/>
    </row>
    <row r="1284" spans="1:19" s="146" customFormat="1" ht="18" customHeight="1">
      <c r="A1284" s="141"/>
      <c r="B1284" s="155"/>
      <c r="C1284" s="920"/>
      <c r="D1284" s="920"/>
      <c r="E1284" s="154"/>
      <c r="F1284" s="155"/>
      <c r="G1284" s="140"/>
      <c r="H1284" s="141"/>
      <c r="I1284" s="210"/>
      <c r="J1284" s="143"/>
      <c r="K1284" s="210"/>
      <c r="L1284" s="143"/>
      <c r="M1284" s="143"/>
      <c r="N1284" s="170"/>
      <c r="O1284" s="115"/>
      <c r="P1284" s="115"/>
      <c r="Q1284" s="116"/>
      <c r="R1284" s="116"/>
      <c r="S1284" s="117"/>
    </row>
    <row r="1285" spans="1:19" s="146" customFormat="1" ht="18" customHeight="1">
      <c r="A1285" s="141"/>
      <c r="B1285" s="155"/>
      <c r="C1285" s="920"/>
      <c r="D1285" s="920"/>
      <c r="E1285" s="154"/>
      <c r="F1285" s="155"/>
      <c r="G1285" s="140"/>
      <c r="H1285" s="141"/>
      <c r="I1285" s="210"/>
      <c r="J1285" s="143"/>
      <c r="K1285" s="210"/>
      <c r="L1285" s="143"/>
      <c r="M1285" s="143"/>
      <c r="N1285" s="170"/>
      <c r="O1285" s="115"/>
      <c r="P1285" s="115"/>
      <c r="Q1285" s="116"/>
      <c r="R1285" s="116"/>
      <c r="S1285" s="117"/>
    </row>
    <row r="1286" spans="1:19" s="146" customFormat="1" ht="18" customHeight="1">
      <c r="A1286" s="141"/>
      <c r="B1286" s="155"/>
      <c r="C1286" s="920"/>
      <c r="D1286" s="920"/>
      <c r="E1286" s="154"/>
      <c r="F1286" s="155"/>
      <c r="G1286" s="140"/>
      <c r="H1286" s="141"/>
      <c r="I1286" s="210"/>
      <c r="J1286" s="143"/>
      <c r="K1286" s="210"/>
      <c r="L1286" s="143"/>
      <c r="M1286" s="143"/>
      <c r="N1286" s="170"/>
      <c r="O1286" s="115"/>
      <c r="P1286" s="115"/>
      <c r="Q1286" s="116"/>
      <c r="R1286" s="116"/>
      <c r="S1286" s="117"/>
    </row>
    <row r="1287" spans="1:19" s="146" customFormat="1" ht="18" customHeight="1">
      <c r="A1287" s="141"/>
      <c r="B1287" s="155"/>
      <c r="C1287" s="920"/>
      <c r="D1287" s="920"/>
      <c r="E1287" s="154"/>
      <c r="F1287" s="155"/>
      <c r="G1287" s="140"/>
      <c r="H1287" s="141"/>
      <c r="I1287" s="210"/>
      <c r="J1287" s="143"/>
      <c r="K1287" s="210"/>
      <c r="L1287" s="143"/>
      <c r="M1287" s="143"/>
      <c r="N1287" s="170"/>
      <c r="O1287" s="115"/>
      <c r="P1287" s="115"/>
      <c r="Q1287" s="116"/>
      <c r="R1287" s="116"/>
      <c r="S1287" s="117"/>
    </row>
    <row r="1288" spans="1:19" s="146" customFormat="1" ht="18" customHeight="1">
      <c r="A1288" s="141"/>
      <c r="B1288" s="155"/>
      <c r="C1288" s="920"/>
      <c r="D1288" s="920"/>
      <c r="E1288" s="154"/>
      <c r="F1288" s="155"/>
      <c r="G1288" s="140"/>
      <c r="H1288" s="141"/>
      <c r="I1288" s="210"/>
      <c r="J1288" s="143"/>
      <c r="K1288" s="210"/>
      <c r="L1288" s="143"/>
      <c r="M1288" s="143"/>
      <c r="N1288" s="170"/>
      <c r="O1288" s="115"/>
      <c r="P1288" s="115"/>
      <c r="Q1288" s="116"/>
      <c r="R1288" s="116"/>
      <c r="S1288" s="117"/>
    </row>
    <row r="1289" spans="1:19" s="146" customFormat="1" ht="18" customHeight="1">
      <c r="A1289" s="141"/>
      <c r="B1289" s="155"/>
      <c r="C1289" s="920"/>
      <c r="D1289" s="920"/>
      <c r="E1289" s="154"/>
      <c r="F1289" s="155"/>
      <c r="G1289" s="140"/>
      <c r="H1289" s="141"/>
      <c r="I1289" s="210"/>
      <c r="J1289" s="143"/>
      <c r="K1289" s="210"/>
      <c r="L1289" s="143"/>
      <c r="M1289" s="143"/>
      <c r="N1289" s="170"/>
      <c r="O1289" s="115"/>
      <c r="P1289" s="115"/>
      <c r="Q1289" s="116"/>
      <c r="R1289" s="116"/>
      <c r="S1289" s="117"/>
    </row>
    <row r="1290" spans="1:19" s="146" customFormat="1" ht="18" customHeight="1">
      <c r="A1290" s="141"/>
      <c r="B1290" s="155"/>
      <c r="C1290" s="920"/>
      <c r="D1290" s="920"/>
      <c r="E1290" s="154"/>
      <c r="F1290" s="155"/>
      <c r="G1290" s="140"/>
      <c r="H1290" s="141"/>
      <c r="I1290" s="210"/>
      <c r="J1290" s="143"/>
      <c r="K1290" s="210"/>
      <c r="L1290" s="143"/>
      <c r="M1290" s="143"/>
      <c r="N1290" s="170"/>
      <c r="O1290" s="115"/>
      <c r="P1290" s="115"/>
      <c r="Q1290" s="116"/>
      <c r="R1290" s="116"/>
      <c r="S1290" s="117"/>
    </row>
    <row r="1291" spans="1:19" s="146" customFormat="1" ht="18" customHeight="1">
      <c r="A1291" s="141"/>
      <c r="B1291" s="155"/>
      <c r="C1291" s="920"/>
      <c r="D1291" s="920"/>
      <c r="E1291" s="154"/>
      <c r="F1291" s="155"/>
      <c r="G1291" s="140"/>
      <c r="H1291" s="141"/>
      <c r="I1291" s="210"/>
      <c r="J1291" s="143"/>
      <c r="K1291" s="210"/>
      <c r="L1291" s="143"/>
      <c r="M1291" s="143"/>
      <c r="N1291" s="170"/>
      <c r="O1291" s="115"/>
      <c r="P1291" s="115"/>
      <c r="Q1291" s="116"/>
      <c r="R1291" s="116"/>
      <c r="S1291" s="117"/>
    </row>
    <row r="1292" spans="1:19" s="146" customFormat="1" ht="18" customHeight="1">
      <c r="A1292" s="141"/>
      <c r="B1292" s="155"/>
      <c r="C1292" s="920"/>
      <c r="D1292" s="920"/>
      <c r="E1292" s="154"/>
      <c r="F1292" s="155"/>
      <c r="G1292" s="140"/>
      <c r="H1292" s="141"/>
      <c r="I1292" s="210"/>
      <c r="J1292" s="143"/>
      <c r="K1292" s="210"/>
      <c r="L1292" s="143"/>
      <c r="M1292" s="143"/>
      <c r="N1292" s="170"/>
      <c r="O1292" s="115"/>
      <c r="P1292" s="115"/>
      <c r="Q1292" s="116"/>
      <c r="R1292" s="116"/>
      <c r="S1292" s="117"/>
    </row>
    <row r="1293" spans="1:19" s="146" customFormat="1" ht="18" customHeight="1">
      <c r="A1293" s="141"/>
      <c r="B1293" s="155"/>
      <c r="C1293" s="920"/>
      <c r="D1293" s="920"/>
      <c r="E1293" s="154"/>
      <c r="F1293" s="155"/>
      <c r="G1293" s="140"/>
      <c r="H1293" s="141"/>
      <c r="I1293" s="210"/>
      <c r="J1293" s="143"/>
      <c r="K1293" s="210"/>
      <c r="L1293" s="143"/>
      <c r="M1293" s="143"/>
      <c r="N1293" s="170"/>
      <c r="O1293" s="115"/>
      <c r="P1293" s="115"/>
      <c r="Q1293" s="116"/>
      <c r="R1293" s="116"/>
      <c r="S1293" s="117"/>
    </row>
    <row r="1294" spans="1:19" s="146" customFormat="1" ht="18" customHeight="1">
      <c r="A1294" s="141"/>
      <c r="B1294" s="155"/>
      <c r="C1294" s="920"/>
      <c r="D1294" s="920"/>
      <c r="E1294" s="154"/>
      <c r="F1294" s="155"/>
      <c r="G1294" s="140"/>
      <c r="H1294" s="141"/>
      <c r="I1294" s="210"/>
      <c r="J1294" s="143"/>
      <c r="K1294" s="210"/>
      <c r="L1294" s="143"/>
      <c r="M1294" s="143"/>
      <c r="N1294" s="170"/>
      <c r="O1294" s="115"/>
      <c r="P1294" s="115"/>
      <c r="Q1294" s="116"/>
      <c r="R1294" s="116"/>
      <c r="S1294" s="117"/>
    </row>
    <row r="1295" spans="1:19" s="146" customFormat="1" ht="18" customHeight="1">
      <c r="A1295" s="141"/>
      <c r="B1295" s="155"/>
      <c r="C1295" s="920"/>
      <c r="D1295" s="920"/>
      <c r="E1295" s="154"/>
      <c r="F1295" s="155"/>
      <c r="G1295" s="140"/>
      <c r="H1295" s="141"/>
      <c r="I1295" s="210"/>
      <c r="J1295" s="143"/>
      <c r="K1295" s="210"/>
      <c r="L1295" s="143"/>
      <c r="M1295" s="143"/>
      <c r="N1295" s="170"/>
      <c r="O1295" s="115"/>
      <c r="P1295" s="115"/>
      <c r="Q1295" s="116"/>
      <c r="R1295" s="116"/>
      <c r="S1295" s="117"/>
    </row>
    <row r="1296" spans="1:19" s="146" customFormat="1" ht="18" customHeight="1">
      <c r="A1296" s="141"/>
      <c r="B1296" s="155"/>
      <c r="C1296" s="920"/>
      <c r="D1296" s="920"/>
      <c r="E1296" s="154"/>
      <c r="F1296" s="155"/>
      <c r="G1296" s="140"/>
      <c r="H1296" s="141"/>
      <c r="I1296" s="210"/>
      <c r="J1296" s="143"/>
      <c r="K1296" s="210"/>
      <c r="L1296" s="143"/>
      <c r="M1296" s="143"/>
      <c r="N1296" s="170"/>
      <c r="O1296" s="115"/>
      <c r="P1296" s="115"/>
      <c r="Q1296" s="116"/>
      <c r="R1296" s="116"/>
      <c r="S1296" s="117"/>
    </row>
    <row r="1297" spans="1:19" s="146" customFormat="1" ht="18" customHeight="1">
      <c r="A1297" s="141"/>
      <c r="B1297" s="155"/>
      <c r="C1297" s="920"/>
      <c r="D1297" s="920"/>
      <c r="E1297" s="154"/>
      <c r="F1297" s="155"/>
      <c r="G1297" s="140"/>
      <c r="H1297" s="141"/>
      <c r="I1297" s="210"/>
      <c r="J1297" s="143"/>
      <c r="K1297" s="210"/>
      <c r="L1297" s="143"/>
      <c r="M1297" s="143"/>
      <c r="N1297" s="170"/>
      <c r="O1297" s="115"/>
      <c r="P1297" s="115"/>
      <c r="Q1297" s="116"/>
      <c r="R1297" s="116"/>
      <c r="S1297" s="117"/>
    </row>
    <row r="1298" spans="1:19" s="146" customFormat="1" ht="18" customHeight="1">
      <c r="A1298" s="141"/>
      <c r="B1298" s="155"/>
      <c r="C1298" s="920"/>
      <c r="D1298" s="920"/>
      <c r="E1298" s="154"/>
      <c r="F1298" s="155"/>
      <c r="G1298" s="140"/>
      <c r="H1298" s="141"/>
      <c r="I1298" s="210"/>
      <c r="J1298" s="143"/>
      <c r="K1298" s="210"/>
      <c r="L1298" s="143"/>
      <c r="M1298" s="143"/>
      <c r="N1298" s="170"/>
      <c r="O1298" s="115"/>
      <c r="P1298" s="115"/>
      <c r="Q1298" s="116"/>
      <c r="R1298" s="116"/>
      <c r="S1298" s="117"/>
    </row>
    <row r="1299" spans="1:19" s="146" customFormat="1" ht="18" customHeight="1">
      <c r="A1299" s="141"/>
      <c r="B1299" s="155"/>
      <c r="C1299" s="920"/>
      <c r="D1299" s="920"/>
      <c r="E1299" s="154"/>
      <c r="F1299" s="155"/>
      <c r="G1299" s="140"/>
      <c r="H1299" s="141"/>
      <c r="I1299" s="210"/>
      <c r="J1299" s="143"/>
      <c r="K1299" s="210"/>
      <c r="L1299" s="143"/>
      <c r="M1299" s="143"/>
      <c r="N1299" s="170"/>
      <c r="O1299" s="115"/>
      <c r="P1299" s="115"/>
      <c r="Q1299" s="116"/>
      <c r="R1299" s="116"/>
      <c r="S1299" s="117"/>
    </row>
    <row r="1300" spans="1:19" s="146" customFormat="1" ht="18" customHeight="1">
      <c r="A1300" s="141"/>
      <c r="B1300" s="155"/>
      <c r="C1300" s="920"/>
      <c r="D1300" s="920"/>
      <c r="E1300" s="154"/>
      <c r="F1300" s="155"/>
      <c r="G1300" s="140"/>
      <c r="H1300" s="141"/>
      <c r="I1300" s="210"/>
      <c r="J1300" s="143"/>
      <c r="K1300" s="210"/>
      <c r="L1300" s="143"/>
      <c r="M1300" s="143"/>
      <c r="N1300" s="170"/>
      <c r="O1300" s="115"/>
      <c r="P1300" s="115"/>
      <c r="Q1300" s="116"/>
      <c r="R1300" s="116"/>
      <c r="S1300" s="117"/>
    </row>
    <row r="1301" spans="1:19" s="146" customFormat="1" ht="18" customHeight="1">
      <c r="A1301" s="141"/>
      <c r="B1301" s="155"/>
      <c r="C1301" s="920"/>
      <c r="D1301" s="920"/>
      <c r="E1301" s="154"/>
      <c r="F1301" s="155"/>
      <c r="G1301" s="140"/>
      <c r="H1301" s="141"/>
      <c r="I1301" s="210"/>
      <c r="J1301" s="143"/>
      <c r="K1301" s="210"/>
      <c r="L1301" s="143"/>
      <c r="M1301" s="143"/>
      <c r="N1301" s="170"/>
      <c r="O1301" s="115"/>
      <c r="P1301" s="115"/>
      <c r="Q1301" s="116"/>
      <c r="R1301" s="116"/>
      <c r="S1301" s="117"/>
    </row>
    <row r="1302" spans="1:19" s="146" customFormat="1" ht="18" customHeight="1">
      <c r="A1302" s="200"/>
      <c r="B1302" s="155"/>
      <c r="C1302" s="920"/>
      <c r="D1302" s="920"/>
      <c r="E1302" s="154"/>
      <c r="F1302" s="155"/>
      <c r="G1302" s="140"/>
      <c r="H1302" s="141"/>
      <c r="I1302" s="210"/>
      <c r="J1302" s="143"/>
      <c r="K1302" s="210"/>
      <c r="L1302" s="143"/>
      <c r="M1302" s="143"/>
      <c r="N1302" s="170"/>
      <c r="O1302" s="115"/>
      <c r="P1302" s="115"/>
      <c r="Q1302" s="116"/>
      <c r="R1302" s="116"/>
      <c r="S1302" s="117"/>
    </row>
    <row r="1303" spans="1:19" s="146" customFormat="1" ht="18" customHeight="1" thickBot="1">
      <c r="A1303" s="249"/>
      <c r="B1303" s="250"/>
      <c r="C1303" s="251"/>
      <c r="D1303" s="251"/>
      <c r="E1303" s="252"/>
      <c r="F1303" s="250"/>
      <c r="G1303" s="253"/>
      <c r="H1303" s="254" t="s">
        <v>15</v>
      </c>
      <c r="I1303" s="163"/>
      <c r="J1303" s="163">
        <f>SUM(J1264:J1302)</f>
        <v>730884</v>
      </c>
      <c r="K1303" s="163"/>
      <c r="L1303" s="163"/>
      <c r="M1303" s="163">
        <f>SUM(M1264:M1302)</f>
        <v>32163</v>
      </c>
      <c r="N1303" s="169"/>
      <c r="O1303" s="115">
        <f>SUM(O1264:O1271)</f>
        <v>797379</v>
      </c>
      <c r="P1303" s="115"/>
      <c r="Q1303" s="116"/>
      <c r="R1303" s="116"/>
      <c r="S1303" s="117"/>
    </row>
    <row r="1304" spans="1:19" s="146" customFormat="1" ht="18" customHeight="1" thickTop="1">
      <c r="A1304" s="155"/>
      <c r="B1304" s="155"/>
      <c r="C1304" s="920"/>
      <c r="D1304" s="920"/>
      <c r="E1304" s="155"/>
      <c r="F1304" s="155"/>
      <c r="G1304" s="155"/>
      <c r="H1304" s="920"/>
      <c r="I1304" s="155"/>
      <c r="J1304" s="169"/>
      <c r="K1304" s="172"/>
      <c r="L1304" s="171"/>
      <c r="M1304" s="171"/>
      <c r="N1304" s="171"/>
      <c r="O1304" s="115"/>
      <c r="P1304" s="115"/>
      <c r="Q1304" s="116"/>
      <c r="R1304" s="116"/>
      <c r="S1304" s="117"/>
    </row>
    <row r="1305" spans="1:19" s="146" customFormat="1" ht="18" customHeight="1">
      <c r="A1305" s="155"/>
      <c r="B1305" s="155"/>
      <c r="C1305" s="920"/>
      <c r="D1305" s="920"/>
      <c r="E1305" s="155"/>
      <c r="F1305" s="155"/>
      <c r="G1305" s="155"/>
      <c r="H1305" s="155"/>
      <c r="I1305" s="155"/>
      <c r="J1305" s="155"/>
      <c r="K1305" s="172"/>
      <c r="L1305" s="170"/>
      <c r="M1305" s="170"/>
      <c r="N1305" s="170"/>
      <c r="O1305" s="115"/>
      <c r="P1305" s="115"/>
      <c r="Q1305" s="116"/>
      <c r="R1305" s="116"/>
      <c r="S1305" s="117"/>
    </row>
    <row r="1306" spans="1:19" s="146" customFormat="1" ht="18" customHeight="1">
      <c r="A1306" s="155"/>
      <c r="B1306" s="155"/>
      <c r="C1306" s="920"/>
      <c r="D1306" s="920"/>
      <c r="E1306" s="155"/>
      <c r="F1306" s="155"/>
      <c r="G1306" s="155"/>
      <c r="H1306" s="155"/>
      <c r="I1306" s="155"/>
      <c r="J1306" s="155"/>
      <c r="K1306" s="172"/>
      <c r="L1306" s="170"/>
      <c r="M1306" s="170"/>
      <c r="N1306" s="170"/>
      <c r="O1306" s="115"/>
      <c r="P1306" s="115"/>
      <c r="Q1306" s="116"/>
      <c r="R1306" s="116"/>
      <c r="S1306" s="117"/>
    </row>
    <row r="1307" spans="1:19" s="146" customFormat="1" ht="18" customHeight="1">
      <c r="A1307" s="173" t="s">
        <v>614</v>
      </c>
      <c r="B1307" s="173"/>
      <c r="C1307" s="912"/>
      <c r="D1307" s="912"/>
      <c r="E1307" s="174"/>
      <c r="F1307" s="174"/>
      <c r="G1307" s="174"/>
      <c r="H1307" s="173" t="s">
        <v>615</v>
      </c>
      <c r="I1307" s="174"/>
      <c r="K1307" s="173" t="s">
        <v>253</v>
      </c>
      <c r="L1307" s="175"/>
      <c r="M1307" s="175"/>
      <c r="N1307" s="175"/>
      <c r="O1307" s="115"/>
      <c r="P1307" s="115"/>
      <c r="Q1307" s="116"/>
      <c r="R1307" s="116"/>
      <c r="S1307" s="117"/>
    </row>
    <row r="1308" spans="1:19" s="146" customFormat="1" ht="18" customHeight="1">
      <c r="A1308" s="174"/>
      <c r="B1308" s="174"/>
      <c r="C1308" s="913"/>
      <c r="D1308" s="913"/>
      <c r="E1308" s="174"/>
      <c r="F1308" s="174"/>
      <c r="G1308" s="174"/>
      <c r="H1308" s="174"/>
      <c r="I1308" s="174"/>
      <c r="J1308" s="174"/>
      <c r="K1308" s="176"/>
      <c r="L1308" s="175"/>
      <c r="M1308" s="175"/>
      <c r="N1308" s="175"/>
      <c r="O1308" s="115"/>
      <c r="P1308" s="115"/>
      <c r="Q1308" s="116"/>
      <c r="R1308" s="116"/>
      <c r="S1308" s="117"/>
    </row>
    <row r="1309" spans="1:19" s="146" customFormat="1" ht="18" customHeight="1">
      <c r="A1309" s="1531" t="s">
        <v>242</v>
      </c>
      <c r="B1309" s="1531"/>
      <c r="C1309" s="1531"/>
      <c r="D1309" s="1531"/>
      <c r="E1309" s="1531"/>
      <c r="F1309" s="1531"/>
      <c r="G1309" s="174"/>
      <c r="H1309" s="1531" t="s">
        <v>17</v>
      </c>
      <c r="I1309" s="1531"/>
      <c r="J1309" s="174"/>
      <c r="K1309" s="1531" t="s">
        <v>1436</v>
      </c>
      <c r="L1309" s="1531"/>
      <c r="M1309" s="1531"/>
      <c r="N1309" s="912"/>
      <c r="O1309" s="115"/>
      <c r="P1309" s="115"/>
      <c r="Q1309" s="116"/>
      <c r="R1309" s="116"/>
      <c r="S1309" s="117"/>
    </row>
    <row r="1310" spans="1:19" s="146" customFormat="1" ht="18" customHeight="1">
      <c r="A1310" s="1520" t="s">
        <v>422</v>
      </c>
      <c r="B1310" s="1520"/>
      <c r="C1310" s="1520"/>
      <c r="D1310" s="1520"/>
      <c r="E1310" s="1520"/>
      <c r="F1310" s="1520"/>
      <c r="G1310" s="177"/>
      <c r="H1310" s="1520" t="s">
        <v>18</v>
      </c>
      <c r="I1310" s="1520"/>
      <c r="J1310" s="912"/>
      <c r="K1310" s="1520" t="s">
        <v>14</v>
      </c>
      <c r="L1310" s="1520"/>
      <c r="M1310" s="1520"/>
      <c r="N1310" s="913"/>
      <c r="O1310" s="115"/>
      <c r="P1310" s="115"/>
      <c r="Q1310" s="116"/>
      <c r="R1310" s="116"/>
      <c r="S1310" s="117"/>
    </row>
    <row r="1311" spans="1:19" s="146" customFormat="1" ht="18" customHeight="1">
      <c r="A1311" s="913"/>
      <c r="B1311" s="913"/>
      <c r="C1311" s="913"/>
      <c r="D1311" s="913"/>
      <c r="E1311" s="913"/>
      <c r="F1311" s="913"/>
      <c r="G1311" s="177"/>
      <c r="H1311" s="913"/>
      <c r="I1311" s="913"/>
      <c r="J1311" s="912"/>
      <c r="K1311" s="913"/>
      <c r="L1311" s="913"/>
      <c r="M1311" s="913"/>
      <c r="N1311" s="913"/>
      <c r="O1311" s="115"/>
      <c r="P1311" s="115"/>
      <c r="Q1311" s="116"/>
      <c r="R1311" s="116"/>
      <c r="S1311" s="117"/>
    </row>
    <row r="1312" spans="1:19" s="146" customFormat="1" ht="18" customHeight="1">
      <c r="A1312" s="913"/>
      <c r="B1312" s="913"/>
      <c r="C1312" s="913"/>
      <c r="D1312" s="913"/>
      <c r="E1312" s="913"/>
      <c r="F1312" s="913"/>
      <c r="G1312" s="177"/>
      <c r="H1312" s="913"/>
      <c r="I1312" s="913"/>
      <c r="J1312" s="912"/>
      <c r="K1312" s="913"/>
      <c r="L1312" s="913"/>
      <c r="M1312" s="913"/>
      <c r="N1312" s="913"/>
      <c r="O1312" s="115"/>
      <c r="P1312" s="115"/>
      <c r="Q1312" s="116"/>
      <c r="R1312" s="116"/>
      <c r="S1312" s="117"/>
    </row>
    <row r="1313" spans="1:19" s="146" customFormat="1" ht="18" customHeight="1">
      <c r="A1313" s="913"/>
      <c r="B1313" s="913"/>
      <c r="C1313" s="913"/>
      <c r="D1313" s="913"/>
      <c r="E1313" s="913"/>
      <c r="F1313" s="913"/>
      <c r="G1313" s="177"/>
      <c r="H1313" s="913"/>
      <c r="I1313" s="913"/>
      <c r="J1313" s="912"/>
      <c r="K1313" s="913"/>
      <c r="L1313" s="913"/>
      <c r="M1313" s="913"/>
      <c r="N1313" s="913"/>
      <c r="O1313" s="115"/>
      <c r="P1313" s="115"/>
      <c r="Q1313" s="116"/>
      <c r="R1313" s="116"/>
      <c r="S1313" s="117"/>
    </row>
    <row r="1314" spans="1:19" s="146" customFormat="1" ht="18" customHeight="1">
      <c r="A1314" s="913"/>
      <c r="B1314" s="913"/>
      <c r="C1314" s="913"/>
      <c r="D1314" s="913"/>
      <c r="E1314" s="913"/>
      <c r="F1314" s="913"/>
      <c r="G1314" s="177"/>
      <c r="H1314" s="913"/>
      <c r="I1314" s="913"/>
      <c r="J1314" s="912"/>
      <c r="K1314" s="913"/>
      <c r="L1314" s="913"/>
      <c r="M1314" s="913"/>
      <c r="N1314" s="913"/>
      <c r="O1314" s="115"/>
      <c r="P1314" s="115"/>
      <c r="Q1314" s="116"/>
      <c r="R1314" s="116"/>
      <c r="S1314" s="117"/>
    </row>
    <row r="1315" spans="1:19" s="146" customFormat="1" ht="18" customHeight="1">
      <c r="A1315" s="913"/>
      <c r="B1315" s="913"/>
      <c r="C1315" s="913"/>
      <c r="D1315" s="913"/>
      <c r="E1315" s="913"/>
      <c r="F1315" s="913"/>
      <c r="G1315" s="177"/>
      <c r="H1315" s="913"/>
      <c r="I1315" s="913"/>
      <c r="J1315" s="912"/>
      <c r="K1315" s="913"/>
      <c r="L1315" s="913"/>
      <c r="M1315" s="913"/>
      <c r="N1315" s="913"/>
      <c r="O1315" s="115"/>
      <c r="P1315" s="115"/>
      <c r="Q1315" s="116"/>
      <c r="R1315" s="116"/>
      <c r="S1315" s="117"/>
    </row>
    <row r="1316" spans="1:19" s="146" customFormat="1" ht="18" customHeight="1">
      <c r="A1316" s="913"/>
      <c r="B1316" s="913"/>
      <c r="C1316" s="913"/>
      <c r="D1316" s="913"/>
      <c r="E1316" s="913"/>
      <c r="F1316" s="913"/>
      <c r="G1316" s="177"/>
      <c r="H1316" s="913"/>
      <c r="I1316" s="913"/>
      <c r="J1316" s="912"/>
      <c r="K1316" s="913"/>
      <c r="L1316" s="913"/>
      <c r="M1316" s="913"/>
      <c r="N1316" s="913"/>
      <c r="O1316" s="115"/>
      <c r="P1316" s="115"/>
      <c r="Q1316" s="116"/>
      <c r="R1316" s="116"/>
      <c r="S1316" s="117"/>
    </row>
    <row r="1317" spans="1:19" s="146" customFormat="1" ht="18" customHeight="1">
      <c r="A1317" s="913"/>
      <c r="B1317" s="913"/>
      <c r="C1317" s="913"/>
      <c r="D1317" s="913"/>
      <c r="E1317" s="913"/>
      <c r="F1317" s="913"/>
      <c r="G1317" s="177"/>
      <c r="H1317" s="913"/>
      <c r="I1317" s="913"/>
      <c r="J1317" s="912"/>
      <c r="K1317" s="913"/>
      <c r="L1317" s="913"/>
      <c r="M1317" s="913"/>
      <c r="N1317" s="913"/>
      <c r="O1317" s="115"/>
      <c r="P1317" s="115"/>
      <c r="Q1317" s="116"/>
      <c r="R1317" s="116"/>
      <c r="S1317" s="117"/>
    </row>
    <row r="1318" spans="1:19" s="146" customFormat="1" ht="18" customHeight="1">
      <c r="A1318" s="913"/>
      <c r="B1318" s="913"/>
      <c r="C1318" s="913"/>
      <c r="D1318" s="913"/>
      <c r="E1318" s="913"/>
      <c r="F1318" s="913"/>
      <c r="G1318" s="177"/>
      <c r="H1318" s="913"/>
      <c r="I1318" s="913"/>
      <c r="J1318" s="912"/>
      <c r="K1318" s="913"/>
      <c r="L1318" s="913"/>
      <c r="M1318" s="913"/>
      <c r="N1318" s="913"/>
      <c r="O1318" s="115"/>
      <c r="P1318" s="115"/>
      <c r="Q1318" s="116"/>
      <c r="R1318" s="116"/>
      <c r="S1318" s="117"/>
    </row>
    <row r="1319" spans="1:19" s="146" customFormat="1" ht="18" customHeight="1">
      <c r="A1319" s="913"/>
      <c r="B1319" s="913"/>
      <c r="C1319" s="913"/>
      <c r="D1319" s="913"/>
      <c r="E1319" s="913"/>
      <c r="F1319" s="913"/>
      <c r="G1319" s="177"/>
      <c r="H1319" s="913"/>
      <c r="I1319" s="913"/>
      <c r="J1319" s="912"/>
      <c r="K1319" s="913"/>
      <c r="L1319" s="913"/>
      <c r="M1319" s="913"/>
      <c r="N1319" s="913"/>
      <c r="O1319" s="115"/>
      <c r="P1319" s="115"/>
      <c r="Q1319" s="116"/>
      <c r="R1319" s="116"/>
      <c r="S1319" s="117"/>
    </row>
    <row r="1320" spans="1:19" s="146" customFormat="1" ht="18" customHeight="1">
      <c r="A1320" s="913"/>
      <c r="B1320" s="913"/>
      <c r="C1320" s="913"/>
      <c r="D1320" s="913"/>
      <c r="E1320" s="913"/>
      <c r="F1320" s="913"/>
      <c r="G1320" s="177"/>
      <c r="H1320" s="913"/>
      <c r="I1320" s="913"/>
      <c r="J1320" s="912"/>
      <c r="K1320" s="913"/>
      <c r="L1320" s="913"/>
      <c r="M1320" s="913"/>
      <c r="N1320" s="913"/>
      <c r="O1320" s="115"/>
      <c r="P1320" s="115"/>
      <c r="Q1320" s="116"/>
      <c r="R1320" s="116"/>
      <c r="S1320" s="117"/>
    </row>
    <row r="1321" spans="1:19" s="146" customFormat="1" ht="18" customHeight="1">
      <c r="A1321" s="913"/>
      <c r="B1321" s="913"/>
      <c r="C1321" s="913"/>
      <c r="D1321" s="913"/>
      <c r="E1321" s="913"/>
      <c r="F1321" s="913"/>
      <c r="G1321" s="177"/>
      <c r="H1321" s="913"/>
      <c r="I1321" s="913"/>
      <c r="J1321" s="912"/>
      <c r="K1321" s="913"/>
      <c r="L1321" s="913"/>
      <c r="M1321" s="913"/>
      <c r="N1321" s="913"/>
      <c r="O1321" s="115"/>
      <c r="P1321" s="115"/>
      <c r="Q1321" s="116"/>
      <c r="R1321" s="116"/>
      <c r="S1321" s="117"/>
    </row>
    <row r="1322" spans="1:19" s="146" customFormat="1" ht="18" customHeight="1">
      <c r="A1322" s="913"/>
      <c r="B1322" s="913"/>
      <c r="C1322" s="913"/>
      <c r="D1322" s="913"/>
      <c r="E1322" s="913"/>
      <c r="F1322" s="913"/>
      <c r="G1322" s="177"/>
      <c r="H1322" s="913"/>
      <c r="I1322" s="913"/>
      <c r="J1322" s="912"/>
      <c r="K1322" s="913"/>
      <c r="L1322" s="913"/>
      <c r="M1322" s="913"/>
      <c r="N1322" s="913"/>
      <c r="O1322" s="115"/>
      <c r="P1322" s="115"/>
      <c r="Q1322" s="116"/>
      <c r="R1322" s="116"/>
      <c r="S1322" s="117"/>
    </row>
    <row r="1323" spans="1:19" s="146" customFormat="1" ht="18" customHeight="1">
      <c r="A1323" s="913"/>
      <c r="B1323" s="913"/>
      <c r="C1323" s="913"/>
      <c r="D1323" s="913"/>
      <c r="E1323" s="913"/>
      <c r="F1323" s="913"/>
      <c r="G1323" s="177"/>
      <c r="H1323" s="913"/>
      <c r="I1323" s="913"/>
      <c r="J1323" s="912"/>
      <c r="K1323" s="913"/>
      <c r="L1323" s="913"/>
      <c r="M1323" s="913"/>
      <c r="N1323" s="913"/>
      <c r="O1323" s="115"/>
      <c r="P1323" s="115"/>
      <c r="Q1323" s="116"/>
      <c r="R1323" s="116"/>
      <c r="S1323" s="117"/>
    </row>
    <row r="1324" spans="1:19" s="146" customFormat="1" ht="18" customHeight="1">
      <c r="A1324" s="913"/>
      <c r="B1324" s="913"/>
      <c r="C1324" s="913"/>
      <c r="D1324" s="913"/>
      <c r="E1324" s="913"/>
      <c r="F1324" s="913"/>
      <c r="G1324" s="177"/>
      <c r="H1324" s="913"/>
      <c r="I1324" s="913"/>
      <c r="J1324" s="912"/>
      <c r="K1324" s="913"/>
      <c r="L1324" s="913"/>
      <c r="M1324" s="913"/>
      <c r="N1324" s="913"/>
      <c r="O1324" s="115"/>
      <c r="P1324" s="115"/>
      <c r="Q1324" s="116"/>
      <c r="R1324" s="116"/>
      <c r="S1324" s="117"/>
    </row>
    <row r="1325" spans="1:19" s="146" customFormat="1" ht="18" customHeight="1">
      <c r="A1325" s="913"/>
      <c r="B1325" s="913"/>
      <c r="C1325" s="913"/>
      <c r="D1325" s="913"/>
      <c r="E1325" s="913"/>
      <c r="F1325" s="913"/>
      <c r="G1325" s="177"/>
      <c r="H1325" s="913"/>
      <c r="I1325" s="913"/>
      <c r="J1325" s="912"/>
      <c r="K1325" s="913"/>
      <c r="L1325" s="913"/>
      <c r="M1325" s="913"/>
      <c r="N1325" s="913"/>
      <c r="O1325" s="115"/>
      <c r="P1325" s="115"/>
      <c r="Q1325" s="116"/>
      <c r="R1325" s="116"/>
      <c r="S1325" s="117"/>
    </row>
    <row r="1326" spans="1:19" s="146" customFormat="1" ht="18" customHeight="1">
      <c r="A1326" s="913"/>
      <c r="B1326" s="913"/>
      <c r="C1326" s="913"/>
      <c r="D1326" s="913"/>
      <c r="E1326" s="913"/>
      <c r="F1326" s="913"/>
      <c r="G1326" s="177"/>
      <c r="H1326" s="913"/>
      <c r="I1326" s="913"/>
      <c r="J1326" s="912"/>
      <c r="K1326" s="913"/>
      <c r="L1326" s="913"/>
      <c r="M1326" s="913"/>
      <c r="N1326" s="913"/>
      <c r="O1326" s="115"/>
      <c r="P1326" s="115"/>
      <c r="Q1326" s="116"/>
      <c r="R1326" s="116"/>
      <c r="S1326" s="117"/>
    </row>
    <row r="1327" spans="1:19" ht="18" customHeight="1">
      <c r="A1327" s="1556" t="s">
        <v>1579</v>
      </c>
      <c r="B1327" s="1556"/>
      <c r="C1327" s="1556"/>
      <c r="D1327" s="1556"/>
      <c r="E1327" s="1556"/>
      <c r="F1327" s="1556"/>
      <c r="G1327" s="1556"/>
      <c r="H1327" s="1556"/>
      <c r="I1327" s="1556"/>
      <c r="J1327" s="1556"/>
      <c r="K1327" s="1556"/>
      <c r="L1327" s="1556"/>
      <c r="M1327" s="1556"/>
      <c r="N1327" s="922"/>
    </row>
    <row r="1328" spans="1:19" ht="18" customHeight="1">
      <c r="I1328" s="115"/>
      <c r="J1328" s="115">
        <f>SUM(J124+J272+J360+J437+J508+J585+J661+J725+J797+J861+J939+J1016+J1084+J1218+J1303)</f>
        <v>50244552</v>
      </c>
      <c r="K1328" s="115">
        <f t="shared" ref="K1328:M1328" si="0">SUM(K124+K272+K360+K437+K508+K585+K661+K725+K797+K861+K939+K1016+K1084+K1218+K1303)</f>
        <v>0</v>
      </c>
      <c r="L1328" s="115">
        <f t="shared" si="0"/>
        <v>6983935</v>
      </c>
      <c r="M1328" s="115">
        <f t="shared" si="0"/>
        <v>1592685</v>
      </c>
      <c r="N1328" s="115"/>
      <c r="O1328" s="115">
        <f>SUM(O1303+O1218+O1167+O1084+O1016+O939+O861+O797+O725+O661+O585+O508+O437+O360+O271+O201++O123+O69+O7)</f>
        <v>53161917</v>
      </c>
    </row>
    <row r="1329" spans="3:19" ht="18" customHeight="1">
      <c r="J1329" s="255">
        <f>SUM(J1303+J1218+J1084+J1016+J939+J861+J797+J725+J661+J585+J508+J437+J360+J272+J123)</f>
        <v>45840096</v>
      </c>
      <c r="L1329" s="256"/>
      <c r="M1329" s="255">
        <f>SUM(M1303+M1218+M1084+M1016+M939+M861+M797+M725+M661+M585+M508+M437+M360+M272+M123)</f>
        <v>1449635</v>
      </c>
      <c r="N1329" s="255"/>
      <c r="O1329" s="115">
        <f>SUM(O9:O1303)</f>
        <v>106323834</v>
      </c>
    </row>
    <row r="1330" spans="3:19" ht="18" customHeight="1">
      <c r="J1330" s="257">
        <f>J1329-'[2]LBP NO. 3'!J481</f>
        <v>13290828</v>
      </c>
      <c r="M1330" s="178">
        <f>M1329-'[2]LBP NO. 3'!M481</f>
        <v>-1743158</v>
      </c>
      <c r="O1330" s="115">
        <f>O1329-'[3]LBP NO. 3a per office'!$O$1330</f>
        <v>106323834</v>
      </c>
    </row>
    <row r="1331" spans="3:19" ht="18" customHeight="1"/>
    <row r="1332" spans="3:19" ht="18" customHeight="1"/>
    <row r="1333" spans="3:19" ht="18" customHeight="1"/>
    <row r="1334" spans="3:19" ht="18" customHeight="1"/>
    <row r="1335" spans="3:19" ht="18" customHeight="1"/>
    <row r="1336" spans="3:19" ht="18" customHeight="1"/>
    <row r="1337" spans="3:19" ht="18" customHeight="1">
      <c r="C1337" s="118"/>
      <c r="D1337" s="118"/>
      <c r="K1337" s="118"/>
      <c r="L1337" s="118"/>
      <c r="M1337" s="118"/>
      <c r="N1337" s="118"/>
      <c r="O1337" s="118"/>
      <c r="P1337" s="118"/>
      <c r="Q1337" s="118"/>
      <c r="R1337" s="118"/>
      <c r="S1337" s="118"/>
    </row>
    <row r="1338" spans="3:19" ht="18" customHeight="1">
      <c r="C1338" s="118"/>
      <c r="D1338" s="118"/>
      <c r="K1338" s="118"/>
      <c r="L1338" s="118"/>
      <c r="M1338" s="118"/>
      <c r="N1338" s="118"/>
      <c r="O1338" s="118"/>
      <c r="P1338" s="118"/>
      <c r="Q1338" s="118"/>
      <c r="R1338" s="118"/>
      <c r="S1338" s="118"/>
    </row>
    <row r="1339" spans="3:19" ht="18" customHeight="1">
      <c r="C1339" s="118"/>
      <c r="D1339" s="118"/>
      <c r="K1339" s="118"/>
      <c r="L1339" s="118"/>
      <c r="M1339" s="118"/>
      <c r="N1339" s="118"/>
      <c r="O1339" s="118"/>
      <c r="P1339" s="118"/>
      <c r="Q1339" s="118"/>
      <c r="R1339" s="118"/>
      <c r="S1339" s="118"/>
    </row>
    <row r="1340" spans="3:19" ht="18" customHeight="1">
      <c r="C1340" s="118"/>
      <c r="D1340" s="118"/>
      <c r="K1340" s="118"/>
      <c r="L1340" s="118"/>
      <c r="M1340" s="118"/>
      <c r="N1340" s="118"/>
      <c r="O1340" s="118"/>
      <c r="P1340" s="118"/>
      <c r="Q1340" s="118"/>
      <c r="R1340" s="118"/>
      <c r="S1340" s="118"/>
    </row>
    <row r="1341" spans="3:19" ht="18" customHeight="1">
      <c r="C1341" s="118"/>
      <c r="D1341" s="118"/>
      <c r="K1341" s="118"/>
      <c r="L1341" s="118"/>
      <c r="M1341" s="118"/>
      <c r="N1341" s="118"/>
      <c r="O1341" s="118"/>
      <c r="P1341" s="118"/>
      <c r="Q1341" s="118"/>
      <c r="R1341" s="118"/>
      <c r="S1341" s="118"/>
    </row>
    <row r="1342" spans="3:19" ht="18" customHeight="1">
      <c r="C1342" s="118"/>
      <c r="D1342" s="118"/>
      <c r="K1342" s="118"/>
      <c r="L1342" s="118"/>
      <c r="M1342" s="118"/>
      <c r="N1342" s="118"/>
      <c r="O1342" s="118"/>
      <c r="P1342" s="118"/>
      <c r="Q1342" s="118"/>
      <c r="R1342" s="118"/>
      <c r="S1342" s="118"/>
    </row>
    <row r="1343" spans="3:19" ht="18" customHeight="1">
      <c r="C1343" s="118"/>
      <c r="D1343" s="118"/>
      <c r="K1343" s="118"/>
      <c r="L1343" s="118"/>
      <c r="M1343" s="118"/>
      <c r="N1343" s="118"/>
      <c r="O1343" s="118"/>
      <c r="P1343" s="118"/>
      <c r="Q1343" s="118"/>
      <c r="R1343" s="118"/>
      <c r="S1343" s="118"/>
    </row>
    <row r="1344" spans="3:19" ht="18" customHeight="1">
      <c r="C1344" s="118"/>
      <c r="D1344" s="118"/>
      <c r="K1344" s="118"/>
      <c r="L1344" s="118"/>
      <c r="M1344" s="118"/>
      <c r="N1344" s="118"/>
      <c r="O1344" s="118"/>
      <c r="P1344" s="118"/>
      <c r="Q1344" s="118"/>
      <c r="R1344" s="118"/>
      <c r="S1344" s="118"/>
    </row>
    <row r="1345" spans="3:19" ht="18" customHeight="1">
      <c r="C1345" s="118"/>
      <c r="D1345" s="118"/>
      <c r="K1345" s="118"/>
      <c r="L1345" s="118"/>
      <c r="M1345" s="118"/>
      <c r="N1345" s="118"/>
      <c r="O1345" s="118"/>
      <c r="P1345" s="118"/>
      <c r="Q1345" s="118"/>
      <c r="R1345" s="118"/>
      <c r="S1345" s="118"/>
    </row>
    <row r="1346" spans="3:19" ht="18" customHeight="1">
      <c r="C1346" s="118"/>
      <c r="D1346" s="118"/>
      <c r="K1346" s="118"/>
      <c r="L1346" s="118"/>
      <c r="M1346" s="118"/>
      <c r="N1346" s="118"/>
      <c r="O1346" s="118"/>
      <c r="P1346" s="118"/>
      <c r="Q1346" s="118"/>
      <c r="R1346" s="118"/>
      <c r="S1346" s="118"/>
    </row>
    <row r="1347" spans="3:19" ht="18" customHeight="1">
      <c r="C1347" s="118"/>
      <c r="D1347" s="118"/>
      <c r="K1347" s="118"/>
      <c r="L1347" s="118"/>
      <c r="M1347" s="118"/>
      <c r="N1347" s="118"/>
      <c r="O1347" s="118"/>
      <c r="P1347" s="118"/>
      <c r="Q1347" s="118"/>
      <c r="R1347" s="118"/>
      <c r="S1347" s="118"/>
    </row>
    <row r="1348" spans="3:19" ht="18" customHeight="1">
      <c r="C1348" s="118"/>
      <c r="D1348" s="118"/>
      <c r="K1348" s="118"/>
      <c r="L1348" s="118"/>
      <c r="M1348" s="118"/>
      <c r="N1348" s="118"/>
      <c r="O1348" s="118"/>
      <c r="P1348" s="118"/>
      <c r="Q1348" s="118"/>
      <c r="R1348" s="118"/>
      <c r="S1348" s="118"/>
    </row>
    <row r="1349" spans="3:19" ht="18" customHeight="1">
      <c r="C1349" s="118"/>
      <c r="D1349" s="118"/>
      <c r="K1349" s="118"/>
      <c r="L1349" s="118"/>
      <c r="M1349" s="118"/>
      <c r="N1349" s="118"/>
      <c r="O1349" s="118"/>
      <c r="P1349" s="118"/>
      <c r="Q1349" s="118"/>
      <c r="R1349" s="118"/>
      <c r="S1349" s="118"/>
    </row>
    <row r="1350" spans="3:19" ht="18" customHeight="1">
      <c r="C1350" s="118"/>
      <c r="D1350" s="118"/>
      <c r="K1350" s="118"/>
      <c r="L1350" s="118"/>
      <c r="M1350" s="118"/>
      <c r="N1350" s="118"/>
      <c r="O1350" s="118"/>
      <c r="P1350" s="118"/>
      <c r="Q1350" s="118"/>
      <c r="R1350" s="118"/>
      <c r="S1350" s="118"/>
    </row>
    <row r="1351" spans="3:19" ht="18" customHeight="1">
      <c r="C1351" s="118"/>
      <c r="D1351" s="118"/>
      <c r="K1351" s="118"/>
      <c r="L1351" s="118"/>
      <c r="M1351" s="118"/>
      <c r="N1351" s="118"/>
      <c r="O1351" s="118"/>
      <c r="P1351" s="118"/>
      <c r="Q1351" s="118"/>
      <c r="R1351" s="118"/>
      <c r="S1351" s="118"/>
    </row>
    <row r="1352" spans="3:19" ht="18" customHeight="1">
      <c r="C1352" s="118"/>
      <c r="D1352" s="118"/>
      <c r="K1352" s="118"/>
      <c r="L1352" s="118"/>
      <c r="M1352" s="118"/>
      <c r="N1352" s="118"/>
      <c r="O1352" s="118"/>
      <c r="P1352" s="118"/>
      <c r="Q1352" s="118"/>
      <c r="R1352" s="118"/>
      <c r="S1352" s="118"/>
    </row>
    <row r="1353" spans="3:19" ht="18" customHeight="1">
      <c r="C1353" s="118"/>
      <c r="D1353" s="118"/>
      <c r="K1353" s="118"/>
      <c r="L1353" s="118"/>
      <c r="M1353" s="118"/>
      <c r="N1353" s="118"/>
      <c r="O1353" s="118"/>
      <c r="P1353" s="118"/>
      <c r="Q1353" s="118"/>
      <c r="R1353" s="118"/>
      <c r="S1353" s="118"/>
    </row>
    <row r="1354" spans="3:19" ht="18" customHeight="1">
      <c r="C1354" s="118"/>
      <c r="D1354" s="118"/>
      <c r="K1354" s="118"/>
      <c r="L1354" s="118"/>
      <c r="M1354" s="118"/>
      <c r="N1354" s="118"/>
      <c r="O1354" s="118"/>
      <c r="P1354" s="118"/>
      <c r="Q1354" s="118"/>
      <c r="R1354" s="118"/>
      <c r="S1354" s="118"/>
    </row>
    <row r="1355" spans="3:19" ht="18" customHeight="1">
      <c r="C1355" s="118"/>
      <c r="D1355" s="118"/>
      <c r="K1355" s="118"/>
      <c r="L1355" s="118"/>
      <c r="M1355" s="118"/>
      <c r="N1355" s="118"/>
      <c r="O1355" s="118"/>
      <c r="P1355" s="118"/>
      <c r="Q1355" s="118"/>
      <c r="R1355" s="118"/>
      <c r="S1355" s="118"/>
    </row>
    <row r="1356" spans="3:19" ht="18" customHeight="1">
      <c r="C1356" s="118"/>
      <c r="D1356" s="118"/>
      <c r="K1356" s="118"/>
      <c r="L1356" s="118"/>
      <c r="M1356" s="118"/>
      <c r="N1356" s="118"/>
      <c r="O1356" s="118"/>
      <c r="P1356" s="118"/>
      <c r="Q1356" s="118"/>
      <c r="R1356" s="118"/>
      <c r="S1356" s="118"/>
    </row>
    <row r="1357" spans="3:19" ht="18" customHeight="1">
      <c r="C1357" s="118"/>
      <c r="D1357" s="118"/>
      <c r="K1357" s="118"/>
      <c r="L1357" s="118"/>
      <c r="M1357" s="118"/>
      <c r="N1357" s="118"/>
      <c r="O1357" s="118"/>
      <c r="P1357" s="118"/>
      <c r="Q1357" s="118"/>
      <c r="R1357" s="118"/>
      <c r="S1357" s="118"/>
    </row>
    <row r="1358" spans="3:19" ht="18" customHeight="1">
      <c r="C1358" s="118"/>
      <c r="D1358" s="118"/>
      <c r="K1358" s="118"/>
      <c r="L1358" s="118"/>
      <c r="M1358" s="118"/>
      <c r="N1358" s="118"/>
      <c r="O1358" s="118"/>
      <c r="P1358" s="118"/>
      <c r="Q1358" s="118"/>
      <c r="R1358" s="118"/>
      <c r="S1358" s="118"/>
    </row>
    <row r="1359" spans="3:19" ht="18" customHeight="1">
      <c r="C1359" s="118"/>
      <c r="D1359" s="118"/>
      <c r="K1359" s="118"/>
      <c r="L1359" s="118"/>
      <c r="M1359" s="118"/>
      <c r="N1359" s="118"/>
      <c r="O1359" s="118"/>
      <c r="P1359" s="118"/>
      <c r="Q1359" s="118"/>
      <c r="R1359" s="118"/>
      <c r="S1359" s="118"/>
    </row>
    <row r="1360" spans="3:19" ht="18" customHeight="1">
      <c r="C1360" s="118"/>
      <c r="D1360" s="118"/>
      <c r="K1360" s="118"/>
      <c r="L1360" s="118"/>
      <c r="M1360" s="118"/>
      <c r="N1360" s="118"/>
      <c r="O1360" s="118"/>
      <c r="P1360" s="118"/>
      <c r="Q1360" s="118"/>
      <c r="R1360" s="118"/>
      <c r="S1360" s="118"/>
    </row>
    <row r="1361" spans="3:19" ht="18" customHeight="1">
      <c r="C1361" s="118"/>
      <c r="D1361" s="118"/>
      <c r="K1361" s="118"/>
      <c r="L1361" s="118"/>
      <c r="M1361" s="118"/>
      <c r="N1361" s="118"/>
      <c r="O1361" s="118"/>
      <c r="P1361" s="118"/>
      <c r="Q1361" s="118"/>
      <c r="R1361" s="118"/>
      <c r="S1361" s="118"/>
    </row>
    <row r="1362" spans="3:19" ht="18" customHeight="1">
      <c r="C1362" s="118"/>
      <c r="D1362" s="118"/>
      <c r="K1362" s="118"/>
      <c r="L1362" s="118"/>
      <c r="M1362" s="118"/>
      <c r="N1362" s="118"/>
      <c r="O1362" s="118"/>
      <c r="P1362" s="118"/>
      <c r="Q1362" s="118"/>
      <c r="R1362" s="118"/>
      <c r="S1362" s="118"/>
    </row>
    <row r="1363" spans="3:19" ht="18" customHeight="1">
      <c r="C1363" s="118"/>
      <c r="D1363" s="118"/>
      <c r="K1363" s="118"/>
      <c r="L1363" s="118"/>
      <c r="M1363" s="118"/>
      <c r="N1363" s="118"/>
      <c r="O1363" s="118"/>
      <c r="P1363" s="118"/>
      <c r="Q1363" s="118"/>
      <c r="R1363" s="118"/>
      <c r="S1363" s="118"/>
    </row>
    <row r="1364" spans="3:19" ht="18" customHeight="1">
      <c r="C1364" s="118"/>
      <c r="D1364" s="118"/>
      <c r="K1364" s="118"/>
      <c r="L1364" s="118"/>
      <c r="M1364" s="118"/>
      <c r="N1364" s="118"/>
      <c r="O1364" s="118"/>
      <c r="P1364" s="118"/>
      <c r="Q1364" s="118"/>
      <c r="R1364" s="118"/>
      <c r="S1364" s="118"/>
    </row>
    <row r="1365" spans="3:19" ht="18" customHeight="1">
      <c r="C1365" s="118"/>
      <c r="D1365" s="118"/>
      <c r="K1365" s="118"/>
      <c r="L1365" s="118"/>
      <c r="M1365" s="118"/>
      <c r="N1365" s="118"/>
      <c r="O1365" s="118"/>
      <c r="P1365" s="118"/>
      <c r="Q1365" s="118"/>
      <c r="R1365" s="118"/>
      <c r="S1365" s="118"/>
    </row>
    <row r="1366" spans="3:19" ht="18" customHeight="1">
      <c r="C1366" s="118"/>
      <c r="D1366" s="118"/>
      <c r="K1366" s="118"/>
      <c r="L1366" s="118"/>
      <c r="M1366" s="118"/>
      <c r="N1366" s="118"/>
      <c r="O1366" s="118"/>
      <c r="P1366" s="118"/>
      <c r="Q1366" s="118"/>
      <c r="R1366" s="118"/>
      <c r="S1366" s="118"/>
    </row>
    <row r="1367" spans="3:19" ht="18" customHeight="1">
      <c r="C1367" s="118"/>
      <c r="D1367" s="118"/>
      <c r="K1367" s="118"/>
      <c r="L1367" s="118"/>
      <c r="M1367" s="118"/>
      <c r="N1367" s="118"/>
      <c r="O1367" s="118"/>
      <c r="P1367" s="118"/>
      <c r="Q1367" s="118"/>
      <c r="R1367" s="118"/>
      <c r="S1367" s="118"/>
    </row>
    <row r="1368" spans="3:19" ht="18" customHeight="1">
      <c r="C1368" s="118"/>
      <c r="D1368" s="118"/>
      <c r="K1368" s="118"/>
      <c r="L1368" s="118"/>
      <c r="M1368" s="118"/>
      <c r="N1368" s="118"/>
      <c r="O1368" s="118"/>
      <c r="P1368" s="118"/>
      <c r="Q1368" s="118"/>
      <c r="R1368" s="118"/>
      <c r="S1368" s="118"/>
    </row>
    <row r="1369" spans="3:19" ht="18" customHeight="1">
      <c r="C1369" s="118"/>
      <c r="D1369" s="118"/>
      <c r="K1369" s="118"/>
      <c r="L1369" s="118"/>
      <c r="M1369" s="118"/>
      <c r="N1369" s="118"/>
      <c r="O1369" s="118"/>
      <c r="P1369" s="118"/>
      <c r="Q1369" s="118"/>
      <c r="R1369" s="118"/>
      <c r="S1369" s="118"/>
    </row>
    <row r="1370" spans="3:19" ht="18" customHeight="1">
      <c r="C1370" s="118"/>
      <c r="D1370" s="118"/>
      <c r="K1370" s="118"/>
      <c r="L1370" s="118"/>
      <c r="M1370" s="118"/>
      <c r="N1370" s="118"/>
      <c r="O1370" s="118"/>
      <c r="P1370" s="118"/>
      <c r="Q1370" s="118"/>
      <c r="R1370" s="118"/>
      <c r="S1370" s="118"/>
    </row>
    <row r="1371" spans="3:19" ht="18" customHeight="1">
      <c r="C1371" s="118"/>
      <c r="D1371" s="118"/>
      <c r="K1371" s="118"/>
      <c r="L1371" s="118"/>
      <c r="M1371" s="118"/>
      <c r="N1371" s="118"/>
      <c r="O1371" s="118"/>
      <c r="P1371" s="118"/>
      <c r="Q1371" s="118"/>
      <c r="R1371" s="118"/>
      <c r="S1371" s="118"/>
    </row>
    <row r="1372" spans="3:19" ht="18" customHeight="1">
      <c r="C1372" s="118"/>
      <c r="D1372" s="118"/>
      <c r="K1372" s="118"/>
      <c r="L1372" s="118"/>
      <c r="M1372" s="118"/>
      <c r="N1372" s="118"/>
      <c r="O1372" s="118"/>
      <c r="P1372" s="118"/>
      <c r="Q1372" s="118"/>
      <c r="R1372" s="118"/>
      <c r="S1372" s="118"/>
    </row>
    <row r="1373" spans="3:19" ht="18" customHeight="1">
      <c r="C1373" s="118"/>
      <c r="D1373" s="118"/>
      <c r="K1373" s="118"/>
      <c r="L1373" s="118"/>
      <c r="M1373" s="118"/>
      <c r="N1373" s="118"/>
      <c r="O1373" s="118"/>
      <c r="P1373" s="118"/>
      <c r="Q1373" s="118"/>
      <c r="R1373" s="118"/>
      <c r="S1373" s="118"/>
    </row>
    <row r="1374" spans="3:19" ht="18" customHeight="1">
      <c r="C1374" s="118"/>
      <c r="D1374" s="118"/>
      <c r="K1374" s="118"/>
      <c r="L1374" s="118"/>
      <c r="M1374" s="118"/>
      <c r="N1374" s="118"/>
      <c r="O1374" s="118"/>
      <c r="P1374" s="118"/>
      <c r="Q1374" s="118"/>
      <c r="R1374" s="118"/>
      <c r="S1374" s="118"/>
    </row>
    <row r="1375" spans="3:19" ht="18" customHeight="1">
      <c r="C1375" s="118"/>
      <c r="D1375" s="118"/>
      <c r="K1375" s="118"/>
      <c r="L1375" s="118"/>
      <c r="M1375" s="118"/>
      <c r="N1375" s="118"/>
      <c r="O1375" s="118"/>
      <c r="P1375" s="118"/>
      <c r="Q1375" s="118"/>
      <c r="R1375" s="118"/>
      <c r="S1375" s="118"/>
    </row>
    <row r="1376" spans="3:19" ht="18" customHeight="1">
      <c r="C1376" s="118"/>
      <c r="D1376" s="118"/>
      <c r="K1376" s="118"/>
      <c r="L1376" s="118"/>
      <c r="M1376" s="118"/>
      <c r="N1376" s="118"/>
      <c r="O1376" s="118"/>
      <c r="P1376" s="118"/>
      <c r="Q1376" s="118"/>
      <c r="R1376" s="118"/>
      <c r="S1376" s="118"/>
    </row>
    <row r="1377" spans="3:19" ht="18" customHeight="1">
      <c r="C1377" s="118"/>
      <c r="D1377" s="118"/>
      <c r="K1377" s="118"/>
      <c r="L1377" s="118"/>
      <c r="M1377" s="118"/>
      <c r="N1377" s="118"/>
      <c r="O1377" s="118"/>
      <c r="P1377" s="118"/>
      <c r="Q1377" s="118"/>
      <c r="R1377" s="118"/>
      <c r="S1377" s="118"/>
    </row>
    <row r="1378" spans="3:19" ht="18" customHeight="1">
      <c r="C1378" s="118"/>
      <c r="D1378" s="118"/>
      <c r="K1378" s="118"/>
      <c r="L1378" s="118"/>
      <c r="M1378" s="118"/>
      <c r="N1378" s="118"/>
      <c r="O1378" s="118"/>
      <c r="P1378" s="118"/>
      <c r="Q1378" s="118"/>
      <c r="R1378" s="118"/>
      <c r="S1378" s="118"/>
    </row>
    <row r="1379" spans="3:19" ht="18" customHeight="1">
      <c r="C1379" s="118"/>
      <c r="D1379" s="118"/>
      <c r="K1379" s="118"/>
      <c r="L1379" s="118"/>
      <c r="M1379" s="118"/>
      <c r="N1379" s="118"/>
      <c r="O1379" s="118"/>
      <c r="P1379" s="118"/>
      <c r="Q1379" s="118"/>
      <c r="R1379" s="118"/>
      <c r="S1379" s="118"/>
    </row>
    <row r="1380" spans="3:19" ht="18" customHeight="1">
      <c r="C1380" s="118"/>
      <c r="D1380" s="118"/>
      <c r="K1380" s="118"/>
      <c r="L1380" s="118"/>
      <c r="M1380" s="118"/>
      <c r="N1380" s="118"/>
      <c r="O1380" s="118"/>
      <c r="P1380" s="118"/>
      <c r="Q1380" s="118"/>
      <c r="R1380" s="118"/>
      <c r="S1380" s="118"/>
    </row>
    <row r="1381" spans="3:19" ht="18" customHeight="1">
      <c r="C1381" s="118"/>
      <c r="D1381" s="118"/>
      <c r="K1381" s="118"/>
      <c r="L1381" s="118"/>
      <c r="M1381" s="118"/>
      <c r="N1381" s="118"/>
      <c r="O1381" s="118"/>
      <c r="P1381" s="118"/>
      <c r="Q1381" s="118"/>
      <c r="R1381" s="118"/>
      <c r="S1381" s="118"/>
    </row>
    <row r="1382" spans="3:19" ht="18" customHeight="1">
      <c r="C1382" s="118"/>
      <c r="D1382" s="118"/>
      <c r="K1382" s="118"/>
      <c r="L1382" s="118"/>
      <c r="M1382" s="118"/>
      <c r="N1382" s="118"/>
      <c r="O1382" s="118"/>
      <c r="P1382" s="118"/>
      <c r="Q1382" s="118"/>
      <c r="R1382" s="118"/>
      <c r="S1382" s="118"/>
    </row>
    <row r="1383" spans="3:19" ht="18" customHeight="1">
      <c r="C1383" s="118"/>
      <c r="D1383" s="118"/>
      <c r="K1383" s="118"/>
      <c r="L1383" s="118"/>
      <c r="M1383" s="118"/>
      <c r="N1383" s="118"/>
      <c r="O1383" s="118"/>
      <c r="P1383" s="118"/>
      <c r="Q1383" s="118"/>
      <c r="R1383" s="118"/>
      <c r="S1383" s="118"/>
    </row>
    <row r="1384" spans="3:19" ht="18" customHeight="1">
      <c r="C1384" s="118"/>
      <c r="D1384" s="118"/>
      <c r="K1384" s="118"/>
      <c r="L1384" s="118"/>
      <c r="M1384" s="118"/>
      <c r="N1384" s="118"/>
      <c r="O1384" s="118"/>
      <c r="P1384" s="118"/>
      <c r="Q1384" s="118"/>
      <c r="R1384" s="118"/>
      <c r="S1384" s="118"/>
    </row>
    <row r="1385" spans="3:19" ht="18" customHeight="1">
      <c r="C1385" s="118"/>
      <c r="D1385" s="118"/>
      <c r="K1385" s="118"/>
      <c r="L1385" s="118"/>
      <c r="M1385" s="118"/>
      <c r="N1385" s="118"/>
      <c r="O1385" s="118"/>
      <c r="P1385" s="118"/>
      <c r="Q1385" s="118"/>
      <c r="R1385" s="118"/>
      <c r="S1385" s="118"/>
    </row>
    <row r="1386" spans="3:19" ht="18" customHeight="1">
      <c r="C1386" s="118"/>
      <c r="D1386" s="118"/>
      <c r="K1386" s="118"/>
      <c r="L1386" s="118"/>
      <c r="M1386" s="118"/>
      <c r="N1386" s="118"/>
      <c r="O1386" s="118"/>
      <c r="P1386" s="118"/>
      <c r="Q1386" s="118"/>
      <c r="R1386" s="118"/>
      <c r="S1386" s="118"/>
    </row>
    <row r="1387" spans="3:19" ht="18" customHeight="1">
      <c r="C1387" s="118"/>
      <c r="D1387" s="118"/>
      <c r="K1387" s="118"/>
      <c r="L1387" s="118"/>
      <c r="M1387" s="118"/>
      <c r="N1387" s="118"/>
      <c r="O1387" s="118"/>
      <c r="P1387" s="118"/>
      <c r="Q1387" s="118"/>
      <c r="R1387" s="118"/>
      <c r="S1387" s="118"/>
    </row>
    <row r="1388" spans="3:19" ht="18" customHeight="1">
      <c r="C1388" s="118"/>
      <c r="D1388" s="118"/>
      <c r="K1388" s="118"/>
      <c r="L1388" s="118"/>
      <c r="M1388" s="118"/>
      <c r="N1388" s="118"/>
      <c r="O1388" s="118"/>
      <c r="P1388" s="118"/>
      <c r="Q1388" s="118"/>
      <c r="R1388" s="118"/>
      <c r="S1388" s="118"/>
    </row>
    <row r="1389" spans="3:19" ht="18" customHeight="1">
      <c r="C1389" s="118"/>
      <c r="D1389" s="118"/>
      <c r="K1389" s="118"/>
      <c r="L1389" s="118"/>
      <c r="M1389" s="118"/>
      <c r="N1389" s="118"/>
      <c r="O1389" s="118"/>
      <c r="P1389" s="118"/>
      <c r="Q1389" s="118"/>
      <c r="R1389" s="118"/>
      <c r="S1389" s="118"/>
    </row>
    <row r="1390" spans="3:19" ht="18" customHeight="1">
      <c r="C1390" s="118"/>
      <c r="D1390" s="118"/>
      <c r="K1390" s="118"/>
      <c r="L1390" s="118"/>
      <c r="M1390" s="118"/>
      <c r="N1390" s="118"/>
      <c r="O1390" s="118"/>
      <c r="P1390" s="118"/>
      <c r="Q1390" s="118"/>
      <c r="R1390" s="118"/>
      <c r="S1390" s="118"/>
    </row>
    <row r="1391" spans="3:19" ht="18" customHeight="1">
      <c r="C1391" s="118"/>
      <c r="D1391" s="118"/>
      <c r="K1391" s="118"/>
      <c r="L1391" s="118"/>
      <c r="M1391" s="118"/>
      <c r="N1391" s="118"/>
      <c r="O1391" s="118"/>
      <c r="P1391" s="118"/>
      <c r="Q1391" s="118"/>
      <c r="R1391" s="118"/>
      <c r="S1391" s="118"/>
    </row>
    <row r="1392" spans="3:19" ht="18" customHeight="1">
      <c r="C1392" s="118"/>
      <c r="D1392" s="118"/>
      <c r="K1392" s="118"/>
      <c r="L1392" s="118"/>
      <c r="M1392" s="118"/>
      <c r="N1392" s="118"/>
      <c r="O1392" s="118"/>
      <c r="P1392" s="118"/>
      <c r="Q1392" s="118"/>
      <c r="R1392" s="118"/>
      <c r="S1392" s="118"/>
    </row>
    <row r="1393" spans="3:19" ht="18" customHeight="1">
      <c r="C1393" s="118"/>
      <c r="D1393" s="118"/>
      <c r="K1393" s="118"/>
      <c r="L1393" s="118"/>
      <c r="M1393" s="118"/>
      <c r="N1393" s="118"/>
      <c r="O1393" s="118"/>
      <c r="P1393" s="118"/>
      <c r="Q1393" s="118"/>
      <c r="R1393" s="118"/>
      <c r="S1393" s="118"/>
    </row>
    <row r="1394" spans="3:19" ht="18" customHeight="1">
      <c r="C1394" s="118"/>
      <c r="D1394" s="118"/>
      <c r="K1394" s="118"/>
      <c r="L1394" s="118"/>
      <c r="M1394" s="118"/>
      <c r="N1394" s="118"/>
      <c r="O1394" s="118"/>
      <c r="P1394" s="118"/>
      <c r="Q1394" s="118"/>
      <c r="R1394" s="118"/>
      <c r="S1394" s="118"/>
    </row>
    <row r="1395" spans="3:19" ht="18" customHeight="1">
      <c r="C1395" s="118"/>
      <c r="D1395" s="118"/>
      <c r="K1395" s="118"/>
      <c r="L1395" s="118"/>
      <c r="M1395" s="118"/>
      <c r="N1395" s="118"/>
      <c r="O1395" s="118"/>
      <c r="P1395" s="118"/>
      <c r="Q1395" s="118"/>
      <c r="R1395" s="118"/>
      <c r="S1395" s="118"/>
    </row>
    <row r="1396" spans="3:19" ht="18" customHeight="1">
      <c r="C1396" s="118"/>
      <c r="D1396" s="118"/>
      <c r="K1396" s="118"/>
      <c r="L1396" s="118"/>
      <c r="M1396" s="118"/>
      <c r="N1396" s="118"/>
      <c r="O1396" s="118"/>
      <c r="P1396" s="118"/>
      <c r="Q1396" s="118"/>
      <c r="R1396" s="118"/>
      <c r="S1396" s="118"/>
    </row>
    <row r="1397" spans="3:19" ht="18" customHeight="1">
      <c r="C1397" s="118"/>
      <c r="D1397" s="118"/>
      <c r="K1397" s="118"/>
      <c r="L1397" s="118"/>
      <c r="M1397" s="118"/>
      <c r="N1397" s="118"/>
      <c r="O1397" s="118"/>
      <c r="P1397" s="118"/>
      <c r="Q1397" s="118"/>
      <c r="R1397" s="118"/>
      <c r="S1397" s="118"/>
    </row>
    <row r="1398" spans="3:19" ht="18" customHeight="1">
      <c r="C1398" s="118"/>
      <c r="D1398" s="118"/>
      <c r="K1398" s="118"/>
      <c r="L1398" s="118"/>
      <c r="M1398" s="118"/>
      <c r="N1398" s="118"/>
      <c r="O1398" s="118"/>
      <c r="P1398" s="118"/>
      <c r="Q1398" s="118"/>
      <c r="R1398" s="118"/>
      <c r="S1398" s="118"/>
    </row>
    <row r="1399" spans="3:19" ht="18" customHeight="1">
      <c r="C1399" s="118"/>
      <c r="D1399" s="118"/>
      <c r="K1399" s="118"/>
      <c r="L1399" s="118"/>
      <c r="M1399" s="118"/>
      <c r="N1399" s="118"/>
      <c r="O1399" s="118"/>
      <c r="P1399" s="118"/>
      <c r="Q1399" s="118"/>
      <c r="R1399" s="118"/>
      <c r="S1399" s="118"/>
    </row>
    <row r="1400" spans="3:19" ht="18" customHeight="1">
      <c r="C1400" s="118"/>
      <c r="D1400" s="118"/>
      <c r="K1400" s="118"/>
      <c r="L1400" s="118"/>
      <c r="M1400" s="118"/>
      <c r="N1400" s="118"/>
      <c r="O1400" s="118"/>
      <c r="P1400" s="118"/>
      <c r="Q1400" s="118"/>
      <c r="R1400" s="118"/>
      <c r="S1400" s="118"/>
    </row>
    <row r="1401" spans="3:19" ht="18" customHeight="1">
      <c r="C1401" s="118"/>
      <c r="D1401" s="118"/>
      <c r="K1401" s="118"/>
      <c r="L1401" s="118"/>
      <c r="M1401" s="118"/>
      <c r="N1401" s="118"/>
      <c r="O1401" s="118"/>
      <c r="P1401" s="118"/>
      <c r="Q1401" s="118"/>
      <c r="R1401" s="118"/>
      <c r="S1401" s="118"/>
    </row>
    <row r="1402" spans="3:19" ht="18" customHeight="1">
      <c r="C1402" s="118"/>
      <c r="D1402" s="118"/>
      <c r="K1402" s="118"/>
      <c r="L1402" s="118"/>
      <c r="M1402" s="118"/>
      <c r="N1402" s="118"/>
      <c r="O1402" s="118"/>
      <c r="P1402" s="118"/>
      <c r="Q1402" s="118"/>
      <c r="R1402" s="118"/>
      <c r="S1402" s="118"/>
    </row>
    <row r="1403" spans="3:19" ht="18" customHeight="1">
      <c r="C1403" s="118"/>
      <c r="D1403" s="118"/>
      <c r="K1403" s="118"/>
      <c r="L1403" s="118"/>
      <c r="M1403" s="118"/>
      <c r="N1403" s="118"/>
      <c r="O1403" s="118"/>
      <c r="P1403" s="118"/>
      <c r="Q1403" s="118"/>
      <c r="R1403" s="118"/>
      <c r="S1403" s="118"/>
    </row>
    <row r="1404" spans="3:19" ht="18" customHeight="1">
      <c r="C1404" s="118"/>
      <c r="D1404" s="118"/>
      <c r="K1404" s="118"/>
      <c r="L1404" s="118"/>
      <c r="M1404" s="118"/>
      <c r="N1404" s="118"/>
      <c r="O1404" s="118"/>
      <c r="P1404" s="118"/>
      <c r="Q1404" s="118"/>
      <c r="R1404" s="118"/>
      <c r="S1404" s="118"/>
    </row>
  </sheetData>
  <mergeCells count="427">
    <mergeCell ref="A1327:M1327"/>
    <mergeCell ref="B1262:D1262"/>
    <mergeCell ref="E1262:G1262"/>
    <mergeCell ref="A1309:F1309"/>
    <mergeCell ref="H1309:I1309"/>
    <mergeCell ref="K1309:M1309"/>
    <mergeCell ref="A1310:F1310"/>
    <mergeCell ref="H1310:I1310"/>
    <mergeCell ref="K1310:M1310"/>
    <mergeCell ref="B1259:D1259"/>
    <mergeCell ref="E1259:G1259"/>
    <mergeCell ref="I1259:J1259"/>
    <mergeCell ref="K1259:L1259"/>
    <mergeCell ref="I1260:J1260"/>
    <mergeCell ref="K1260:L1260"/>
    <mergeCell ref="A1248:M1248"/>
    <mergeCell ref="A1250:M1250"/>
    <mergeCell ref="A1251:M1251"/>
    <mergeCell ref="A1252:M1252"/>
    <mergeCell ref="A1258:D1258"/>
    <mergeCell ref="E1258:G1258"/>
    <mergeCell ref="I1258:J1258"/>
    <mergeCell ref="K1258:L1258"/>
    <mergeCell ref="A1225:F1225"/>
    <mergeCell ref="H1225:I1225"/>
    <mergeCell ref="K1225:M1225"/>
    <mergeCell ref="E1226:G1226"/>
    <mergeCell ref="K1226:M1226"/>
    <mergeCell ref="A1242:M1242"/>
    <mergeCell ref="I1184:J1184"/>
    <mergeCell ref="K1184:L1184"/>
    <mergeCell ref="B1186:D1186"/>
    <mergeCell ref="E1186:G1186"/>
    <mergeCell ref="A1224:F1224"/>
    <mergeCell ref="H1224:I1224"/>
    <mergeCell ref="K1224:M1224"/>
    <mergeCell ref="A1182:D1182"/>
    <mergeCell ref="E1182:G1182"/>
    <mergeCell ref="I1182:J1182"/>
    <mergeCell ref="K1182:L1182"/>
    <mergeCell ref="B1183:D1183"/>
    <mergeCell ref="E1183:G1183"/>
    <mergeCell ref="I1183:J1183"/>
    <mergeCell ref="K1183:L1183"/>
    <mergeCell ref="B1115:D1115"/>
    <mergeCell ref="E1115:G1115"/>
    <mergeCell ref="A1173:M1173"/>
    <mergeCell ref="A1175:M1175"/>
    <mergeCell ref="A1176:M1176"/>
    <mergeCell ref="A1177:M1177"/>
    <mergeCell ref="B1129:D1129"/>
    <mergeCell ref="B1112:D1112"/>
    <mergeCell ref="E1112:G1112"/>
    <mergeCell ref="I1112:J1112"/>
    <mergeCell ref="K1112:L1112"/>
    <mergeCell ref="I1113:J1113"/>
    <mergeCell ref="K1113:L1113"/>
    <mergeCell ref="A1104:M1104"/>
    <mergeCell ref="A1105:M1105"/>
    <mergeCell ref="A1106:M1106"/>
    <mergeCell ref="A1111:D1111"/>
    <mergeCell ref="E1111:G1111"/>
    <mergeCell ref="I1111:J1111"/>
    <mergeCell ref="K1111:L1111"/>
    <mergeCell ref="A1091:F1091"/>
    <mergeCell ref="H1091:I1091"/>
    <mergeCell ref="K1091:M1091"/>
    <mergeCell ref="E1092:G1092"/>
    <mergeCell ref="K1092:M1092"/>
    <mergeCell ref="A1102:M1102"/>
    <mergeCell ref="B1042:D1042"/>
    <mergeCell ref="E1042:G1042"/>
    <mergeCell ref="B1045:D1045"/>
    <mergeCell ref="A1090:F1090"/>
    <mergeCell ref="H1090:I1090"/>
    <mergeCell ref="K1090:M1090"/>
    <mergeCell ref="B1039:D1039"/>
    <mergeCell ref="E1039:G1039"/>
    <mergeCell ref="I1039:J1039"/>
    <mergeCell ref="K1039:L1039"/>
    <mergeCell ref="I1040:J1040"/>
    <mergeCell ref="K1040:L1040"/>
    <mergeCell ref="A1032:M1032"/>
    <mergeCell ref="A1033:M1033"/>
    <mergeCell ref="A1038:D1038"/>
    <mergeCell ref="E1038:G1038"/>
    <mergeCell ref="I1038:J1038"/>
    <mergeCell ref="K1038:L1038"/>
    <mergeCell ref="K1022:M1022"/>
    <mergeCell ref="A1023:F1023"/>
    <mergeCell ref="H1023:I1023"/>
    <mergeCell ref="K1023:M1023"/>
    <mergeCell ref="A1029:M1029"/>
    <mergeCell ref="A1031:M1031"/>
    <mergeCell ref="B970:D970"/>
    <mergeCell ref="E970:G970"/>
    <mergeCell ref="B979:D979"/>
    <mergeCell ref="A1022:F1022"/>
    <mergeCell ref="H1022:I1022"/>
    <mergeCell ref="B975:D975"/>
    <mergeCell ref="B1005:D1005"/>
    <mergeCell ref="B1009:D1009"/>
    <mergeCell ref="B967:D967"/>
    <mergeCell ref="E967:G967"/>
    <mergeCell ref="I967:J967"/>
    <mergeCell ref="K967:L967"/>
    <mergeCell ref="I968:J968"/>
    <mergeCell ref="K968:L968"/>
    <mergeCell ref="A959:M959"/>
    <mergeCell ref="A960:M960"/>
    <mergeCell ref="A961:M961"/>
    <mergeCell ref="A966:D966"/>
    <mergeCell ref="E966:G966"/>
    <mergeCell ref="I966:J966"/>
    <mergeCell ref="K966:L966"/>
    <mergeCell ref="A946:F946"/>
    <mergeCell ref="H946:I946"/>
    <mergeCell ref="K946:M946"/>
    <mergeCell ref="E954:G954"/>
    <mergeCell ref="K954:M954"/>
    <mergeCell ref="A957:M957"/>
    <mergeCell ref="I890:J890"/>
    <mergeCell ref="K890:L890"/>
    <mergeCell ref="B892:D892"/>
    <mergeCell ref="E892:G892"/>
    <mergeCell ref="A945:F945"/>
    <mergeCell ref="H945:I945"/>
    <mergeCell ref="K945:M945"/>
    <mergeCell ref="A888:D888"/>
    <mergeCell ref="E888:G888"/>
    <mergeCell ref="I888:J888"/>
    <mergeCell ref="K888:L888"/>
    <mergeCell ref="B889:D889"/>
    <mergeCell ref="E889:G889"/>
    <mergeCell ref="I889:J889"/>
    <mergeCell ref="K889:L889"/>
    <mergeCell ref="E869:G869"/>
    <mergeCell ref="K869:M869"/>
    <mergeCell ref="A879:M879"/>
    <mergeCell ref="A881:M881"/>
    <mergeCell ref="A882:M882"/>
    <mergeCell ref="A883:M883"/>
    <mergeCell ref="B825:D825"/>
    <mergeCell ref="E825:G825"/>
    <mergeCell ref="A867:F867"/>
    <mergeCell ref="H867:I867"/>
    <mergeCell ref="K867:M867"/>
    <mergeCell ref="A868:F868"/>
    <mergeCell ref="H868:I868"/>
    <mergeCell ref="K868:M868"/>
    <mergeCell ref="B822:D822"/>
    <mergeCell ref="E822:G822"/>
    <mergeCell ref="I822:J822"/>
    <mergeCell ref="K822:L822"/>
    <mergeCell ref="I823:J823"/>
    <mergeCell ref="K823:L823"/>
    <mergeCell ref="B832:D832"/>
    <mergeCell ref="B836:D836"/>
    <mergeCell ref="B848:D848"/>
    <mergeCell ref="B856:D856"/>
    <mergeCell ref="A814:M814"/>
    <mergeCell ref="A815:M815"/>
    <mergeCell ref="A816:M816"/>
    <mergeCell ref="A821:D821"/>
    <mergeCell ref="E821:G821"/>
    <mergeCell ref="I821:J821"/>
    <mergeCell ref="K821:L821"/>
    <mergeCell ref="A804:F804"/>
    <mergeCell ref="H804:I804"/>
    <mergeCell ref="K804:M804"/>
    <mergeCell ref="E805:G805"/>
    <mergeCell ref="K805:M805"/>
    <mergeCell ref="A812:M812"/>
    <mergeCell ref="I754:J754"/>
    <mergeCell ref="K754:L754"/>
    <mergeCell ref="B756:D756"/>
    <mergeCell ref="E756:G756"/>
    <mergeCell ref="B767:D767"/>
    <mergeCell ref="A803:F803"/>
    <mergeCell ref="H803:I803"/>
    <mergeCell ref="K803:M803"/>
    <mergeCell ref="A752:D752"/>
    <mergeCell ref="E752:G752"/>
    <mergeCell ref="I752:J752"/>
    <mergeCell ref="K752:L752"/>
    <mergeCell ref="B753:D753"/>
    <mergeCell ref="E753:G753"/>
    <mergeCell ref="I753:J753"/>
    <mergeCell ref="K753:L753"/>
    <mergeCell ref="E733:G733"/>
    <mergeCell ref="K733:M733"/>
    <mergeCell ref="A743:M743"/>
    <mergeCell ref="A745:M745"/>
    <mergeCell ref="A746:M746"/>
    <mergeCell ref="A747:M747"/>
    <mergeCell ref="B687:D687"/>
    <mergeCell ref="E687:G687"/>
    <mergeCell ref="A731:F731"/>
    <mergeCell ref="H731:I731"/>
    <mergeCell ref="K731:M731"/>
    <mergeCell ref="A732:F732"/>
    <mergeCell ref="H732:I732"/>
    <mergeCell ref="K732:M732"/>
    <mergeCell ref="B684:D684"/>
    <mergeCell ref="E684:G684"/>
    <mergeCell ref="I684:J684"/>
    <mergeCell ref="K684:L684"/>
    <mergeCell ref="I685:J685"/>
    <mergeCell ref="K685:L685"/>
    <mergeCell ref="A676:M676"/>
    <mergeCell ref="A677:M677"/>
    <mergeCell ref="A678:M678"/>
    <mergeCell ref="A683:D683"/>
    <mergeCell ref="E683:G683"/>
    <mergeCell ref="I683:J683"/>
    <mergeCell ref="K683:L683"/>
    <mergeCell ref="A668:F668"/>
    <mergeCell ref="H668:I668"/>
    <mergeCell ref="K668:M668"/>
    <mergeCell ref="E669:G669"/>
    <mergeCell ref="K669:M669"/>
    <mergeCell ref="A674:M674"/>
    <mergeCell ref="I611:J611"/>
    <mergeCell ref="K611:L611"/>
    <mergeCell ref="B613:D613"/>
    <mergeCell ref="E613:G613"/>
    <mergeCell ref="A667:F667"/>
    <mergeCell ref="H667:I667"/>
    <mergeCell ref="K667:M667"/>
    <mergeCell ref="B625:D625"/>
    <mergeCell ref="A609:D609"/>
    <mergeCell ref="E609:G609"/>
    <mergeCell ref="I609:J609"/>
    <mergeCell ref="K609:L609"/>
    <mergeCell ref="B610:D610"/>
    <mergeCell ref="E610:G610"/>
    <mergeCell ref="I610:J610"/>
    <mergeCell ref="K610:L610"/>
    <mergeCell ref="E593:G593"/>
    <mergeCell ref="K593:M593"/>
    <mergeCell ref="A600:M600"/>
    <mergeCell ref="A602:M602"/>
    <mergeCell ref="A603:M603"/>
    <mergeCell ref="A604:M604"/>
    <mergeCell ref="B539:D539"/>
    <mergeCell ref="E539:G539"/>
    <mergeCell ref="A591:F591"/>
    <mergeCell ref="H591:I591"/>
    <mergeCell ref="K591:M591"/>
    <mergeCell ref="A592:F592"/>
    <mergeCell ref="H592:I592"/>
    <mergeCell ref="K592:M592"/>
    <mergeCell ref="B536:D536"/>
    <mergeCell ref="E536:G536"/>
    <mergeCell ref="I536:J536"/>
    <mergeCell ref="K536:L536"/>
    <mergeCell ref="I537:J537"/>
    <mergeCell ref="K537:L537"/>
    <mergeCell ref="B545:D545"/>
    <mergeCell ref="A528:M528"/>
    <mergeCell ref="A529:M529"/>
    <mergeCell ref="A530:M530"/>
    <mergeCell ref="A535:D535"/>
    <mergeCell ref="E535:G535"/>
    <mergeCell ref="I535:J535"/>
    <mergeCell ref="K535:L535"/>
    <mergeCell ref="A515:F515"/>
    <mergeCell ref="H515:I515"/>
    <mergeCell ref="K515:M515"/>
    <mergeCell ref="E516:G516"/>
    <mergeCell ref="K516:M516"/>
    <mergeCell ref="A526:M526"/>
    <mergeCell ref="I465:J465"/>
    <mergeCell ref="K465:L465"/>
    <mergeCell ref="B467:D467"/>
    <mergeCell ref="E467:G467"/>
    <mergeCell ref="A514:F514"/>
    <mergeCell ref="H514:I514"/>
    <mergeCell ref="K514:M514"/>
    <mergeCell ref="A463:D463"/>
    <mergeCell ref="E463:G463"/>
    <mergeCell ref="I463:J463"/>
    <mergeCell ref="K463:L463"/>
    <mergeCell ref="B464:D464"/>
    <mergeCell ref="E464:G464"/>
    <mergeCell ref="I464:J464"/>
    <mergeCell ref="K464:L464"/>
    <mergeCell ref="E445:G445"/>
    <mergeCell ref="K445:M445"/>
    <mergeCell ref="A454:M454"/>
    <mergeCell ref="A456:M456"/>
    <mergeCell ref="A457:M457"/>
    <mergeCell ref="A458:M458"/>
    <mergeCell ref="B393:D393"/>
    <mergeCell ref="E393:G393"/>
    <mergeCell ref="A443:F443"/>
    <mergeCell ref="H443:I443"/>
    <mergeCell ref="K443:M443"/>
    <mergeCell ref="A444:F444"/>
    <mergeCell ref="H444:I444"/>
    <mergeCell ref="K444:M444"/>
    <mergeCell ref="B390:D390"/>
    <mergeCell ref="E390:G390"/>
    <mergeCell ref="I390:J390"/>
    <mergeCell ref="K390:L390"/>
    <mergeCell ref="I391:J391"/>
    <mergeCell ref="K391:L391"/>
    <mergeCell ref="A382:M382"/>
    <mergeCell ref="A383:M383"/>
    <mergeCell ref="A384:M384"/>
    <mergeCell ref="A389:D389"/>
    <mergeCell ref="E389:G389"/>
    <mergeCell ref="I389:J389"/>
    <mergeCell ref="K389:L389"/>
    <mergeCell ref="A367:F367"/>
    <mergeCell ref="H367:I367"/>
    <mergeCell ref="K367:M367"/>
    <mergeCell ref="E368:G368"/>
    <mergeCell ref="K368:M368"/>
    <mergeCell ref="A380:M380"/>
    <mergeCell ref="I317:J317"/>
    <mergeCell ref="K317:L317"/>
    <mergeCell ref="B319:D319"/>
    <mergeCell ref="E319:G319"/>
    <mergeCell ref="B327:D327"/>
    <mergeCell ref="A366:F366"/>
    <mergeCell ref="H366:I366"/>
    <mergeCell ref="K366:M366"/>
    <mergeCell ref="A315:D315"/>
    <mergeCell ref="E315:G315"/>
    <mergeCell ref="I315:J315"/>
    <mergeCell ref="K315:L315"/>
    <mergeCell ref="B316:D316"/>
    <mergeCell ref="E316:G316"/>
    <mergeCell ref="I316:J316"/>
    <mergeCell ref="K316:L316"/>
    <mergeCell ref="E280:G280"/>
    <mergeCell ref="K280:M280"/>
    <mergeCell ref="A306:M306"/>
    <mergeCell ref="A308:M308"/>
    <mergeCell ref="A309:M309"/>
    <mergeCell ref="A310:M310"/>
    <mergeCell ref="B230:D230"/>
    <mergeCell ref="E230:G230"/>
    <mergeCell ref="A278:F278"/>
    <mergeCell ref="H278:I278"/>
    <mergeCell ref="K278:M278"/>
    <mergeCell ref="A279:F279"/>
    <mergeCell ref="H279:I279"/>
    <mergeCell ref="K279:M279"/>
    <mergeCell ref="B227:D227"/>
    <mergeCell ref="E227:G227"/>
    <mergeCell ref="I227:J227"/>
    <mergeCell ref="K227:L227"/>
    <mergeCell ref="I228:J228"/>
    <mergeCell ref="K228:L228"/>
    <mergeCell ref="A221:M221"/>
    <mergeCell ref="A226:D226"/>
    <mergeCell ref="E226:G226"/>
    <mergeCell ref="I226:J226"/>
    <mergeCell ref="K226:L226"/>
    <mergeCell ref="I150:J150"/>
    <mergeCell ref="K150:L150"/>
    <mergeCell ref="B152:D152"/>
    <mergeCell ref="E152:G152"/>
    <mergeCell ref="A218:M218"/>
    <mergeCell ref="A219:M219"/>
    <mergeCell ref="I149:J149"/>
    <mergeCell ref="K149:L149"/>
    <mergeCell ref="E131:G131"/>
    <mergeCell ref="E138:I138"/>
    <mergeCell ref="A139:M139"/>
    <mergeCell ref="A141:M141"/>
    <mergeCell ref="A142:M142"/>
    <mergeCell ref="A143:M143"/>
    <mergeCell ref="A220:M220"/>
    <mergeCell ref="B149:D149"/>
    <mergeCell ref="E149:G149"/>
    <mergeCell ref="B97:D97"/>
    <mergeCell ref="B50:D50"/>
    <mergeCell ref="B20:D20"/>
    <mergeCell ref="B57:D57"/>
    <mergeCell ref="B60:D60"/>
    <mergeCell ref="B63:D63"/>
    <mergeCell ref="B256:D256"/>
    <mergeCell ref="B66:D66"/>
    <mergeCell ref="A71:M71"/>
    <mergeCell ref="A72:M72"/>
    <mergeCell ref="A73:M73"/>
    <mergeCell ref="A78:D78"/>
    <mergeCell ref="B82:D82"/>
    <mergeCell ref="E82:G82"/>
    <mergeCell ref="B250:D250"/>
    <mergeCell ref="E78:G78"/>
    <mergeCell ref="I78:J78"/>
    <mergeCell ref="K78:L78"/>
    <mergeCell ref="B79:D79"/>
    <mergeCell ref="E79:G79"/>
    <mergeCell ref="I79:J79"/>
    <mergeCell ref="K79:L79"/>
    <mergeCell ref="I80:J80"/>
    <mergeCell ref="K80:L80"/>
    <mergeCell ref="A2:M2"/>
    <mergeCell ref="A3:M3"/>
    <mergeCell ref="A4:M4"/>
    <mergeCell ref="A9:D9"/>
    <mergeCell ref="E9:G9"/>
    <mergeCell ref="I9:J9"/>
    <mergeCell ref="K9:L9"/>
    <mergeCell ref="B13:D13"/>
    <mergeCell ref="E13:G13"/>
    <mergeCell ref="B10:D10"/>
    <mergeCell ref="E10:G10"/>
    <mergeCell ref="I10:J10"/>
    <mergeCell ref="K10:L10"/>
    <mergeCell ref="I11:J11"/>
    <mergeCell ref="K11:L11"/>
    <mergeCell ref="A129:F129"/>
    <mergeCell ref="H129:I129"/>
    <mergeCell ref="K129:M129"/>
    <mergeCell ref="A130:F130"/>
    <mergeCell ref="H130:I130"/>
    <mergeCell ref="K130:M130"/>
    <mergeCell ref="A148:D148"/>
    <mergeCell ref="E148:G148"/>
    <mergeCell ref="I148:J148"/>
    <mergeCell ref="K148:L148"/>
  </mergeCells>
  <printOptions horizontalCentered="1"/>
  <pageMargins left="0" right="0" top="0.5" bottom="0.5" header="0" footer="0"/>
  <pageSetup paperSize="14" scale="70" orientation="portrait" r:id="rId1"/>
  <headerFooter alignWithMargins="0">
    <oddFooter xml:space="preserve">&amp;C&amp;"Times New Roman,Bold"&amp;14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1"/>
  <sheetViews>
    <sheetView topLeftCell="A4" workbookViewId="0">
      <selection activeCell="I403" sqref="I403"/>
    </sheetView>
  </sheetViews>
  <sheetFormatPr defaultColWidth="8.7109375" defaultRowHeight="14.45" customHeight="1"/>
  <cols>
    <col min="1" max="1" width="8.7109375" style="317"/>
    <col min="2" max="3" width="8.7109375" style="263"/>
    <col min="4" max="4" width="4.85546875" style="263" customWidth="1"/>
    <col min="5" max="5" width="11.85546875" style="1000" customWidth="1"/>
    <col min="6" max="6" width="33.7109375" style="263" customWidth="1"/>
    <col min="7" max="7" width="29.85546875" style="263" customWidth="1"/>
    <col min="8" max="8" width="19.28515625" style="263" customWidth="1"/>
    <col min="9" max="9" width="20.85546875" style="263" customWidth="1"/>
    <col min="10" max="10" width="15.28515625" style="263" customWidth="1"/>
    <col min="11" max="11" width="14" style="263" customWidth="1"/>
    <col min="12" max="12" width="13.7109375" style="263" customWidth="1"/>
    <col min="13" max="13" width="15.140625" style="263" customWidth="1"/>
    <col min="14" max="14" width="8.7109375" style="263"/>
    <col min="15" max="15" width="19.85546875" style="263" customWidth="1"/>
    <col min="16" max="16" width="14.5703125" style="263" bestFit="1" customWidth="1"/>
    <col min="17" max="16384" width="8.7109375" style="263"/>
  </cols>
  <sheetData>
    <row r="1" spans="1:17" ht="15" customHeight="1">
      <c r="A1" s="1596"/>
      <c r="C1" s="1607" t="s">
        <v>975</v>
      </c>
      <c r="D1" s="264"/>
      <c r="F1" s="1594" t="s">
        <v>1716</v>
      </c>
      <c r="G1" s="1594"/>
      <c r="H1" s="1594"/>
      <c r="I1" s="1594"/>
      <c r="J1" s="1594"/>
      <c r="K1" s="1594"/>
      <c r="L1" s="1594"/>
      <c r="M1" s="265"/>
      <c r="N1" s="266"/>
    </row>
    <row r="2" spans="1:17" ht="15" customHeight="1">
      <c r="A2" s="1596"/>
      <c r="C2" s="1608"/>
      <c r="E2" s="1579" t="s">
        <v>174</v>
      </c>
      <c r="F2" s="1579"/>
      <c r="G2" s="1579"/>
      <c r="H2" s="1579"/>
      <c r="I2" s="1579"/>
      <c r="J2" s="1579"/>
      <c r="K2" s="1579"/>
      <c r="L2" s="1579"/>
      <c r="M2" s="1579"/>
    </row>
    <row r="3" spans="1:17" ht="14.45" customHeight="1">
      <c r="A3" s="1596"/>
      <c r="C3" s="1608"/>
      <c r="E3" s="1000" t="s">
        <v>976</v>
      </c>
      <c r="F3" s="267" t="s">
        <v>977</v>
      </c>
    </row>
    <row r="4" spans="1:17" ht="14.45" customHeight="1">
      <c r="A4" s="1596"/>
      <c r="C4" s="1608"/>
      <c r="E4" s="1000" t="s">
        <v>978</v>
      </c>
      <c r="F4" s="268" t="s">
        <v>979</v>
      </c>
    </row>
    <row r="5" spans="1:17" ht="18" customHeight="1">
      <c r="A5" s="1596"/>
      <c r="C5" s="1608"/>
      <c r="E5" s="1000" t="s">
        <v>980</v>
      </c>
      <c r="F5" s="1599" t="s">
        <v>981</v>
      </c>
      <c r="G5" s="1599"/>
      <c r="H5" s="1599"/>
      <c r="I5" s="1599"/>
      <c r="J5" s="1599"/>
      <c r="K5" s="1599"/>
      <c r="L5" s="1599"/>
      <c r="M5" s="1599"/>
    </row>
    <row r="6" spans="1:17" ht="21" customHeight="1">
      <c r="A6" s="1596"/>
      <c r="C6" s="1608"/>
      <c r="E6" s="1000" t="s">
        <v>982</v>
      </c>
      <c r="F6" s="1600" t="s">
        <v>983</v>
      </c>
      <c r="G6" s="1600"/>
      <c r="H6" s="1600"/>
      <c r="I6" s="1600"/>
      <c r="J6" s="1600"/>
      <c r="K6" s="1600"/>
      <c r="L6" s="1600"/>
      <c r="M6" s="1600"/>
      <c r="P6" s="269"/>
      <c r="Q6" s="270"/>
    </row>
    <row r="7" spans="1:17" ht="14.45" customHeight="1">
      <c r="A7" s="1596"/>
      <c r="C7" s="1608"/>
      <c r="F7" s="1600"/>
      <c r="G7" s="1600"/>
      <c r="H7" s="1600"/>
      <c r="I7" s="1600"/>
      <c r="J7" s="1600"/>
      <c r="K7" s="1600"/>
      <c r="L7" s="1600"/>
      <c r="M7" s="1600"/>
      <c r="Q7" s="270"/>
    </row>
    <row r="8" spans="1:17" ht="14.45" customHeight="1">
      <c r="A8" s="1596"/>
      <c r="C8" s="1608"/>
      <c r="E8" s="1000" t="s">
        <v>984</v>
      </c>
      <c r="F8" s="271"/>
      <c r="G8" s="271"/>
      <c r="H8" s="271"/>
      <c r="I8" s="271"/>
      <c r="J8" s="271"/>
      <c r="K8" s="271"/>
      <c r="L8" s="271"/>
      <c r="M8" s="271"/>
      <c r="Q8" s="270"/>
    </row>
    <row r="9" spans="1:17" ht="14.45" customHeight="1">
      <c r="A9" s="1596"/>
      <c r="C9" s="1608"/>
      <c r="E9" s="1577" t="s">
        <v>985</v>
      </c>
      <c r="F9" s="272" t="s">
        <v>625</v>
      </c>
      <c r="G9" s="1601" t="s">
        <v>627</v>
      </c>
      <c r="H9" s="272" t="s">
        <v>628</v>
      </c>
      <c r="I9" s="1577" t="s">
        <v>986</v>
      </c>
      <c r="J9" s="1603" t="s">
        <v>1717</v>
      </c>
      <c r="K9" s="1603"/>
      <c r="L9" s="1603"/>
      <c r="M9" s="1604"/>
      <c r="Q9" s="270"/>
    </row>
    <row r="10" spans="1:17" ht="14.45" customHeight="1">
      <c r="A10" s="1596"/>
      <c r="C10" s="1608"/>
      <c r="E10" s="1609"/>
      <c r="F10" s="273" t="s">
        <v>626</v>
      </c>
      <c r="G10" s="1602"/>
      <c r="H10" s="273" t="s">
        <v>629</v>
      </c>
      <c r="I10" s="1578"/>
      <c r="J10" s="274" t="s">
        <v>270</v>
      </c>
      <c r="K10" s="275" t="s">
        <v>271</v>
      </c>
      <c r="L10" s="276" t="s">
        <v>272</v>
      </c>
      <c r="M10" s="277" t="s">
        <v>15</v>
      </c>
      <c r="Q10" s="270"/>
    </row>
    <row r="11" spans="1:17" ht="14.45" customHeight="1">
      <c r="A11" s="1596"/>
      <c r="C11" s="1608"/>
      <c r="E11" s="278" t="s">
        <v>987</v>
      </c>
      <c r="F11" s="1563" t="s">
        <v>988</v>
      </c>
      <c r="G11" s="1563" t="s">
        <v>989</v>
      </c>
      <c r="H11" s="1563" t="s">
        <v>990</v>
      </c>
      <c r="I11" s="1563" t="s">
        <v>991</v>
      </c>
      <c r="J11" s="1565">
        <f>'LBP NO. 2'!M46</f>
        <v>11326482</v>
      </c>
      <c r="K11" s="1558">
        <f>'LBP NO. 2'!M59</f>
        <v>3200601</v>
      </c>
      <c r="L11" s="1558">
        <f>'LBP NO. 2'!M69</f>
        <v>1900000</v>
      </c>
      <c r="M11" s="1558">
        <f>SUM(J11:L30)</f>
        <v>16427083</v>
      </c>
      <c r="Q11" s="270"/>
    </row>
    <row r="12" spans="1:17" ht="14.45" customHeight="1">
      <c r="A12" s="1596"/>
      <c r="C12" s="1608"/>
      <c r="E12" s="279"/>
      <c r="F12" s="1561"/>
      <c r="G12" s="1561"/>
      <c r="H12" s="1561"/>
      <c r="I12" s="1561"/>
      <c r="J12" s="1566"/>
      <c r="K12" s="1559"/>
      <c r="L12" s="1559"/>
      <c r="M12" s="1559"/>
      <c r="O12" s="264"/>
      <c r="Q12" s="270"/>
    </row>
    <row r="13" spans="1:17" ht="14.45" customHeight="1">
      <c r="A13" s="1596"/>
      <c r="C13" s="1608"/>
      <c r="E13" s="279"/>
      <c r="F13" s="1561"/>
      <c r="G13" s="1561"/>
      <c r="H13" s="1561"/>
      <c r="I13" s="1561"/>
      <c r="J13" s="1566"/>
      <c r="K13" s="1559"/>
      <c r="L13" s="1559"/>
      <c r="M13" s="1559"/>
      <c r="O13" s="264"/>
      <c r="Q13" s="270"/>
    </row>
    <row r="14" spans="1:17" ht="9.75" customHeight="1">
      <c r="A14" s="1596"/>
      <c r="C14" s="1608"/>
      <c r="E14" s="280"/>
      <c r="F14" s="1564"/>
      <c r="G14" s="1561"/>
      <c r="H14" s="1564"/>
      <c r="I14" s="1564"/>
      <c r="J14" s="1566"/>
      <c r="K14" s="1559"/>
      <c r="L14" s="1559"/>
      <c r="M14" s="1559"/>
      <c r="O14" s="264"/>
      <c r="Q14" s="270"/>
    </row>
    <row r="15" spans="1:17" ht="14.45" customHeight="1">
      <c r="A15" s="1596"/>
      <c r="C15" s="1608"/>
      <c r="E15" s="278" t="s">
        <v>987</v>
      </c>
      <c r="F15" s="1580" t="s">
        <v>992</v>
      </c>
      <c r="G15" s="1563" t="s">
        <v>993</v>
      </c>
      <c r="H15" s="1563" t="s">
        <v>994</v>
      </c>
      <c r="I15" s="1563" t="s">
        <v>995</v>
      </c>
      <c r="J15" s="1566"/>
      <c r="K15" s="1559"/>
      <c r="L15" s="1559"/>
      <c r="M15" s="1559"/>
      <c r="O15" s="264"/>
      <c r="Q15" s="270"/>
    </row>
    <row r="16" spans="1:17" ht="18.75" customHeight="1">
      <c r="A16" s="1596"/>
      <c r="C16" s="1608"/>
      <c r="E16" s="279"/>
      <c r="F16" s="1581"/>
      <c r="G16" s="1561"/>
      <c r="H16" s="1561"/>
      <c r="I16" s="1561"/>
      <c r="J16" s="1566"/>
      <c r="K16" s="1559"/>
      <c r="L16" s="1559"/>
      <c r="M16" s="1559"/>
      <c r="Q16" s="270"/>
    </row>
    <row r="17" spans="1:13" ht="14.45" customHeight="1">
      <c r="A17" s="1596"/>
      <c r="C17" s="1608"/>
      <c r="E17" s="279"/>
      <c r="F17" s="1581"/>
      <c r="G17" s="1561"/>
      <c r="H17" s="1561"/>
      <c r="I17" s="1561"/>
      <c r="J17" s="1566"/>
      <c r="K17" s="1559"/>
      <c r="L17" s="1559"/>
      <c r="M17" s="1559"/>
    </row>
    <row r="18" spans="1:13" ht="9" customHeight="1">
      <c r="A18" s="1596"/>
      <c r="C18" s="1608"/>
      <c r="E18" s="280"/>
      <c r="F18" s="1582"/>
      <c r="G18" s="1564"/>
      <c r="H18" s="1564"/>
      <c r="I18" s="1564"/>
      <c r="J18" s="1566"/>
      <c r="K18" s="1559"/>
      <c r="L18" s="1559"/>
      <c r="M18" s="1559"/>
    </row>
    <row r="19" spans="1:13" ht="14.45" customHeight="1">
      <c r="A19" s="1596"/>
      <c r="C19" s="1608"/>
      <c r="E19" s="278" t="s">
        <v>987</v>
      </c>
      <c r="F19" s="1574" t="s">
        <v>996</v>
      </c>
      <c r="G19" s="1563" t="s">
        <v>997</v>
      </c>
      <c r="H19" s="1574" t="s">
        <v>998</v>
      </c>
      <c r="I19" s="1563" t="s">
        <v>999</v>
      </c>
      <c r="J19" s="1566"/>
      <c r="K19" s="1559"/>
      <c r="L19" s="1559"/>
      <c r="M19" s="1559"/>
    </row>
    <row r="20" spans="1:13" ht="14.45" customHeight="1">
      <c r="A20" s="1596"/>
      <c r="C20" s="1608"/>
      <c r="E20" s="281"/>
      <c r="F20" s="1575"/>
      <c r="G20" s="1561"/>
      <c r="H20" s="1575"/>
      <c r="I20" s="1561"/>
      <c r="J20" s="1566"/>
      <c r="K20" s="1559"/>
      <c r="L20" s="1559"/>
      <c r="M20" s="1559"/>
    </row>
    <row r="21" spans="1:13" ht="54.75" customHeight="1">
      <c r="A21" s="1596"/>
      <c r="C21" s="1608"/>
      <c r="E21" s="281"/>
      <c r="F21" s="1576"/>
      <c r="G21" s="1564"/>
      <c r="H21" s="1576"/>
      <c r="I21" s="1564"/>
      <c r="J21" s="1566"/>
      <c r="K21" s="1559"/>
      <c r="L21" s="1559"/>
      <c r="M21" s="1559"/>
    </row>
    <row r="22" spans="1:13" ht="14.45" customHeight="1">
      <c r="A22" s="1596"/>
      <c r="C22" s="1608"/>
      <c r="E22" s="278" t="s">
        <v>987</v>
      </c>
      <c r="F22" s="1574" t="s">
        <v>1000</v>
      </c>
      <c r="G22" s="1563" t="s">
        <v>1001</v>
      </c>
      <c r="H22" s="1563" t="s">
        <v>1002</v>
      </c>
      <c r="I22" s="1563" t="s">
        <v>1003</v>
      </c>
      <c r="J22" s="1566"/>
      <c r="K22" s="1559"/>
      <c r="L22" s="1559"/>
      <c r="M22" s="1559"/>
    </row>
    <row r="23" spans="1:13" ht="14.45" customHeight="1">
      <c r="A23" s="1596"/>
      <c r="C23" s="1608"/>
      <c r="E23" s="279"/>
      <c r="F23" s="1575"/>
      <c r="G23" s="1561"/>
      <c r="H23" s="1561"/>
      <c r="I23" s="1561"/>
      <c r="J23" s="1566"/>
      <c r="K23" s="1559"/>
      <c r="L23" s="1559"/>
      <c r="M23" s="1559"/>
    </row>
    <row r="24" spans="1:13" ht="26.25" customHeight="1">
      <c r="A24" s="1596"/>
      <c r="C24" s="1608"/>
      <c r="E24" s="280"/>
      <c r="F24" s="1576"/>
      <c r="G24" s="1564"/>
      <c r="H24" s="1564"/>
      <c r="I24" s="1564"/>
      <c r="J24" s="1566"/>
      <c r="K24" s="1559"/>
      <c r="L24" s="1559"/>
      <c r="M24" s="1559"/>
    </row>
    <row r="25" spans="1:13" ht="55.5" customHeight="1">
      <c r="A25" s="1596"/>
      <c r="C25" s="1608"/>
      <c r="E25" s="282" t="s">
        <v>987</v>
      </c>
      <c r="F25" s="283" t="s">
        <v>1004</v>
      </c>
      <c r="G25" s="284" t="s">
        <v>1005</v>
      </c>
      <c r="H25" s="285" t="s">
        <v>1006</v>
      </c>
      <c r="I25" s="284" t="s">
        <v>1007</v>
      </c>
      <c r="J25" s="1566"/>
      <c r="K25" s="1559"/>
      <c r="L25" s="1559"/>
      <c r="M25" s="1559"/>
    </row>
    <row r="26" spans="1:13" ht="53.25" customHeight="1">
      <c r="A26" s="1596"/>
      <c r="C26" s="1608"/>
      <c r="E26" s="282" t="s">
        <v>987</v>
      </c>
      <c r="F26" s="286" t="s">
        <v>1008</v>
      </c>
      <c r="G26" s="287" t="s">
        <v>1009</v>
      </c>
      <c r="H26" s="288" t="s">
        <v>994</v>
      </c>
      <c r="I26" s="287" t="s">
        <v>1010</v>
      </c>
      <c r="J26" s="1566"/>
      <c r="K26" s="1559"/>
      <c r="L26" s="1559"/>
      <c r="M26" s="1559"/>
    </row>
    <row r="27" spans="1:13" ht="14.45" customHeight="1">
      <c r="A27" s="1596"/>
      <c r="C27" s="1608"/>
      <c r="E27" s="282" t="s">
        <v>987</v>
      </c>
      <c r="F27" s="1571" t="s">
        <v>1011</v>
      </c>
      <c r="G27" s="1571" t="s">
        <v>1012</v>
      </c>
      <c r="H27" s="1571" t="s">
        <v>1013</v>
      </c>
      <c r="I27" s="1571" t="s">
        <v>1014</v>
      </c>
      <c r="J27" s="1566"/>
      <c r="K27" s="1559"/>
      <c r="L27" s="1559"/>
      <c r="M27" s="1559"/>
    </row>
    <row r="28" spans="1:13" ht="14.45" customHeight="1">
      <c r="A28" s="1596"/>
      <c r="C28" s="1608"/>
      <c r="E28" s="279"/>
      <c r="F28" s="1572"/>
      <c r="G28" s="1572"/>
      <c r="H28" s="1572"/>
      <c r="I28" s="1572"/>
      <c r="J28" s="1566"/>
      <c r="K28" s="1559"/>
      <c r="L28" s="1559"/>
      <c r="M28" s="1559"/>
    </row>
    <row r="29" spans="1:13" ht="12" customHeight="1">
      <c r="A29" s="1596"/>
      <c r="C29" s="1608"/>
      <c r="E29" s="279"/>
      <c r="F29" s="1572"/>
      <c r="G29" s="1572"/>
      <c r="H29" s="1572"/>
      <c r="I29" s="1572"/>
      <c r="J29" s="1566"/>
      <c r="K29" s="1559"/>
      <c r="L29" s="1559"/>
      <c r="M29" s="1559"/>
    </row>
    <row r="30" spans="1:13" ht="5.25" customHeight="1">
      <c r="A30" s="1596"/>
      <c r="C30" s="1608"/>
      <c r="E30" s="280"/>
      <c r="F30" s="1573"/>
      <c r="G30" s="1573"/>
      <c r="H30" s="1573"/>
      <c r="I30" s="1573"/>
      <c r="J30" s="1567"/>
      <c r="K30" s="1560"/>
      <c r="L30" s="1560"/>
      <c r="M30" s="1560"/>
    </row>
    <row r="31" spans="1:13" ht="12.75" hidden="1" customHeight="1">
      <c r="A31" s="1596"/>
      <c r="C31" s="1608"/>
      <c r="E31" s="1002"/>
      <c r="F31" s="290"/>
      <c r="G31" s="290"/>
      <c r="H31" s="290"/>
      <c r="I31" s="290"/>
      <c r="J31" s="291"/>
      <c r="K31" s="291"/>
      <c r="L31" s="291"/>
      <c r="M31" s="291"/>
    </row>
    <row r="32" spans="1:13" ht="15" customHeight="1">
      <c r="A32" s="1596"/>
      <c r="C32" s="1608"/>
      <c r="E32" s="1002" t="s">
        <v>1015</v>
      </c>
      <c r="F32" s="289"/>
      <c r="G32" s="292" t="s">
        <v>1016</v>
      </c>
      <c r="H32" s="292"/>
      <c r="J32" s="293"/>
      <c r="K32" s="293"/>
      <c r="L32" s="294"/>
      <c r="M32" s="294"/>
    </row>
    <row r="33" spans="1:13" ht="15" customHeight="1">
      <c r="A33" s="1596"/>
      <c r="C33" s="1608"/>
      <c r="E33" s="1002"/>
      <c r="F33" s="289"/>
      <c r="G33" s="289"/>
      <c r="H33" s="289"/>
      <c r="J33" s="289"/>
      <c r="K33" s="289"/>
      <c r="L33" s="289"/>
      <c r="M33" s="289"/>
    </row>
    <row r="34" spans="1:13" ht="15" customHeight="1">
      <c r="A34" s="1596"/>
      <c r="C34" s="1608"/>
      <c r="E34" s="1595" t="s">
        <v>1438</v>
      </c>
      <c r="F34" s="1595"/>
      <c r="G34" s="1584" t="s">
        <v>249</v>
      </c>
      <c r="H34" s="1584"/>
      <c r="I34" s="1585" t="s">
        <v>17</v>
      </c>
      <c r="J34" s="1585"/>
      <c r="L34" s="1584" t="s">
        <v>87</v>
      </c>
      <c r="M34" s="1584"/>
    </row>
    <row r="35" spans="1:13" ht="15" customHeight="1">
      <c r="A35" s="1596"/>
      <c r="C35" s="1608"/>
      <c r="E35" s="1589" t="s">
        <v>14</v>
      </c>
      <c r="F35" s="1589"/>
      <c r="G35" s="1557" t="s">
        <v>13</v>
      </c>
      <c r="H35" s="1557"/>
      <c r="I35" s="1590" t="s">
        <v>18</v>
      </c>
      <c r="J35" s="1590"/>
      <c r="L35" s="1557" t="s">
        <v>971</v>
      </c>
      <c r="M35" s="1557"/>
    </row>
    <row r="36" spans="1:13" ht="15" customHeight="1">
      <c r="A36" s="1596"/>
      <c r="C36" s="1608"/>
      <c r="E36" s="999" t="s">
        <v>253</v>
      </c>
      <c r="F36" s="295"/>
      <c r="G36" s="295"/>
      <c r="H36" s="289"/>
      <c r="I36" s="289"/>
      <c r="J36" s="289"/>
      <c r="K36" s="296"/>
      <c r="L36" s="289"/>
      <c r="M36" s="289"/>
    </row>
    <row r="37" spans="1:13" ht="15" customHeight="1">
      <c r="A37" s="1596"/>
      <c r="C37" s="1608"/>
      <c r="E37" s="1018"/>
      <c r="F37" s="297"/>
      <c r="G37" s="297"/>
      <c r="H37" s="289"/>
      <c r="I37" s="289"/>
      <c r="J37" s="289"/>
      <c r="K37" s="298"/>
      <c r="L37" s="289"/>
      <c r="M37" s="289"/>
    </row>
    <row r="38" spans="1:13" ht="15" customHeight="1">
      <c r="A38" s="1596"/>
      <c r="C38" s="1608"/>
      <c r="E38" s="1584" t="s">
        <v>1438</v>
      </c>
      <c r="F38" s="1584"/>
      <c r="G38" s="299"/>
      <c r="H38" s="299"/>
      <c r="I38" s="299"/>
      <c r="J38" s="300"/>
      <c r="K38" s="300"/>
      <c r="L38" s="301"/>
      <c r="M38" s="297"/>
    </row>
    <row r="39" spans="1:13" ht="15.95" customHeight="1">
      <c r="A39" s="1596"/>
      <c r="C39" s="1608"/>
      <c r="E39" s="1557" t="s">
        <v>14</v>
      </c>
      <c r="F39" s="1557"/>
      <c r="G39" s="302"/>
      <c r="H39" s="302"/>
      <c r="I39" s="302"/>
      <c r="J39" s="303"/>
      <c r="K39" s="300"/>
      <c r="L39" s="301"/>
      <c r="M39" s="297"/>
    </row>
    <row r="40" spans="1:13" ht="27" customHeight="1">
      <c r="A40" s="1596"/>
      <c r="B40" s="304"/>
      <c r="C40" s="1597" t="s">
        <v>1017</v>
      </c>
      <c r="D40" s="289"/>
      <c r="F40" s="1594" t="s">
        <v>1716</v>
      </c>
      <c r="G40" s="1594"/>
      <c r="H40" s="1594"/>
      <c r="I40" s="1594"/>
      <c r="J40" s="1594"/>
      <c r="K40" s="1594"/>
      <c r="L40" s="1594"/>
      <c r="M40" s="265"/>
    </row>
    <row r="41" spans="1:13" ht="14.45" customHeight="1">
      <c r="A41" s="1596"/>
      <c r="C41" s="1598"/>
      <c r="E41" s="1579" t="s">
        <v>174</v>
      </c>
      <c r="F41" s="1579"/>
      <c r="G41" s="1579"/>
      <c r="H41" s="1579"/>
      <c r="I41" s="1579"/>
      <c r="J41" s="1579"/>
      <c r="K41" s="1579"/>
      <c r="L41" s="1579"/>
      <c r="M41" s="1579"/>
    </row>
    <row r="42" spans="1:13" ht="14.45" customHeight="1">
      <c r="A42" s="1596"/>
      <c r="C42" s="1598"/>
      <c r="E42" s="1000" t="s">
        <v>976</v>
      </c>
      <c r="F42" s="267" t="s">
        <v>1018</v>
      </c>
    </row>
    <row r="43" spans="1:13" ht="14.45" customHeight="1">
      <c r="A43" s="1596"/>
      <c r="C43" s="1598"/>
      <c r="E43" s="1000" t="s">
        <v>978</v>
      </c>
      <c r="F43" s="268" t="s">
        <v>1019</v>
      </c>
    </row>
    <row r="44" spans="1:13" ht="14.45" customHeight="1">
      <c r="A44" s="1596"/>
      <c r="C44" s="1598"/>
      <c r="E44" s="1000" t="s">
        <v>980</v>
      </c>
      <c r="F44" s="1599" t="s">
        <v>1020</v>
      </c>
      <c r="G44" s="1599"/>
      <c r="H44" s="1599"/>
      <c r="I44" s="1599"/>
      <c r="J44" s="1599"/>
      <c r="K44" s="1599"/>
      <c r="L44" s="1599"/>
      <c r="M44" s="1599"/>
    </row>
    <row r="45" spans="1:13" ht="14.45" customHeight="1">
      <c r="A45" s="1596"/>
      <c r="C45" s="1598"/>
      <c r="E45" s="1000" t="s">
        <v>982</v>
      </c>
      <c r="F45" s="1600" t="s">
        <v>1021</v>
      </c>
      <c r="G45" s="1600"/>
      <c r="H45" s="1600"/>
      <c r="I45" s="1600"/>
      <c r="J45" s="1600"/>
      <c r="K45" s="1600"/>
      <c r="L45" s="1600"/>
      <c r="M45" s="1600"/>
    </row>
    <row r="46" spans="1:13" ht="18" customHeight="1">
      <c r="A46" s="1596"/>
      <c r="C46" s="1598"/>
      <c r="F46" s="1600"/>
      <c r="G46" s="1600"/>
      <c r="H46" s="1600"/>
      <c r="I46" s="1600"/>
      <c r="J46" s="1600"/>
      <c r="K46" s="1600"/>
      <c r="L46" s="1600"/>
      <c r="M46" s="1600"/>
    </row>
    <row r="47" spans="1:13" ht="17.25" customHeight="1">
      <c r="A47" s="1596"/>
      <c r="C47" s="1598"/>
      <c r="E47" s="1000" t="s">
        <v>1022</v>
      </c>
      <c r="F47" s="271"/>
      <c r="G47" s="271"/>
      <c r="H47" s="271"/>
      <c r="I47" s="271"/>
      <c r="J47" s="271"/>
      <c r="K47" s="271"/>
      <c r="L47" s="271"/>
      <c r="M47" s="271"/>
    </row>
    <row r="48" spans="1:13" ht="14.45" customHeight="1">
      <c r="A48" s="1596"/>
      <c r="C48" s="1598"/>
      <c r="E48" s="1577" t="s">
        <v>985</v>
      </c>
      <c r="F48" s="272" t="s">
        <v>625</v>
      </c>
      <c r="G48" s="1601" t="s">
        <v>627</v>
      </c>
      <c r="H48" s="272" t="s">
        <v>628</v>
      </c>
      <c r="I48" s="1577" t="s">
        <v>986</v>
      </c>
      <c r="J48" s="1603" t="s">
        <v>1717</v>
      </c>
      <c r="K48" s="1603"/>
      <c r="L48" s="1603"/>
      <c r="M48" s="1604"/>
    </row>
    <row r="49" spans="1:13" ht="14.25" customHeight="1">
      <c r="A49" s="1596"/>
      <c r="C49" s="1598"/>
      <c r="E49" s="1578"/>
      <c r="F49" s="273" t="s">
        <v>626</v>
      </c>
      <c r="G49" s="1602"/>
      <c r="H49" s="273" t="s">
        <v>629</v>
      </c>
      <c r="I49" s="1578"/>
      <c r="J49" s="274" t="s">
        <v>270</v>
      </c>
      <c r="K49" s="275" t="s">
        <v>271</v>
      </c>
      <c r="L49" s="276" t="s">
        <v>272</v>
      </c>
      <c r="M49" s="277" t="s">
        <v>15</v>
      </c>
    </row>
    <row r="50" spans="1:13" ht="14.45" customHeight="1">
      <c r="A50" s="1596"/>
      <c r="C50" s="1598"/>
      <c r="E50" s="278" t="s">
        <v>1023</v>
      </c>
      <c r="F50" s="1605" t="s">
        <v>1024</v>
      </c>
      <c r="G50" s="1563" t="s">
        <v>1025</v>
      </c>
      <c r="H50" s="1563" t="s">
        <v>1521</v>
      </c>
      <c r="I50" s="1563" t="s">
        <v>1026</v>
      </c>
      <c r="J50" s="1565">
        <f>'LBP NO. 2'!M118</f>
        <v>19701187</v>
      </c>
      <c r="K50" s="1558">
        <f>'LBP NO. 2'!M134</f>
        <v>6806400</v>
      </c>
      <c r="L50" s="1558">
        <f>'LBP NO. 2'!M142</f>
        <v>0</v>
      </c>
      <c r="M50" s="1558">
        <f>SUM(J50:L63)</f>
        <v>26507587</v>
      </c>
    </row>
    <row r="51" spans="1:13" ht="14.45" customHeight="1">
      <c r="A51" s="1596"/>
      <c r="C51" s="1598"/>
      <c r="E51" s="279"/>
      <c r="F51" s="1606"/>
      <c r="G51" s="1561"/>
      <c r="H51" s="1561"/>
      <c r="I51" s="1561"/>
      <c r="J51" s="1566"/>
      <c r="K51" s="1559"/>
      <c r="L51" s="1559"/>
      <c r="M51" s="1559"/>
    </row>
    <row r="52" spans="1:13" ht="14.45" customHeight="1">
      <c r="A52" s="1596"/>
      <c r="C52" s="1598"/>
      <c r="E52" s="279"/>
      <c r="F52" s="1606"/>
      <c r="G52" s="1561"/>
      <c r="H52" s="1561"/>
      <c r="I52" s="1561"/>
      <c r="J52" s="1566"/>
      <c r="K52" s="1559"/>
      <c r="L52" s="1559"/>
      <c r="M52" s="1559"/>
    </row>
    <row r="53" spans="1:13" ht="14.45" customHeight="1">
      <c r="A53" s="1596"/>
      <c r="C53" s="1598"/>
      <c r="E53" s="279"/>
      <c r="F53" s="1606"/>
      <c r="G53" s="1564"/>
      <c r="H53" s="1564"/>
      <c r="I53" s="1564"/>
      <c r="J53" s="1566"/>
      <c r="K53" s="1559"/>
      <c r="L53" s="1559"/>
      <c r="M53" s="1559"/>
    </row>
    <row r="54" spans="1:13" ht="14.45" customHeight="1">
      <c r="A54" s="1596"/>
      <c r="C54" s="1598"/>
      <c r="E54" s="278" t="s">
        <v>1023</v>
      </c>
      <c r="F54" s="305" t="s">
        <v>1027</v>
      </c>
      <c r="G54" s="1563" t="s">
        <v>1028</v>
      </c>
      <c r="H54" s="306" t="s">
        <v>1029</v>
      </c>
      <c r="I54" s="1563" t="s">
        <v>1030</v>
      </c>
      <c r="J54" s="1566"/>
      <c r="K54" s="1559"/>
      <c r="L54" s="1559"/>
      <c r="M54" s="1559"/>
    </row>
    <row r="55" spans="1:13" ht="14.45" customHeight="1">
      <c r="A55" s="1596"/>
      <c r="C55" s="1598"/>
      <c r="E55" s="279"/>
      <c r="F55" s="307" t="s">
        <v>1031</v>
      </c>
      <c r="G55" s="1561"/>
      <c r="H55" s="308"/>
      <c r="I55" s="1561"/>
      <c r="J55" s="1566"/>
      <c r="K55" s="1559"/>
      <c r="L55" s="1559"/>
      <c r="M55" s="1559"/>
    </row>
    <row r="56" spans="1:13" ht="14.45" customHeight="1">
      <c r="A56" s="1596"/>
      <c r="C56" s="1598"/>
      <c r="E56" s="279"/>
      <c r="F56" s="307" t="s">
        <v>1032</v>
      </c>
      <c r="G56" s="1561"/>
      <c r="H56" s="308"/>
      <c r="I56" s="1561"/>
      <c r="J56" s="1566"/>
      <c r="K56" s="1559"/>
      <c r="L56" s="1559"/>
      <c r="M56" s="1559"/>
    </row>
    <row r="57" spans="1:13" ht="30" customHeight="1">
      <c r="A57" s="1596"/>
      <c r="C57" s="1598"/>
      <c r="E57" s="280"/>
      <c r="F57" s="309" t="s">
        <v>1033</v>
      </c>
      <c r="G57" s="288" t="s">
        <v>1034</v>
      </c>
      <c r="H57" s="310" t="s">
        <v>1035</v>
      </c>
      <c r="I57" s="288" t="s">
        <v>1036</v>
      </c>
      <c r="J57" s="1566"/>
      <c r="K57" s="1559"/>
      <c r="L57" s="1559"/>
      <c r="M57" s="1559"/>
    </row>
    <row r="58" spans="1:13" ht="14.45" customHeight="1">
      <c r="A58" s="1596"/>
      <c r="C58" s="1598"/>
      <c r="E58" s="278" t="s">
        <v>1023</v>
      </c>
      <c r="F58" s="311" t="s">
        <v>1037</v>
      </c>
      <c r="G58" s="306"/>
      <c r="H58" s="312"/>
      <c r="I58" s="306"/>
      <c r="J58" s="1566"/>
      <c r="K58" s="1559"/>
      <c r="L58" s="1559"/>
      <c r="M58" s="1559"/>
    </row>
    <row r="59" spans="1:13" ht="22.5" customHeight="1">
      <c r="A59" s="1596"/>
      <c r="C59" s="1598"/>
      <c r="E59" s="281"/>
      <c r="F59" s="309" t="s">
        <v>1453</v>
      </c>
      <c r="G59" s="287" t="s">
        <v>1038</v>
      </c>
      <c r="H59" s="313" t="s">
        <v>1035</v>
      </c>
      <c r="I59" s="314" t="s">
        <v>1039</v>
      </c>
      <c r="J59" s="1566"/>
      <c r="K59" s="1559"/>
      <c r="L59" s="1559"/>
      <c r="M59" s="1559"/>
    </row>
    <row r="60" spans="1:13" ht="14.45" customHeight="1">
      <c r="A60" s="1596"/>
      <c r="C60" s="1598"/>
      <c r="E60" s="278" t="s">
        <v>1023</v>
      </c>
      <c r="F60" s="1571" t="s">
        <v>1040</v>
      </c>
      <c r="G60" s="1571" t="s">
        <v>1041</v>
      </c>
      <c r="H60" s="1571" t="s">
        <v>1042</v>
      </c>
      <c r="I60" s="1571" t="s">
        <v>1043</v>
      </c>
      <c r="J60" s="1566"/>
      <c r="K60" s="1559"/>
      <c r="L60" s="1559"/>
      <c r="M60" s="1559"/>
    </row>
    <row r="61" spans="1:13" ht="14.45" customHeight="1">
      <c r="A61" s="1596"/>
      <c r="C61" s="1598"/>
      <c r="E61" s="281"/>
      <c r="F61" s="1572"/>
      <c r="G61" s="1572"/>
      <c r="H61" s="1572"/>
      <c r="I61" s="1572"/>
      <c r="J61" s="1566"/>
      <c r="K61" s="1559"/>
      <c r="L61" s="1559"/>
      <c r="M61" s="1559"/>
    </row>
    <row r="62" spans="1:13" ht="14.45" customHeight="1">
      <c r="A62" s="1596"/>
      <c r="C62" s="1598"/>
      <c r="E62" s="281"/>
      <c r="F62" s="1572"/>
      <c r="G62" s="1572"/>
      <c r="H62" s="1572"/>
      <c r="I62" s="1572"/>
      <c r="J62" s="1566"/>
      <c r="K62" s="1559"/>
      <c r="L62" s="1559"/>
      <c r="M62" s="1559"/>
    </row>
    <row r="63" spans="1:13" ht="25.5" customHeight="1">
      <c r="A63" s="1596"/>
      <c r="C63" s="1598"/>
      <c r="E63" s="421"/>
      <c r="F63" s="1573"/>
      <c r="G63" s="1573"/>
      <c r="H63" s="1573"/>
      <c r="I63" s="1573"/>
      <c r="J63" s="1567"/>
      <c r="K63" s="1560"/>
      <c r="L63" s="1560"/>
      <c r="M63" s="1560"/>
    </row>
    <row r="64" spans="1:13" ht="14.45" customHeight="1">
      <c r="A64" s="1596"/>
      <c r="C64" s="1598"/>
      <c r="E64" s="1002"/>
      <c r="F64" s="289"/>
      <c r="G64" s="289"/>
      <c r="H64" s="289"/>
      <c r="I64" s="289"/>
      <c r="J64" s="315"/>
      <c r="K64" s="315"/>
      <c r="L64" s="315"/>
      <c r="M64" s="315"/>
    </row>
    <row r="65" spans="1:13" ht="14.45" customHeight="1">
      <c r="A65" s="1596"/>
      <c r="C65" s="1598"/>
      <c r="E65" s="1002" t="s">
        <v>1015</v>
      </c>
      <c r="F65" s="289"/>
      <c r="G65" s="292" t="s">
        <v>1016</v>
      </c>
      <c r="H65" s="292"/>
      <c r="J65" s="293"/>
      <c r="K65" s="293"/>
      <c r="L65" s="294"/>
      <c r="M65" s="294"/>
    </row>
    <row r="66" spans="1:13" ht="14.45" customHeight="1">
      <c r="A66" s="1596"/>
      <c r="C66" s="1598"/>
      <c r="E66" s="1002"/>
      <c r="F66" s="289"/>
      <c r="G66" s="289"/>
      <c r="H66" s="289"/>
      <c r="J66" s="289"/>
      <c r="K66" s="289"/>
      <c r="L66" s="289"/>
      <c r="M66" s="289"/>
    </row>
    <row r="67" spans="1:13" ht="14.45" customHeight="1">
      <c r="A67" s="1596"/>
      <c r="C67" s="1598"/>
      <c r="E67" s="1595" t="s">
        <v>70</v>
      </c>
      <c r="F67" s="1595"/>
      <c r="G67" s="1584" t="s">
        <v>249</v>
      </c>
      <c r="H67" s="1584"/>
      <c r="I67" s="1585" t="s">
        <v>17</v>
      </c>
      <c r="J67" s="1585"/>
      <c r="L67" s="1584" t="s">
        <v>87</v>
      </c>
      <c r="M67" s="1584"/>
    </row>
    <row r="68" spans="1:13" ht="14.45" customHeight="1">
      <c r="A68" s="1596"/>
      <c r="C68" s="1598"/>
      <c r="E68" s="1589" t="s">
        <v>1044</v>
      </c>
      <c r="F68" s="1589"/>
      <c r="G68" s="1557" t="s">
        <v>13</v>
      </c>
      <c r="H68" s="1557"/>
      <c r="I68" s="1590" t="s">
        <v>18</v>
      </c>
      <c r="J68" s="1590"/>
      <c r="L68" s="1557" t="s">
        <v>971</v>
      </c>
      <c r="M68" s="1557"/>
    </row>
    <row r="69" spans="1:13" ht="14.45" customHeight="1">
      <c r="A69" s="1596"/>
      <c r="C69" s="1598"/>
      <c r="E69" s="999" t="s">
        <v>253</v>
      </c>
      <c r="F69" s="295"/>
      <c r="G69" s="295"/>
      <c r="H69" s="289"/>
      <c r="I69" s="289"/>
      <c r="J69" s="289"/>
      <c r="K69" s="296"/>
      <c r="L69" s="289"/>
      <c r="M69" s="289"/>
    </row>
    <row r="70" spans="1:13" ht="14.45" customHeight="1">
      <c r="A70" s="1596"/>
      <c r="C70" s="1598"/>
      <c r="E70" s="1018"/>
      <c r="F70" s="297"/>
      <c r="G70" s="297"/>
      <c r="H70" s="289"/>
      <c r="I70" s="289"/>
      <c r="J70" s="289"/>
      <c r="K70" s="298"/>
      <c r="L70" s="289"/>
      <c r="M70" s="289"/>
    </row>
    <row r="71" spans="1:13" ht="14.45" customHeight="1">
      <c r="A71" s="1596"/>
      <c r="C71" s="1598"/>
      <c r="E71" s="1584" t="s">
        <v>1437</v>
      </c>
      <c r="F71" s="1584"/>
      <c r="G71" s="299"/>
      <c r="H71" s="299"/>
      <c r="I71" s="299"/>
      <c r="J71" s="300"/>
      <c r="K71" s="300"/>
      <c r="L71" s="301"/>
      <c r="M71" s="297"/>
    </row>
    <row r="72" spans="1:13" ht="15" customHeight="1">
      <c r="A72" s="1596"/>
      <c r="C72" s="1598"/>
      <c r="E72" s="1583" t="s">
        <v>22</v>
      </c>
      <c r="F72" s="1583"/>
    </row>
    <row r="73" spans="1:13" ht="15" customHeight="1">
      <c r="A73" s="1596"/>
      <c r="F73" s="316"/>
    </row>
    <row r="74" spans="1:13" ht="15" customHeight="1">
      <c r="A74" s="1596"/>
      <c r="F74" s="316"/>
    </row>
    <row r="75" spans="1:13" ht="15" customHeight="1">
      <c r="A75" s="1596"/>
      <c r="F75" s="316"/>
    </row>
    <row r="76" spans="1:13" ht="15" customHeight="1">
      <c r="A76" s="1596"/>
      <c r="F76" s="316"/>
    </row>
    <row r="77" spans="1:13" ht="15" customHeight="1">
      <c r="A77" s="1596"/>
      <c r="F77" s="316"/>
    </row>
    <row r="78" spans="1:13" ht="15" customHeight="1">
      <c r="A78" s="1596"/>
      <c r="F78" s="316"/>
    </row>
    <row r="79" spans="1:13" ht="15" customHeight="1">
      <c r="A79" s="1596"/>
      <c r="F79" s="316"/>
    </row>
    <row r="80" spans="1:13" ht="15" customHeight="1">
      <c r="A80" s="1596"/>
      <c r="F80" s="316"/>
    </row>
    <row r="81" spans="1:13" ht="14.45" customHeight="1">
      <c r="A81" s="1596"/>
    </row>
    <row r="82" spans="1:13" ht="14.45" customHeight="1">
      <c r="A82" s="1596"/>
    </row>
    <row r="83" spans="1:13" ht="14.45" customHeight="1">
      <c r="A83" s="1596"/>
    </row>
    <row r="84" spans="1:13" ht="18" customHeight="1">
      <c r="A84" s="1596"/>
    </row>
    <row r="85" spans="1:13" ht="14.45" customHeight="1">
      <c r="C85" s="1607" t="s">
        <v>1045</v>
      </c>
      <c r="D85" s="289"/>
      <c r="F85" s="1594" t="s">
        <v>1716</v>
      </c>
      <c r="G85" s="1594"/>
      <c r="H85" s="1594"/>
      <c r="I85" s="1594"/>
      <c r="J85" s="1594"/>
      <c r="K85" s="1594"/>
      <c r="L85" s="1594"/>
      <c r="M85" s="265"/>
    </row>
    <row r="86" spans="1:13" ht="14.45" customHeight="1">
      <c r="C86" s="1608"/>
      <c r="E86" s="1579" t="s">
        <v>174</v>
      </c>
      <c r="F86" s="1579"/>
      <c r="G86" s="1579"/>
      <c r="H86" s="1579"/>
      <c r="I86" s="1579"/>
      <c r="J86" s="1579"/>
      <c r="K86" s="1579"/>
      <c r="L86" s="1579"/>
      <c r="M86" s="1579"/>
    </row>
    <row r="87" spans="1:13" ht="14.45" customHeight="1">
      <c r="C87" s="1608"/>
      <c r="E87" s="1002" t="s">
        <v>1046</v>
      </c>
      <c r="F87" s="318" t="s">
        <v>1047</v>
      </c>
      <c r="G87" s="289"/>
      <c r="H87" s="289"/>
      <c r="I87" s="289"/>
      <c r="J87" s="289"/>
      <c r="K87" s="289"/>
      <c r="L87" s="289"/>
      <c r="M87" s="289"/>
    </row>
    <row r="88" spans="1:13" ht="14.45" customHeight="1">
      <c r="C88" s="1608"/>
      <c r="E88" s="1002" t="s">
        <v>978</v>
      </c>
      <c r="F88" s="263" t="s">
        <v>1048</v>
      </c>
      <c r="G88" s="289"/>
      <c r="H88" s="289"/>
      <c r="I88" s="289"/>
      <c r="J88" s="289"/>
      <c r="K88" s="289"/>
      <c r="L88" s="289"/>
      <c r="M88" s="289"/>
    </row>
    <row r="89" spans="1:13" ht="14.45" customHeight="1">
      <c r="C89" s="1608"/>
      <c r="E89" s="1002" t="s">
        <v>980</v>
      </c>
      <c r="F89" s="1599" t="s">
        <v>1049</v>
      </c>
      <c r="G89" s="1599"/>
      <c r="H89" s="1599"/>
      <c r="I89" s="1599"/>
      <c r="J89" s="1599"/>
      <c r="K89" s="1599"/>
      <c r="L89" s="1599"/>
      <c r="M89" s="1599"/>
    </row>
    <row r="90" spans="1:13" ht="14.45" customHeight="1">
      <c r="C90" s="1608"/>
      <c r="E90" s="1002" t="s">
        <v>982</v>
      </c>
      <c r="F90" s="1599" t="s">
        <v>1050</v>
      </c>
      <c r="G90" s="1599"/>
      <c r="H90" s="1599"/>
      <c r="I90" s="1599"/>
      <c r="J90" s="1599"/>
      <c r="K90" s="1599"/>
      <c r="L90" s="1599"/>
      <c r="M90" s="1599"/>
    </row>
    <row r="91" spans="1:13" ht="14.45" customHeight="1">
      <c r="C91" s="1608"/>
      <c r="E91" s="1002" t="s">
        <v>1051</v>
      </c>
      <c r="F91" s="289"/>
      <c r="G91" s="289"/>
      <c r="H91" s="289"/>
      <c r="I91" s="289"/>
      <c r="J91" s="289"/>
      <c r="K91" s="289"/>
      <c r="L91" s="289"/>
      <c r="M91" s="289"/>
    </row>
    <row r="92" spans="1:13" ht="14.45" customHeight="1">
      <c r="C92" s="1608"/>
      <c r="E92" s="1577" t="s">
        <v>985</v>
      </c>
      <c r="F92" s="1577" t="s">
        <v>1052</v>
      </c>
      <c r="G92" s="1577" t="s">
        <v>1053</v>
      </c>
      <c r="H92" s="1577" t="s">
        <v>1054</v>
      </c>
      <c r="I92" s="1577" t="s">
        <v>986</v>
      </c>
      <c r="J92" s="1610" t="s">
        <v>1718</v>
      </c>
      <c r="K92" s="1610"/>
      <c r="L92" s="1610"/>
      <c r="M92" s="1610"/>
    </row>
    <row r="93" spans="1:13" ht="14.45" customHeight="1">
      <c r="C93" s="1608"/>
      <c r="E93" s="1578"/>
      <c r="F93" s="1578"/>
      <c r="G93" s="1578"/>
      <c r="H93" s="1578"/>
      <c r="I93" s="1578"/>
      <c r="J93" s="319" t="s">
        <v>270</v>
      </c>
      <c r="K93" s="319" t="s">
        <v>1055</v>
      </c>
      <c r="L93" s="319" t="s">
        <v>272</v>
      </c>
      <c r="M93" s="319" t="s">
        <v>15</v>
      </c>
    </row>
    <row r="94" spans="1:13" ht="14.45" customHeight="1">
      <c r="C94" s="1608"/>
      <c r="E94" s="278" t="s">
        <v>1056</v>
      </c>
      <c r="F94" s="1574" t="s">
        <v>1057</v>
      </c>
      <c r="G94" s="1568" t="s">
        <v>1058</v>
      </c>
      <c r="H94" s="1568" t="s">
        <v>1059</v>
      </c>
      <c r="I94" s="1574" t="s">
        <v>1060</v>
      </c>
      <c r="J94" s="1558">
        <f>'LBP NO. 2'!M194</f>
        <v>2112273</v>
      </c>
      <c r="K94" s="1558">
        <f>'LBP NO. 2'!M203</f>
        <v>526587</v>
      </c>
      <c r="L94" s="1558">
        <f>'LBP NO. 2'!M208</f>
        <v>0</v>
      </c>
      <c r="M94" s="1558">
        <f>SUM(J94:L102)</f>
        <v>2638860</v>
      </c>
    </row>
    <row r="95" spans="1:13" ht="69" customHeight="1">
      <c r="C95" s="1608"/>
      <c r="E95" s="1019"/>
      <c r="F95" s="1576"/>
      <c r="G95" s="1570"/>
      <c r="H95" s="1570"/>
      <c r="I95" s="1576"/>
      <c r="J95" s="1559"/>
      <c r="K95" s="1559"/>
      <c r="L95" s="1559"/>
      <c r="M95" s="1559"/>
    </row>
    <row r="96" spans="1:13" ht="14.45" customHeight="1">
      <c r="C96" s="1608"/>
      <c r="E96" s="278" t="s">
        <v>1056</v>
      </c>
      <c r="F96" s="1574" t="s">
        <v>1061</v>
      </c>
      <c r="G96" s="1568" t="s">
        <v>1062</v>
      </c>
      <c r="H96" s="1571" t="s">
        <v>1063</v>
      </c>
      <c r="I96" s="1574" t="s">
        <v>1719</v>
      </c>
      <c r="J96" s="1559"/>
      <c r="K96" s="1559"/>
      <c r="L96" s="1559"/>
      <c r="M96" s="1559"/>
    </row>
    <row r="97" spans="3:13" ht="14.45" customHeight="1">
      <c r="C97" s="1608"/>
      <c r="E97" s="1020"/>
      <c r="F97" s="1575"/>
      <c r="G97" s="1569"/>
      <c r="H97" s="1572"/>
      <c r="I97" s="1575"/>
      <c r="J97" s="1559"/>
      <c r="K97" s="1559"/>
      <c r="L97" s="1559"/>
      <c r="M97" s="1559"/>
    </row>
    <row r="98" spans="3:13" ht="91.5" customHeight="1">
      <c r="C98" s="1608"/>
      <c r="E98" s="280"/>
      <c r="F98" s="1576"/>
      <c r="G98" s="1570"/>
      <c r="H98" s="1573"/>
      <c r="I98" s="1576"/>
      <c r="J98" s="1559"/>
      <c r="K98" s="1559"/>
      <c r="L98" s="1559"/>
      <c r="M98" s="1559"/>
    </row>
    <row r="99" spans="3:13" ht="14.45" customHeight="1">
      <c r="C99" s="1608"/>
      <c r="E99" s="278" t="s">
        <v>1056</v>
      </c>
      <c r="F99" s="1571" t="s">
        <v>1517</v>
      </c>
      <c r="G99" s="1568" t="s">
        <v>1064</v>
      </c>
      <c r="H99" s="1571" t="s">
        <v>1065</v>
      </c>
      <c r="I99" s="1574" t="s">
        <v>1720</v>
      </c>
      <c r="J99" s="1559"/>
      <c r="K99" s="1559"/>
      <c r="L99" s="1559"/>
      <c r="M99" s="1559"/>
    </row>
    <row r="100" spans="3:13" ht="14.45" customHeight="1">
      <c r="C100" s="1608"/>
      <c r="E100" s="279"/>
      <c r="F100" s="1572"/>
      <c r="G100" s="1569"/>
      <c r="H100" s="1572"/>
      <c r="I100" s="1575"/>
      <c r="J100" s="1559"/>
      <c r="K100" s="1559"/>
      <c r="L100" s="1559"/>
      <c r="M100" s="1559"/>
    </row>
    <row r="101" spans="3:13" ht="75.75" customHeight="1">
      <c r="C101" s="1608"/>
      <c r="E101" s="1019"/>
      <c r="F101" s="1573"/>
      <c r="G101" s="1570"/>
      <c r="H101" s="1573"/>
      <c r="I101" s="1576"/>
      <c r="J101" s="1560"/>
      <c r="K101" s="1560"/>
      <c r="L101" s="1560"/>
      <c r="M101" s="1560"/>
    </row>
    <row r="102" spans="3:13" ht="45.75" customHeight="1">
      <c r="C102" s="1608"/>
      <c r="E102" s="1021"/>
      <c r="F102" s="320" t="s">
        <v>1518</v>
      </c>
      <c r="G102" s="321" t="s">
        <v>1519</v>
      </c>
      <c r="H102" s="320" t="s">
        <v>1520</v>
      </c>
      <c r="I102" s="283" t="s">
        <v>1721</v>
      </c>
      <c r="J102" s="1591" t="s">
        <v>1066</v>
      </c>
      <c r="K102" s="1592"/>
      <c r="L102" s="1592"/>
      <c r="M102" s="1593"/>
    </row>
    <row r="103" spans="3:13" ht="20.100000000000001" customHeight="1" thickBot="1">
      <c r="C103" s="1608"/>
      <c r="E103" s="421"/>
      <c r="F103" s="323"/>
      <c r="G103" s="324"/>
      <c r="H103" s="325"/>
      <c r="I103" s="322"/>
      <c r="J103" s="326">
        <f>SUM(J94:J101)</f>
        <v>2112273</v>
      </c>
      <c r="K103" s="327">
        <f>SUM(K94:K101)</f>
        <v>526587</v>
      </c>
      <c r="L103" s="327">
        <f>SUM(L94:L101)</f>
        <v>0</v>
      </c>
      <c r="M103" s="328">
        <f>SUM(M94:M101)</f>
        <v>2638860</v>
      </c>
    </row>
    <row r="104" spans="3:13" ht="14.45" customHeight="1" thickTop="1">
      <c r="C104" s="1608"/>
      <c r="E104" s="1002"/>
      <c r="F104" s="289"/>
      <c r="G104" s="289"/>
      <c r="H104" s="289"/>
      <c r="I104" s="289"/>
      <c r="J104" s="315"/>
      <c r="K104" s="315"/>
      <c r="L104" s="315"/>
      <c r="M104" s="315"/>
    </row>
    <row r="105" spans="3:13" ht="14.45" customHeight="1">
      <c r="C105" s="1608"/>
      <c r="E105" s="1002" t="s">
        <v>1015</v>
      </c>
      <c r="F105" s="289"/>
      <c r="G105" s="293" t="s">
        <v>1016</v>
      </c>
      <c r="J105" s="293"/>
      <c r="K105" s="293"/>
      <c r="L105" s="294"/>
      <c r="M105" s="294"/>
    </row>
    <row r="106" spans="3:13" ht="14.45" customHeight="1">
      <c r="C106" s="1608"/>
      <c r="E106" s="1002"/>
      <c r="F106" s="289"/>
      <c r="G106" s="289"/>
      <c r="J106" s="289"/>
      <c r="K106" s="289"/>
      <c r="L106" s="289"/>
      <c r="M106" s="289"/>
    </row>
    <row r="107" spans="3:13" ht="14.45" customHeight="1">
      <c r="C107" s="1608"/>
      <c r="E107" s="1595" t="s">
        <v>249</v>
      </c>
      <c r="F107" s="1595"/>
      <c r="G107" s="1584" t="s">
        <v>249</v>
      </c>
      <c r="H107" s="1584"/>
      <c r="I107" s="1585" t="s">
        <v>17</v>
      </c>
      <c r="J107" s="1585"/>
      <c r="L107" s="1584" t="s">
        <v>87</v>
      </c>
      <c r="M107" s="1584"/>
    </row>
    <row r="108" spans="3:13" ht="14.45" customHeight="1">
      <c r="C108" s="1608"/>
      <c r="E108" s="1589" t="s">
        <v>13</v>
      </c>
      <c r="F108" s="1589"/>
      <c r="G108" s="1557" t="s">
        <v>13</v>
      </c>
      <c r="H108" s="1557"/>
      <c r="I108" s="1590" t="s">
        <v>18</v>
      </c>
      <c r="J108" s="1590"/>
      <c r="L108" s="1557" t="s">
        <v>971</v>
      </c>
      <c r="M108" s="1557"/>
    </row>
    <row r="109" spans="3:13" ht="14.45" customHeight="1">
      <c r="C109" s="1608"/>
      <c r="E109" s="999" t="s">
        <v>253</v>
      </c>
      <c r="F109" s="295"/>
      <c r="G109" s="295"/>
      <c r="H109" s="289"/>
      <c r="I109" s="289"/>
      <c r="J109" s="289"/>
      <c r="K109" s="296"/>
      <c r="L109" s="289"/>
      <c r="M109" s="289"/>
    </row>
    <row r="110" spans="3:13" ht="14.45" customHeight="1">
      <c r="C110" s="1608"/>
      <c r="E110" s="1018"/>
      <c r="F110" s="297"/>
      <c r="G110" s="297"/>
      <c r="H110" s="289"/>
      <c r="I110" s="289"/>
      <c r="J110" s="289"/>
      <c r="K110" s="298"/>
      <c r="L110" s="289"/>
      <c r="M110" s="289"/>
    </row>
    <row r="111" spans="3:13" ht="14.45" customHeight="1">
      <c r="C111" s="1608"/>
      <c r="E111" s="1584" t="s">
        <v>1438</v>
      </c>
      <c r="F111" s="1584"/>
      <c r="G111" s="299"/>
      <c r="H111" s="299"/>
      <c r="I111" s="299"/>
      <c r="J111" s="300"/>
      <c r="K111" s="300"/>
      <c r="L111" s="301"/>
      <c r="M111" s="297"/>
    </row>
    <row r="112" spans="3:13" ht="15.95" customHeight="1">
      <c r="C112" s="1608"/>
      <c r="E112" s="1557" t="s">
        <v>14</v>
      </c>
      <c r="F112" s="1557"/>
    </row>
    <row r="114" spans="3:15" ht="14.45" customHeight="1">
      <c r="C114" s="1607" t="s">
        <v>1067</v>
      </c>
      <c r="D114" s="264"/>
      <c r="F114" s="1611" t="s">
        <v>1716</v>
      </c>
      <c r="G114" s="1611"/>
      <c r="H114" s="1611"/>
      <c r="I114" s="1611"/>
      <c r="J114" s="1611"/>
      <c r="K114" s="1611"/>
      <c r="L114" s="1611"/>
      <c r="M114" s="1611"/>
      <c r="N114" s="329"/>
      <c r="O114" s="329"/>
    </row>
    <row r="115" spans="3:15" ht="14.45" customHeight="1">
      <c r="C115" s="1608"/>
      <c r="F115" s="1612" t="s">
        <v>174</v>
      </c>
      <c r="G115" s="1612"/>
      <c r="H115" s="1612"/>
      <c r="I115" s="1612"/>
      <c r="J115" s="1612"/>
      <c r="K115" s="1612"/>
      <c r="L115" s="1612"/>
      <c r="M115" s="1612"/>
      <c r="N115" s="330"/>
      <c r="O115" s="330"/>
    </row>
    <row r="116" spans="3:15" ht="14.45" customHeight="1">
      <c r="C116" s="1608"/>
      <c r="E116" s="1006" t="s">
        <v>1046</v>
      </c>
      <c r="F116" s="332" t="s">
        <v>1068</v>
      </c>
      <c r="G116" s="331"/>
      <c r="I116" s="331"/>
      <c r="J116" s="331"/>
      <c r="K116" s="331"/>
      <c r="L116" s="331"/>
      <c r="M116" s="331"/>
      <c r="N116" s="331"/>
      <c r="O116" s="331"/>
    </row>
    <row r="117" spans="3:15" ht="14.45" customHeight="1">
      <c r="C117" s="1608"/>
      <c r="E117" s="1006" t="s">
        <v>1069</v>
      </c>
      <c r="F117" s="331" t="s">
        <v>1070</v>
      </c>
      <c r="G117" s="331"/>
      <c r="I117" s="331"/>
      <c r="J117" s="331"/>
      <c r="K117" s="331"/>
      <c r="L117" s="331"/>
      <c r="M117" s="331"/>
      <c r="N117" s="331"/>
      <c r="O117" s="331"/>
    </row>
    <row r="118" spans="3:15" ht="14.45" customHeight="1">
      <c r="C118" s="1608"/>
      <c r="E118" s="1006" t="s">
        <v>980</v>
      </c>
      <c r="F118" s="331" t="s">
        <v>1071</v>
      </c>
      <c r="G118" s="331"/>
      <c r="I118" s="331"/>
      <c r="J118" s="331"/>
      <c r="K118" s="331"/>
      <c r="L118" s="331"/>
      <c r="M118" s="331"/>
      <c r="N118" s="331"/>
      <c r="O118" s="331"/>
    </row>
    <row r="119" spans="3:15" ht="14.45" customHeight="1">
      <c r="C119" s="1608"/>
      <c r="E119" s="1006" t="s">
        <v>1072</v>
      </c>
      <c r="F119" s="331" t="s">
        <v>1073</v>
      </c>
      <c r="G119" s="331"/>
      <c r="I119" s="331"/>
      <c r="J119" s="331"/>
      <c r="K119" s="331"/>
      <c r="L119" s="331"/>
      <c r="M119" s="331"/>
      <c r="N119" s="331"/>
      <c r="O119" s="331"/>
    </row>
    <row r="120" spans="3:15" ht="14.45" customHeight="1">
      <c r="C120" s="1608"/>
      <c r="E120" s="1006"/>
      <c r="F120" s="331" t="s">
        <v>1074</v>
      </c>
      <c r="G120" s="331"/>
      <c r="I120" s="331"/>
      <c r="J120" s="331"/>
      <c r="K120" s="331"/>
      <c r="L120" s="331"/>
      <c r="M120" s="331"/>
      <c r="N120" s="331"/>
      <c r="O120" s="331"/>
    </row>
    <row r="121" spans="3:15" ht="14.45" customHeight="1">
      <c r="C121" s="1608"/>
      <c r="E121" s="1613" t="s">
        <v>1075</v>
      </c>
      <c r="F121" s="1613"/>
      <c r="G121" s="1613"/>
      <c r="H121" s="1613"/>
      <c r="I121" s="1613"/>
      <c r="J121" s="1613"/>
      <c r="K121" s="1613"/>
      <c r="L121" s="1613"/>
      <c r="M121" s="331"/>
      <c r="N121" s="331"/>
      <c r="O121" s="331"/>
    </row>
    <row r="122" spans="3:15" ht="14.45" customHeight="1">
      <c r="C122" s="1608"/>
      <c r="E122" s="1006"/>
      <c r="F122" s="331"/>
      <c r="G122" s="331"/>
      <c r="H122" s="331"/>
      <c r="I122" s="331"/>
      <c r="J122" s="331"/>
      <c r="K122" s="331"/>
      <c r="L122" s="331"/>
      <c r="M122" s="331"/>
      <c r="N122" s="331"/>
      <c r="O122" s="331"/>
    </row>
    <row r="123" spans="3:15" ht="14.45" customHeight="1">
      <c r="C123" s="1608"/>
      <c r="E123" s="1577" t="s">
        <v>985</v>
      </c>
      <c r="F123" s="333" t="s">
        <v>1052</v>
      </c>
      <c r="G123" s="334" t="s">
        <v>627</v>
      </c>
      <c r="H123" s="1614" t="s">
        <v>1054</v>
      </c>
      <c r="I123" s="1614" t="s">
        <v>986</v>
      </c>
      <c r="J123" s="1616" t="s">
        <v>1722</v>
      </c>
      <c r="K123" s="1617"/>
      <c r="L123" s="1617"/>
      <c r="M123" s="1618"/>
    </row>
    <row r="124" spans="3:15" ht="18" customHeight="1">
      <c r="C124" s="1608"/>
      <c r="E124" s="1578"/>
      <c r="F124" s="335"/>
      <c r="G124" s="336"/>
      <c r="H124" s="1615"/>
      <c r="I124" s="1615"/>
      <c r="J124" s="337" t="s">
        <v>270</v>
      </c>
      <c r="K124" s="338" t="s">
        <v>271</v>
      </c>
      <c r="L124" s="338" t="s">
        <v>272</v>
      </c>
      <c r="M124" s="339" t="s">
        <v>15</v>
      </c>
    </row>
    <row r="125" spans="3:15" ht="39.75" customHeight="1">
      <c r="C125" s="1608"/>
      <c r="E125" s="340" t="s">
        <v>1076</v>
      </c>
      <c r="F125" s="341" t="s">
        <v>1077</v>
      </c>
      <c r="G125" s="342"/>
      <c r="H125" s="343" t="s">
        <v>1078</v>
      </c>
      <c r="I125" s="344" t="s">
        <v>1723</v>
      </c>
      <c r="J125" s="1622">
        <f>'LBP NO. 2'!M264</f>
        <v>2563261</v>
      </c>
      <c r="K125" s="1622">
        <f>'LBP NO. 2'!M274</f>
        <v>219250</v>
      </c>
      <c r="L125" s="1622">
        <f>'LBP NO. 2'!M279</f>
        <v>0</v>
      </c>
      <c r="M125" s="1622">
        <f>SUM(J125:L137)</f>
        <v>2782511</v>
      </c>
    </row>
    <row r="126" spans="3:15" ht="14.45" customHeight="1">
      <c r="C126" s="1608"/>
      <c r="E126" s="345"/>
      <c r="F126" s="346"/>
      <c r="G126" s="347"/>
      <c r="H126" s="348"/>
      <c r="I126" s="349"/>
      <c r="J126" s="1623"/>
      <c r="K126" s="1623"/>
      <c r="L126" s="1623"/>
      <c r="M126" s="1623"/>
    </row>
    <row r="127" spans="3:15" ht="55.5" customHeight="1">
      <c r="C127" s="1608"/>
      <c r="E127" s="340" t="s">
        <v>1076</v>
      </c>
      <c r="F127" s="341" t="s">
        <v>1079</v>
      </c>
      <c r="G127" s="350" t="s">
        <v>1080</v>
      </c>
      <c r="H127" s="351" t="s">
        <v>1081</v>
      </c>
      <c r="I127" s="344" t="s">
        <v>1082</v>
      </c>
      <c r="J127" s="1623"/>
      <c r="K127" s="1623"/>
      <c r="L127" s="1623"/>
      <c r="M127" s="1623"/>
    </row>
    <row r="128" spans="3:15" ht="14.45" customHeight="1">
      <c r="C128" s="1608"/>
      <c r="E128" s="345"/>
      <c r="F128" s="346"/>
      <c r="G128" s="352"/>
      <c r="H128" s="353"/>
      <c r="I128" s="347"/>
      <c r="J128" s="1623"/>
      <c r="K128" s="1623"/>
      <c r="L128" s="1623"/>
      <c r="M128" s="1623"/>
    </row>
    <row r="129" spans="3:15" ht="43.5" customHeight="1">
      <c r="C129" s="1608"/>
      <c r="E129" s="345" t="s">
        <v>1076</v>
      </c>
      <c r="F129" s="354" t="s">
        <v>1083</v>
      </c>
      <c r="G129" s="352" t="s">
        <v>1084</v>
      </c>
      <c r="H129" s="348" t="s">
        <v>1085</v>
      </c>
      <c r="I129" s="349" t="s">
        <v>1086</v>
      </c>
      <c r="J129" s="1623"/>
      <c r="K129" s="1623"/>
      <c r="L129" s="1623"/>
      <c r="M129" s="1623"/>
    </row>
    <row r="130" spans="3:15" ht="23.25" customHeight="1">
      <c r="C130" s="1608"/>
      <c r="E130" s="355" t="s">
        <v>1076</v>
      </c>
      <c r="F130" s="356" t="s">
        <v>1087</v>
      </c>
      <c r="G130" s="357" t="s">
        <v>1088</v>
      </c>
      <c r="H130" s="356" t="s">
        <v>1089</v>
      </c>
      <c r="I130" s="358" t="s">
        <v>1090</v>
      </c>
      <c r="J130" s="1623"/>
      <c r="K130" s="1623"/>
      <c r="L130" s="1623"/>
      <c r="M130" s="1623"/>
    </row>
    <row r="131" spans="3:15" ht="14.45" customHeight="1">
      <c r="C131" s="1608"/>
      <c r="E131" s="355"/>
      <c r="F131" s="356"/>
      <c r="G131" s="359"/>
      <c r="H131" s="356"/>
      <c r="I131" s="347"/>
      <c r="J131" s="1623"/>
      <c r="K131" s="1623"/>
      <c r="L131" s="1623"/>
      <c r="M131" s="1623"/>
    </row>
    <row r="132" spans="3:15" ht="57" customHeight="1">
      <c r="C132" s="1608"/>
      <c r="E132" s="340" t="s">
        <v>1076</v>
      </c>
      <c r="F132" s="351" t="s">
        <v>1091</v>
      </c>
      <c r="G132" s="360" t="s">
        <v>1092</v>
      </c>
      <c r="H132" s="351" t="s">
        <v>1093</v>
      </c>
      <c r="I132" s="344" t="s">
        <v>1092</v>
      </c>
      <c r="J132" s="1623"/>
      <c r="K132" s="1623"/>
      <c r="L132" s="1623"/>
      <c r="M132" s="1623"/>
    </row>
    <row r="133" spans="3:15" ht="14.45" customHeight="1">
      <c r="C133" s="1608"/>
      <c r="E133" s="345"/>
      <c r="F133" s="361"/>
      <c r="G133" s="352"/>
      <c r="H133" s="354"/>
      <c r="I133" s="362"/>
      <c r="J133" s="1623"/>
      <c r="K133" s="1623"/>
      <c r="L133" s="1623"/>
      <c r="M133" s="1623"/>
    </row>
    <row r="134" spans="3:15" ht="27" customHeight="1">
      <c r="C134" s="1608"/>
      <c r="E134" s="340" t="s">
        <v>1076</v>
      </c>
      <c r="F134" s="351" t="s">
        <v>1094</v>
      </c>
      <c r="G134" s="350" t="s">
        <v>1095</v>
      </c>
      <c r="H134" s="351"/>
      <c r="I134" s="363" t="s">
        <v>1096</v>
      </c>
      <c r="J134" s="1623"/>
      <c r="K134" s="1623"/>
      <c r="L134" s="1623"/>
      <c r="M134" s="1623"/>
    </row>
    <row r="135" spans="3:15" ht="14.45" customHeight="1">
      <c r="C135" s="1608"/>
      <c r="E135" s="345"/>
      <c r="F135" s="354"/>
      <c r="G135" s="352"/>
      <c r="H135" s="354"/>
      <c r="I135" s="364"/>
      <c r="J135" s="1623"/>
      <c r="K135" s="1623"/>
      <c r="L135" s="1623"/>
      <c r="M135" s="1623"/>
    </row>
    <row r="136" spans="3:15" ht="35.25" customHeight="1">
      <c r="C136" s="1608"/>
      <c r="E136" s="355" t="s">
        <v>1076</v>
      </c>
      <c r="F136" s="356" t="s">
        <v>1097</v>
      </c>
      <c r="G136" s="357" t="s">
        <v>1098</v>
      </c>
      <c r="H136" s="356"/>
      <c r="I136" s="365" t="s">
        <v>1099</v>
      </c>
      <c r="J136" s="1623"/>
      <c r="K136" s="1623"/>
      <c r="L136" s="1623"/>
      <c r="M136" s="1623"/>
    </row>
    <row r="137" spans="3:15" ht="14.45" customHeight="1">
      <c r="C137" s="1608"/>
      <c r="E137" s="345"/>
      <c r="F137" s="354"/>
      <c r="G137" s="352"/>
      <c r="H137" s="354"/>
      <c r="I137" s="366"/>
      <c r="J137" s="1624"/>
      <c r="K137" s="1624"/>
      <c r="L137" s="1624"/>
      <c r="M137" s="1624"/>
    </row>
    <row r="138" spans="3:15" ht="14.45" customHeight="1">
      <c r="C138" s="1608"/>
      <c r="E138" s="1022"/>
      <c r="F138" s="367"/>
      <c r="G138" s="367"/>
      <c r="H138" s="367"/>
      <c r="I138" s="367"/>
      <c r="J138" s="367"/>
      <c r="K138" s="367"/>
      <c r="L138" s="368"/>
      <c r="M138" s="368"/>
      <c r="N138" s="368"/>
      <c r="O138" s="368"/>
    </row>
    <row r="139" spans="3:15" ht="14.45" customHeight="1">
      <c r="C139" s="1608"/>
      <c r="E139" s="1006" t="s">
        <v>1015</v>
      </c>
      <c r="F139" s="331"/>
      <c r="G139" s="369" t="s">
        <v>1016</v>
      </c>
      <c r="H139" s="369"/>
      <c r="J139" s="369"/>
      <c r="K139" s="369"/>
      <c r="L139" s="367"/>
      <c r="M139" s="367"/>
      <c r="N139" s="367"/>
      <c r="O139" s="367"/>
    </row>
    <row r="140" spans="3:15" ht="14.45" customHeight="1">
      <c r="C140" s="1608"/>
      <c r="E140" s="1006"/>
      <c r="F140" s="331"/>
      <c r="G140" s="331"/>
      <c r="H140" s="331"/>
      <c r="I140" s="331"/>
      <c r="J140" s="331"/>
      <c r="K140" s="331"/>
      <c r="L140" s="367"/>
      <c r="M140" s="367"/>
      <c r="N140" s="367"/>
      <c r="O140" s="367"/>
    </row>
    <row r="141" spans="3:15" ht="14.45" customHeight="1">
      <c r="C141" s="1608"/>
      <c r="E141" s="1586" t="s">
        <v>23</v>
      </c>
      <c r="F141" s="1586"/>
      <c r="G141" s="1587" t="s">
        <v>249</v>
      </c>
      <c r="H141" s="1587"/>
      <c r="I141" s="1588" t="s">
        <v>17</v>
      </c>
      <c r="J141" s="1588"/>
      <c r="L141" s="1584" t="s">
        <v>87</v>
      </c>
      <c r="M141" s="1584"/>
      <c r="N141" s="370"/>
    </row>
    <row r="142" spans="3:15" ht="14.45" customHeight="1">
      <c r="C142" s="1608"/>
      <c r="E142" s="1619" t="s">
        <v>845</v>
      </c>
      <c r="F142" s="1619"/>
      <c r="G142" s="1620" t="s">
        <v>13</v>
      </c>
      <c r="H142" s="1620"/>
      <c r="I142" s="1621" t="s">
        <v>18</v>
      </c>
      <c r="J142" s="1621"/>
      <c r="L142" s="1557" t="s">
        <v>971</v>
      </c>
      <c r="M142" s="1557"/>
      <c r="N142" s="371"/>
    </row>
    <row r="143" spans="3:15" ht="14.45" customHeight="1">
      <c r="C143" s="1608"/>
      <c r="E143" s="1007" t="s">
        <v>253</v>
      </c>
      <c r="F143" s="372"/>
      <c r="G143" s="372"/>
      <c r="H143" s="331"/>
      <c r="I143" s="331"/>
      <c r="J143" s="331"/>
      <c r="K143" s="373"/>
      <c r="L143" s="374"/>
      <c r="M143" s="372"/>
      <c r="N143" s="372"/>
      <c r="O143" s="367"/>
    </row>
    <row r="144" spans="3:15" ht="14.45" customHeight="1">
      <c r="C144" s="1608"/>
      <c r="E144" s="1023"/>
      <c r="F144" s="374"/>
      <c r="G144" s="374"/>
      <c r="H144" s="331"/>
      <c r="I144" s="331"/>
      <c r="J144" s="331"/>
      <c r="K144" s="375"/>
      <c r="L144" s="374"/>
      <c r="M144" s="376"/>
      <c r="N144" s="372"/>
      <c r="O144" s="367"/>
    </row>
    <row r="145" spans="3:15" ht="14.45" customHeight="1">
      <c r="C145" s="1608"/>
      <c r="E145" s="1584" t="s">
        <v>1438</v>
      </c>
      <c r="F145" s="1584"/>
      <c r="G145" s="377"/>
      <c r="H145" s="377"/>
      <c r="I145" s="370"/>
      <c r="J145" s="378"/>
      <c r="K145" s="378"/>
      <c r="L145" s="331"/>
      <c r="M145" s="331"/>
      <c r="N145" s="331"/>
      <c r="O145" s="367"/>
    </row>
    <row r="146" spans="3:15" ht="14.45" customHeight="1">
      <c r="C146" s="1608"/>
      <c r="E146" s="1557" t="s">
        <v>14</v>
      </c>
      <c r="F146" s="1557"/>
      <c r="G146" s="379"/>
      <c r="H146" s="379"/>
      <c r="I146" s="371"/>
      <c r="J146" s="380"/>
      <c r="K146" s="378"/>
      <c r="L146" s="331"/>
      <c r="M146" s="331"/>
      <c r="N146" s="331"/>
      <c r="O146" s="367"/>
    </row>
    <row r="148" spans="3:15" ht="15.95" customHeight="1"/>
    <row r="149" spans="3:15" ht="14.45" customHeight="1">
      <c r="C149" s="765" t="s">
        <v>1100</v>
      </c>
      <c r="D149" s="289"/>
      <c r="F149" s="1594" t="s">
        <v>1716</v>
      </c>
      <c r="G149" s="1594"/>
      <c r="H149" s="1594"/>
      <c r="I149" s="1594"/>
      <c r="J149" s="1594"/>
      <c r="K149" s="1594"/>
      <c r="L149" s="1594"/>
      <c r="M149" s="265"/>
    </row>
    <row r="150" spans="3:15" ht="14.45" customHeight="1">
      <c r="C150" s="765"/>
      <c r="E150" s="1579" t="s">
        <v>174</v>
      </c>
      <c r="F150" s="1579"/>
      <c r="G150" s="1579"/>
      <c r="H150" s="1579"/>
      <c r="I150" s="1579"/>
      <c r="J150" s="1579"/>
      <c r="K150" s="1579"/>
      <c r="L150" s="1579"/>
      <c r="M150" s="1579"/>
    </row>
    <row r="151" spans="3:15" ht="14.45" customHeight="1">
      <c r="C151" s="765"/>
      <c r="E151" s="1000" t="s">
        <v>976</v>
      </c>
      <c r="F151" s="267" t="s">
        <v>1101</v>
      </c>
    </row>
    <row r="152" spans="3:15" ht="14.45" customHeight="1">
      <c r="C152" s="765"/>
      <c r="E152" s="1000" t="s">
        <v>978</v>
      </c>
      <c r="F152" s="263" t="s">
        <v>1102</v>
      </c>
    </row>
    <row r="153" spans="3:15" ht="14.45" customHeight="1">
      <c r="C153" s="765"/>
      <c r="E153" s="1000" t="s">
        <v>980</v>
      </c>
      <c r="F153" s="1599" t="s">
        <v>1103</v>
      </c>
      <c r="G153" s="1599"/>
      <c r="H153" s="1599"/>
      <c r="I153" s="1599"/>
      <c r="J153" s="381"/>
      <c r="K153" s="381"/>
      <c r="L153" s="381"/>
      <c r="M153" s="381"/>
    </row>
    <row r="154" spans="3:15" ht="33" customHeight="1">
      <c r="C154" s="765"/>
      <c r="E154" s="1024" t="s">
        <v>982</v>
      </c>
      <c r="F154" s="1599" t="s">
        <v>1104</v>
      </c>
      <c r="G154" s="1599"/>
      <c r="H154" s="1599"/>
      <c r="I154" s="1599"/>
      <c r="J154" s="382"/>
      <c r="K154" s="382"/>
      <c r="L154" s="382"/>
      <c r="M154" s="382"/>
    </row>
    <row r="155" spans="3:15" ht="14.45" customHeight="1">
      <c r="C155" s="765"/>
      <c r="E155" s="1000" t="s">
        <v>1105</v>
      </c>
    </row>
    <row r="156" spans="3:15" ht="14.45" customHeight="1">
      <c r="C156" s="765"/>
      <c r="E156" s="1577" t="s">
        <v>985</v>
      </c>
      <c r="F156" s="272" t="s">
        <v>625</v>
      </c>
      <c r="G156" s="1625" t="s">
        <v>627</v>
      </c>
      <c r="H156" s="272" t="s">
        <v>628</v>
      </c>
      <c r="I156" s="1577" t="s">
        <v>986</v>
      </c>
      <c r="J156" s="1627" t="s">
        <v>1717</v>
      </c>
      <c r="K156" s="1603"/>
      <c r="L156" s="1603"/>
      <c r="M156" s="1604"/>
    </row>
    <row r="157" spans="3:15" ht="14.45" customHeight="1">
      <c r="C157" s="765"/>
      <c r="E157" s="1609"/>
      <c r="F157" s="383" t="s">
        <v>626</v>
      </c>
      <c r="G157" s="1626"/>
      <c r="H157" s="383" t="s">
        <v>629</v>
      </c>
      <c r="I157" s="1609"/>
      <c r="J157" s="275" t="s">
        <v>270</v>
      </c>
      <c r="K157" s="275" t="s">
        <v>271</v>
      </c>
      <c r="L157" s="276" t="s">
        <v>272</v>
      </c>
      <c r="M157" s="277" t="s">
        <v>15</v>
      </c>
    </row>
    <row r="158" spans="3:15" ht="14.45" customHeight="1">
      <c r="C158" s="765"/>
      <c r="E158" s="278" t="s">
        <v>1106</v>
      </c>
      <c r="F158" s="1574" t="s">
        <v>1107</v>
      </c>
      <c r="G158" s="1574" t="s">
        <v>1108</v>
      </c>
      <c r="H158" s="1563" t="s">
        <v>1109</v>
      </c>
      <c r="I158" s="306" t="s">
        <v>1110</v>
      </c>
      <c r="J158" s="1558">
        <f>'LBP NO. 2'!M333</f>
        <v>2282789</v>
      </c>
      <c r="K158" s="1558">
        <f>'LBP NO. 2'!M342</f>
        <v>328000</v>
      </c>
      <c r="L158" s="1558">
        <f>'LBP NO. 2'!M347</f>
        <v>0</v>
      </c>
      <c r="M158" s="1558">
        <f>SUM(J158:L183)</f>
        <v>2610789</v>
      </c>
    </row>
    <row r="159" spans="3:15" ht="32.25" customHeight="1">
      <c r="C159" s="765"/>
      <c r="E159" s="279"/>
      <c r="F159" s="1575"/>
      <c r="G159" s="1575"/>
      <c r="H159" s="1561"/>
      <c r="I159" s="308" t="s">
        <v>1111</v>
      </c>
      <c r="J159" s="1559"/>
      <c r="K159" s="1559"/>
      <c r="L159" s="1559"/>
      <c r="M159" s="1559"/>
    </row>
    <row r="160" spans="3:15" ht="14.45" customHeight="1">
      <c r="C160" s="765"/>
      <c r="E160" s="279"/>
      <c r="F160" s="1575"/>
      <c r="G160" s="1575"/>
      <c r="H160" s="1561"/>
      <c r="I160" s="288"/>
      <c r="J160" s="1559"/>
      <c r="K160" s="1559"/>
      <c r="L160" s="1559"/>
      <c r="M160" s="1559"/>
    </row>
    <row r="161" spans="3:13" ht="14.45" customHeight="1">
      <c r="C161" s="765"/>
      <c r="E161" s="278" t="s">
        <v>1106</v>
      </c>
      <c r="F161" s="1563" t="s">
        <v>1112</v>
      </c>
      <c r="G161" s="1574" t="s">
        <v>1113</v>
      </c>
      <c r="H161" s="1574" t="s">
        <v>1114</v>
      </c>
      <c r="I161" s="384" t="s">
        <v>1110</v>
      </c>
      <c r="J161" s="1559"/>
      <c r="K161" s="1559"/>
      <c r="L161" s="1559"/>
      <c r="M161" s="1559"/>
    </row>
    <row r="162" spans="3:13" ht="42.75" customHeight="1">
      <c r="C162" s="765"/>
      <c r="E162" s="280"/>
      <c r="F162" s="1564"/>
      <c r="G162" s="1576"/>
      <c r="H162" s="1576"/>
      <c r="I162" s="288" t="s">
        <v>1115</v>
      </c>
      <c r="J162" s="1559"/>
      <c r="K162" s="1559"/>
      <c r="L162" s="1559"/>
      <c r="M162" s="1559"/>
    </row>
    <row r="163" spans="3:13" ht="30.75" customHeight="1">
      <c r="C163" s="765"/>
      <c r="E163" s="278" t="s">
        <v>1106</v>
      </c>
      <c r="F163" s="1574" t="s">
        <v>1116</v>
      </c>
      <c r="G163" s="1571" t="s">
        <v>1117</v>
      </c>
      <c r="H163" s="1571" t="s">
        <v>1118</v>
      </c>
      <c r="I163" s="308" t="s">
        <v>1119</v>
      </c>
      <c r="J163" s="1559"/>
      <c r="K163" s="1559"/>
      <c r="L163" s="1559"/>
      <c r="M163" s="1559"/>
    </row>
    <row r="164" spans="3:13" ht="24" customHeight="1">
      <c r="C164" s="765"/>
      <c r="E164" s="280"/>
      <c r="F164" s="1576"/>
      <c r="G164" s="1573"/>
      <c r="H164" s="1573"/>
      <c r="I164" s="308"/>
      <c r="J164" s="1559"/>
      <c r="K164" s="1559"/>
      <c r="L164" s="1559"/>
      <c r="M164" s="1559"/>
    </row>
    <row r="165" spans="3:13" ht="45.75" customHeight="1">
      <c r="C165" s="765"/>
      <c r="E165" s="278" t="s">
        <v>1106</v>
      </c>
      <c r="F165" s="1574" t="s">
        <v>1120</v>
      </c>
      <c r="G165" s="1563" t="s">
        <v>1121</v>
      </c>
      <c r="H165" s="1574" t="s">
        <v>1122</v>
      </c>
      <c r="I165" s="1563" t="s">
        <v>1123</v>
      </c>
      <c r="J165" s="1559"/>
      <c r="K165" s="1559"/>
      <c r="L165" s="1559"/>
      <c r="M165" s="1559"/>
    </row>
    <row r="166" spans="3:13" ht="14.45" customHeight="1">
      <c r="C166" s="765"/>
      <c r="E166" s="279"/>
      <c r="F166" s="1575"/>
      <c r="G166" s="1561"/>
      <c r="H166" s="1575"/>
      <c r="I166" s="1561"/>
      <c r="J166" s="1559"/>
      <c r="K166" s="1559"/>
      <c r="L166" s="1559"/>
      <c r="M166" s="1559"/>
    </row>
    <row r="167" spans="3:13" ht="14.45" customHeight="1">
      <c r="C167" s="765"/>
      <c r="E167" s="280"/>
      <c r="F167" s="1576"/>
      <c r="G167" s="1564"/>
      <c r="H167" s="385"/>
      <c r="I167" s="386"/>
      <c r="J167" s="1559"/>
      <c r="K167" s="1559"/>
      <c r="L167" s="1559"/>
      <c r="M167" s="1559"/>
    </row>
    <row r="168" spans="3:13" ht="44.25" customHeight="1">
      <c r="C168" s="765"/>
      <c r="E168" s="282" t="s">
        <v>1106</v>
      </c>
      <c r="F168" s="387" t="s">
        <v>1124</v>
      </c>
      <c r="G168" s="306" t="s">
        <v>1125</v>
      </c>
      <c r="H168" s="387" t="s">
        <v>1126</v>
      </c>
      <c r="I168" s="387" t="s">
        <v>1127</v>
      </c>
      <c r="J168" s="1559"/>
      <c r="K168" s="1559"/>
      <c r="L168" s="1559"/>
      <c r="M168" s="1559"/>
    </row>
    <row r="169" spans="3:13" ht="14.45" customHeight="1">
      <c r="C169" s="765"/>
      <c r="E169" s="280"/>
      <c r="F169" s="388"/>
      <c r="G169" s="288"/>
      <c r="H169" s="385"/>
      <c r="I169" s="389"/>
      <c r="J169" s="1559"/>
      <c r="K169" s="1559"/>
      <c r="L169" s="1559"/>
      <c r="M169" s="1559"/>
    </row>
    <row r="170" spans="3:13" ht="14.45" customHeight="1">
      <c r="C170" s="765"/>
      <c r="E170" s="282" t="s">
        <v>1106</v>
      </c>
      <c r="F170" s="1628" t="s">
        <v>1128</v>
      </c>
      <c r="G170" s="306" t="s">
        <v>1129</v>
      </c>
      <c r="H170" s="1574" t="s">
        <v>1130</v>
      </c>
      <c r="I170" s="390" t="s">
        <v>1131</v>
      </c>
      <c r="J170" s="1559"/>
      <c r="K170" s="1559"/>
      <c r="L170" s="1559"/>
      <c r="M170" s="1559"/>
    </row>
    <row r="171" spans="3:13" ht="44.25" customHeight="1">
      <c r="C171" s="765"/>
      <c r="E171" s="391"/>
      <c r="F171" s="1629"/>
      <c r="G171" s="392"/>
      <c r="H171" s="1576"/>
      <c r="I171" s="393" t="s">
        <v>1132</v>
      </c>
      <c r="J171" s="1559"/>
      <c r="K171" s="1559"/>
      <c r="L171" s="1559"/>
      <c r="M171" s="1559"/>
    </row>
    <row r="172" spans="3:13" ht="49.5" customHeight="1">
      <c r="C172" s="765"/>
      <c r="D172" s="394"/>
      <c r="E172" s="282" t="s">
        <v>1106</v>
      </c>
      <c r="F172" s="395" t="s">
        <v>1133</v>
      </c>
      <c r="G172" s="396" t="s">
        <v>1134</v>
      </c>
      <c r="H172" s="397" t="s">
        <v>1135</v>
      </c>
      <c r="I172" s="398" t="s">
        <v>1110</v>
      </c>
      <c r="J172" s="1559"/>
      <c r="K172" s="1559"/>
      <c r="L172" s="1559"/>
      <c r="M172" s="1559"/>
    </row>
    <row r="173" spans="3:13" ht="14.45" customHeight="1">
      <c r="C173" s="765"/>
      <c r="D173" s="394"/>
      <c r="E173" s="506"/>
      <c r="F173" s="397"/>
      <c r="G173" s="396"/>
      <c r="H173" s="397"/>
      <c r="I173" s="507"/>
      <c r="J173" s="1559"/>
      <c r="K173" s="1559"/>
      <c r="L173" s="1559"/>
      <c r="M173" s="1559"/>
    </row>
    <row r="174" spans="3:13" ht="14.25" customHeight="1">
      <c r="C174" s="765"/>
      <c r="E174" s="406" t="s">
        <v>1106</v>
      </c>
      <c r="F174" s="1575" t="s">
        <v>1136</v>
      </c>
      <c r="G174" s="1572" t="s">
        <v>1137</v>
      </c>
      <c r="H174" s="1575" t="s">
        <v>1138</v>
      </c>
      <c r="I174" s="393" t="s">
        <v>1110</v>
      </c>
      <c r="J174" s="1559"/>
      <c r="K174" s="1559"/>
      <c r="L174" s="1559"/>
      <c r="M174" s="1559"/>
    </row>
    <row r="175" spans="3:13" ht="45.75" customHeight="1">
      <c r="C175" s="765"/>
      <c r="E175" s="279"/>
      <c r="F175" s="1575"/>
      <c r="G175" s="1572"/>
      <c r="H175" s="1575"/>
      <c r="I175" s="399"/>
      <c r="J175" s="1559"/>
      <c r="K175" s="1559"/>
      <c r="L175" s="1559"/>
      <c r="M175" s="1559"/>
    </row>
    <row r="176" spans="3:13" ht="15.95" customHeight="1">
      <c r="C176" s="400"/>
      <c r="E176" s="279"/>
      <c r="F176" s="286"/>
      <c r="G176" s="313"/>
      <c r="H176" s="401"/>
      <c r="I176" s="399"/>
      <c r="J176" s="1559"/>
      <c r="K176" s="1559"/>
      <c r="L176" s="1559"/>
      <c r="M176" s="1559"/>
    </row>
    <row r="177" spans="3:13" ht="15.95" customHeight="1">
      <c r="C177" s="1607" t="s">
        <v>1139</v>
      </c>
      <c r="E177" s="994" t="s">
        <v>1106</v>
      </c>
      <c r="F177" s="479" t="s">
        <v>1140</v>
      </c>
      <c r="G177" s="479" t="s">
        <v>1141</v>
      </c>
      <c r="H177" s="995" t="s">
        <v>1142</v>
      </c>
      <c r="I177" s="995" t="s">
        <v>1110</v>
      </c>
      <c r="J177" s="1559"/>
      <c r="K177" s="1559"/>
      <c r="L177" s="1559"/>
      <c r="M177" s="1559"/>
    </row>
    <row r="178" spans="3:13" ht="54.75" customHeight="1">
      <c r="C178" s="1608"/>
      <c r="E178" s="403"/>
      <c r="F178" s="404"/>
      <c r="G178" s="404"/>
      <c r="H178" s="405"/>
      <c r="I178" s="405" t="s">
        <v>1143</v>
      </c>
      <c r="J178" s="1559"/>
      <c r="K178" s="1559"/>
      <c r="L178" s="1559"/>
      <c r="M178" s="1559"/>
    </row>
    <row r="179" spans="3:13" ht="57.75" customHeight="1">
      <c r="C179" s="1608"/>
      <c r="E179" s="406" t="s">
        <v>1106</v>
      </c>
      <c r="F179" s="407" t="s">
        <v>1144</v>
      </c>
      <c r="G179" s="407" t="s">
        <v>1145</v>
      </c>
      <c r="H179" s="393" t="s">
        <v>1146</v>
      </c>
      <c r="I179" s="408" t="s">
        <v>1147</v>
      </c>
      <c r="J179" s="1559"/>
      <c r="K179" s="1559"/>
      <c r="L179" s="1559"/>
      <c r="M179" s="1559"/>
    </row>
    <row r="180" spans="3:13" ht="39" customHeight="1">
      <c r="C180" s="1608"/>
      <c r="E180" s="280"/>
      <c r="F180" s="404"/>
      <c r="G180" s="404"/>
      <c r="H180" s="405"/>
      <c r="I180" s="409" t="s">
        <v>1110</v>
      </c>
      <c r="J180" s="1559"/>
      <c r="K180" s="1559"/>
      <c r="L180" s="1559"/>
      <c r="M180" s="1559"/>
    </row>
    <row r="181" spans="3:13" ht="35.25" customHeight="1">
      <c r="C181" s="1608"/>
      <c r="E181" s="282" t="s">
        <v>1106</v>
      </c>
      <c r="F181" s="402" t="s">
        <v>1144</v>
      </c>
      <c r="G181" s="402" t="s">
        <v>1148</v>
      </c>
      <c r="H181" s="390" t="s">
        <v>1149</v>
      </c>
      <c r="I181" s="390" t="s">
        <v>1150</v>
      </c>
      <c r="J181" s="1559"/>
      <c r="K181" s="1559"/>
      <c r="L181" s="1559"/>
      <c r="M181" s="1559"/>
    </row>
    <row r="182" spans="3:13" ht="54.75" customHeight="1">
      <c r="C182" s="1608"/>
      <c r="E182" s="403"/>
      <c r="F182" s="404"/>
      <c r="G182" s="404"/>
      <c r="H182" s="405"/>
      <c r="I182" s="405" t="s">
        <v>1151</v>
      </c>
      <c r="J182" s="1559"/>
      <c r="K182" s="1559"/>
      <c r="L182" s="1559"/>
      <c r="M182" s="1559"/>
    </row>
    <row r="183" spans="3:13" ht="42.75" customHeight="1">
      <c r="C183" s="1608"/>
      <c r="E183" s="282" t="s">
        <v>1106</v>
      </c>
      <c r="F183" s="402" t="s">
        <v>1152</v>
      </c>
      <c r="G183" s="407" t="s">
        <v>1153</v>
      </c>
      <c r="H183" s="390" t="s">
        <v>1149</v>
      </c>
      <c r="I183" s="393" t="s">
        <v>1150</v>
      </c>
      <c r="J183" s="1559"/>
      <c r="K183" s="1559"/>
      <c r="L183" s="1559"/>
      <c r="M183" s="1559"/>
    </row>
    <row r="184" spans="3:13" ht="42.75" customHeight="1">
      <c r="C184" s="1608"/>
      <c r="E184" s="403"/>
      <c r="F184" s="404"/>
      <c r="G184" s="404"/>
      <c r="H184" s="405"/>
      <c r="I184" s="405" t="s">
        <v>1154</v>
      </c>
      <c r="J184" s="1560"/>
      <c r="K184" s="1560"/>
      <c r="L184" s="1560"/>
      <c r="M184" s="1560"/>
    </row>
    <row r="185" spans="3:13" ht="20.100000000000001" customHeight="1" thickBot="1">
      <c r="C185" s="1608"/>
      <c r="E185" s="410"/>
      <c r="F185" s="411"/>
      <c r="G185" s="412"/>
      <c r="H185" s="413"/>
      <c r="I185" s="414"/>
      <c r="J185" s="415">
        <f>SUM(J158:J183)</f>
        <v>2282789</v>
      </c>
      <c r="K185" s="415">
        <v>239000</v>
      </c>
      <c r="L185" s="415">
        <f>SUM(L158:L183)</f>
        <v>0</v>
      </c>
      <c r="M185" s="415">
        <f>SUM(M158:M183)</f>
        <v>2610789</v>
      </c>
    </row>
    <row r="186" spans="3:13" ht="14.45" customHeight="1" thickTop="1">
      <c r="C186" s="1608"/>
      <c r="E186" s="1002"/>
      <c r="F186" s="289"/>
      <c r="G186" s="289"/>
      <c r="H186" s="289"/>
      <c r="I186" s="289"/>
      <c r="J186" s="315"/>
      <c r="K186" s="315"/>
      <c r="L186" s="315"/>
      <c r="M186" s="315"/>
    </row>
    <row r="187" spans="3:13" ht="14.45" customHeight="1">
      <c r="C187" s="1608"/>
      <c r="E187" s="1002" t="s">
        <v>1015</v>
      </c>
      <c r="F187" s="289"/>
      <c r="G187" s="293" t="s">
        <v>1016</v>
      </c>
      <c r="J187" s="293"/>
      <c r="K187" s="293"/>
      <c r="L187" s="294"/>
      <c r="M187" s="294"/>
    </row>
    <row r="188" spans="3:13" ht="14.45" customHeight="1">
      <c r="C188" s="1608"/>
      <c r="E188" s="1002"/>
      <c r="F188" s="289"/>
      <c r="G188" s="289"/>
      <c r="J188" s="289"/>
      <c r="K188" s="289"/>
      <c r="L188" s="289"/>
      <c r="M188" s="289"/>
    </row>
    <row r="189" spans="3:13" ht="14.45" customHeight="1">
      <c r="C189" s="1608"/>
      <c r="E189" s="1595" t="s">
        <v>17</v>
      </c>
      <c r="F189" s="1595"/>
      <c r="G189" s="1584" t="s">
        <v>249</v>
      </c>
      <c r="H189" s="1584"/>
      <c r="I189" s="1585" t="s">
        <v>17</v>
      </c>
      <c r="J189" s="1585"/>
      <c r="L189" s="1584" t="s">
        <v>87</v>
      </c>
      <c r="M189" s="1584"/>
    </row>
    <row r="190" spans="3:13" ht="14.45" customHeight="1">
      <c r="C190" s="1608"/>
      <c r="E190" s="1589" t="s">
        <v>18</v>
      </c>
      <c r="F190" s="1589"/>
      <c r="G190" s="1557" t="s">
        <v>13</v>
      </c>
      <c r="H190" s="1557"/>
      <c r="I190" s="1590" t="s">
        <v>18</v>
      </c>
      <c r="J190" s="1590"/>
      <c r="L190" s="1557" t="s">
        <v>971</v>
      </c>
      <c r="M190" s="1557"/>
    </row>
    <row r="191" spans="3:13" ht="14.45" customHeight="1">
      <c r="C191" s="1608"/>
      <c r="E191" s="999" t="s">
        <v>253</v>
      </c>
      <c r="F191" s="295"/>
      <c r="G191" s="295"/>
      <c r="H191" s="289"/>
      <c r="I191" s="289"/>
      <c r="J191" s="289"/>
      <c r="K191" s="296"/>
      <c r="L191" s="289"/>
      <c r="M191" s="289"/>
    </row>
    <row r="192" spans="3:13" ht="14.45" customHeight="1">
      <c r="C192" s="1608"/>
      <c r="E192" s="1018"/>
      <c r="F192" s="297"/>
      <c r="G192" s="297"/>
      <c r="H192" s="289"/>
      <c r="I192" s="289"/>
      <c r="J192" s="289"/>
      <c r="K192" s="298"/>
      <c r="L192" s="289"/>
      <c r="M192" s="289"/>
    </row>
    <row r="193" spans="1:13" ht="14.45" customHeight="1">
      <c r="C193" s="1608"/>
      <c r="E193" s="1584" t="s">
        <v>1438</v>
      </c>
      <c r="F193" s="1584"/>
      <c r="G193" s="299"/>
      <c r="H193" s="299"/>
      <c r="I193" s="299"/>
      <c r="J193" s="300"/>
      <c r="K193" s="300"/>
      <c r="L193" s="301"/>
      <c r="M193" s="297"/>
    </row>
    <row r="194" spans="1:13" ht="15.95" customHeight="1">
      <c r="C194" s="1608"/>
      <c r="E194" s="1557" t="s">
        <v>14</v>
      </c>
      <c r="F194" s="1557"/>
      <c r="G194" s="302"/>
      <c r="H194" s="302"/>
      <c r="I194" s="302"/>
      <c r="J194" s="303"/>
      <c r="K194" s="300"/>
      <c r="L194" s="301"/>
      <c r="M194" s="297"/>
    </row>
    <row r="195" spans="1:13" ht="15.95" customHeight="1">
      <c r="E195" s="999"/>
      <c r="F195" s="416"/>
      <c r="G195" s="302"/>
      <c r="H195" s="302"/>
      <c r="I195" s="302"/>
      <c r="J195" s="303"/>
      <c r="K195" s="300"/>
      <c r="L195" s="301"/>
      <c r="M195" s="297"/>
    </row>
    <row r="196" spans="1:13" ht="15.95" customHeight="1">
      <c r="E196" s="999"/>
      <c r="F196" s="416"/>
      <c r="G196" s="302"/>
      <c r="H196" s="302"/>
      <c r="I196" s="302"/>
      <c r="J196" s="303"/>
      <c r="K196" s="300"/>
      <c r="L196" s="301"/>
      <c r="M196" s="297"/>
    </row>
    <row r="197" spans="1:13" ht="15.95" customHeight="1">
      <c r="E197" s="999"/>
      <c r="F197" s="416"/>
      <c r="G197" s="302"/>
      <c r="H197" s="302"/>
      <c r="I197" s="302"/>
      <c r="J197" s="303"/>
      <c r="K197" s="300"/>
      <c r="L197" s="301"/>
      <c r="M197" s="297"/>
    </row>
    <row r="198" spans="1:13" ht="15.95" customHeight="1">
      <c r="E198" s="999"/>
      <c r="F198" s="416"/>
      <c r="G198" s="302"/>
      <c r="H198" s="302"/>
      <c r="I198" s="302"/>
      <c r="J198" s="303"/>
      <c r="K198" s="300"/>
      <c r="L198" s="301"/>
      <c r="M198" s="297"/>
    </row>
    <row r="199" spans="1:13" s="417" customFormat="1" ht="15.95" customHeight="1">
      <c r="A199" s="317"/>
      <c r="E199" s="1025"/>
    </row>
    <row r="200" spans="1:13" s="417" customFormat="1" ht="15.95" customHeight="1">
      <c r="A200" s="317"/>
      <c r="E200" s="1025"/>
    </row>
    <row r="201" spans="1:13" s="417" customFormat="1" ht="15.95" customHeight="1">
      <c r="A201" s="317"/>
      <c r="E201" s="1025"/>
    </row>
    <row r="202" spans="1:13" s="417" customFormat="1" ht="15.95" customHeight="1">
      <c r="A202" s="317"/>
      <c r="E202" s="1025"/>
    </row>
    <row r="203" spans="1:13" s="417" customFormat="1" ht="15.95" customHeight="1">
      <c r="A203" s="317"/>
      <c r="E203" s="1025"/>
    </row>
    <row r="204" spans="1:13" s="417" customFormat="1" ht="15.95" customHeight="1">
      <c r="A204" s="317"/>
      <c r="E204" s="1025"/>
    </row>
    <row r="205" spans="1:13" s="417" customFormat="1" ht="15.95" customHeight="1">
      <c r="A205" s="317"/>
      <c r="E205" s="1025"/>
    </row>
    <row r="206" spans="1:13" s="417" customFormat="1" ht="15.95" customHeight="1">
      <c r="A206" s="317"/>
      <c r="E206" s="1025"/>
    </row>
    <row r="207" spans="1:13" ht="14.45" customHeight="1">
      <c r="C207" s="1607" t="s">
        <v>1155</v>
      </c>
      <c r="D207" s="289"/>
      <c r="F207" s="1594" t="s">
        <v>1716</v>
      </c>
      <c r="G207" s="1594"/>
      <c r="H207" s="1594"/>
      <c r="I207" s="1594"/>
      <c r="J207" s="1594"/>
      <c r="K207" s="1594"/>
      <c r="L207" s="1594"/>
      <c r="M207" s="265"/>
    </row>
    <row r="208" spans="1:13" ht="14.45" customHeight="1">
      <c r="C208" s="1608"/>
      <c r="E208" s="1579" t="s">
        <v>174</v>
      </c>
      <c r="F208" s="1579"/>
      <c r="G208" s="1579"/>
      <c r="H208" s="1579"/>
      <c r="I208" s="1579"/>
      <c r="J208" s="1579"/>
      <c r="K208" s="1579"/>
      <c r="L208" s="1579"/>
      <c r="M208" s="1579"/>
    </row>
    <row r="209" spans="3:13" ht="14.45" customHeight="1">
      <c r="C209" s="1608"/>
      <c r="E209" s="1000" t="s">
        <v>976</v>
      </c>
      <c r="F209" s="267" t="s">
        <v>1156</v>
      </c>
    </row>
    <row r="210" spans="3:13" ht="14.45" customHeight="1">
      <c r="C210" s="1608"/>
      <c r="E210" s="1000" t="s">
        <v>978</v>
      </c>
      <c r="F210" s="268" t="s">
        <v>1157</v>
      </c>
    </row>
    <row r="211" spans="3:13" ht="14.45" customHeight="1">
      <c r="C211" s="1608"/>
      <c r="E211" s="1000" t="s">
        <v>980</v>
      </c>
      <c r="F211" s="1599" t="s">
        <v>1462</v>
      </c>
      <c r="G211" s="1599"/>
      <c r="H211" s="1599"/>
      <c r="I211" s="1599"/>
      <c r="J211" s="1599"/>
      <c r="K211" s="1599"/>
      <c r="L211" s="1599"/>
      <c r="M211" s="1599"/>
    </row>
    <row r="212" spans="3:13" ht="14.45" customHeight="1">
      <c r="C212" s="1608"/>
      <c r="E212" s="1000" t="s">
        <v>982</v>
      </c>
      <c r="F212" s="1599" t="s">
        <v>1158</v>
      </c>
      <c r="G212" s="1599"/>
      <c r="H212" s="1599"/>
      <c r="I212" s="1599"/>
      <c r="J212" s="1599"/>
      <c r="K212" s="1599"/>
      <c r="L212" s="1599"/>
      <c r="M212" s="1599"/>
    </row>
    <row r="213" spans="3:13" ht="30" customHeight="1">
      <c r="C213" s="1608"/>
      <c r="E213" s="1633" t="s">
        <v>1159</v>
      </c>
      <c r="F213" s="1633"/>
      <c r="G213" s="1633"/>
      <c r="H213" s="1633"/>
      <c r="I213" s="1633"/>
      <c r="J213" s="1633"/>
      <c r="K213" s="1633"/>
      <c r="L213" s="1633"/>
      <c r="M213" s="1633"/>
    </row>
    <row r="214" spans="3:13" ht="14.45" customHeight="1">
      <c r="C214" s="1608"/>
      <c r="E214" s="1577" t="s">
        <v>985</v>
      </c>
      <c r="F214" s="272" t="s">
        <v>625</v>
      </c>
      <c r="G214" s="1601" t="s">
        <v>627</v>
      </c>
      <c r="H214" s="272" t="s">
        <v>628</v>
      </c>
      <c r="I214" s="1577" t="s">
        <v>986</v>
      </c>
      <c r="J214" s="1603" t="s">
        <v>1717</v>
      </c>
      <c r="K214" s="1603"/>
      <c r="L214" s="1603"/>
      <c r="M214" s="1604"/>
    </row>
    <row r="215" spans="3:13" ht="14.45" customHeight="1">
      <c r="C215" s="1608"/>
      <c r="E215" s="1578"/>
      <c r="F215" s="273" t="s">
        <v>626</v>
      </c>
      <c r="G215" s="1602"/>
      <c r="H215" s="273" t="s">
        <v>629</v>
      </c>
      <c r="I215" s="1578"/>
      <c r="J215" s="418" t="s">
        <v>270</v>
      </c>
      <c r="K215" s="419" t="s">
        <v>271</v>
      </c>
      <c r="L215" s="272" t="s">
        <v>272</v>
      </c>
      <c r="M215" s="420" t="s">
        <v>15</v>
      </c>
    </row>
    <row r="216" spans="3:13" ht="14.45" customHeight="1">
      <c r="C216" s="1608"/>
      <c r="E216" s="278" t="s">
        <v>1160</v>
      </c>
      <c r="F216" s="1574" t="s">
        <v>1161</v>
      </c>
      <c r="G216" s="1563" t="s">
        <v>1162</v>
      </c>
      <c r="H216" s="1563" t="s">
        <v>1163</v>
      </c>
      <c r="I216" s="1630" t="s">
        <v>1724</v>
      </c>
      <c r="J216" s="1565">
        <f>'LBP NO. 2'!M402</f>
        <v>3427261</v>
      </c>
      <c r="K216" s="1558">
        <f>'LBP NO. 2'!M411</f>
        <v>573815</v>
      </c>
      <c r="L216" s="1558">
        <f>'LBP NO. 2'!M417</f>
        <v>0</v>
      </c>
      <c r="M216" s="1558">
        <f>SUM(J216:L232)</f>
        <v>4001076</v>
      </c>
    </row>
    <row r="217" spans="3:13" ht="14.45" customHeight="1">
      <c r="C217" s="1608"/>
      <c r="E217" s="279"/>
      <c r="F217" s="1575"/>
      <c r="G217" s="1561"/>
      <c r="H217" s="1561"/>
      <c r="I217" s="1631"/>
      <c r="J217" s="1566"/>
      <c r="K217" s="1559"/>
      <c r="L217" s="1559"/>
      <c r="M217" s="1559"/>
    </row>
    <row r="218" spans="3:13" ht="14.45" customHeight="1">
      <c r="C218" s="1608"/>
      <c r="E218" s="279"/>
      <c r="F218" s="1575"/>
      <c r="G218" s="1561"/>
      <c r="H218" s="1561"/>
      <c r="I218" s="1631"/>
      <c r="J218" s="1566"/>
      <c r="K218" s="1559"/>
      <c r="L218" s="1559"/>
      <c r="M218" s="1559"/>
    </row>
    <row r="219" spans="3:13" ht="14.45" customHeight="1">
      <c r="C219" s="1608"/>
      <c r="E219" s="280"/>
      <c r="F219" s="1576"/>
      <c r="G219" s="1564"/>
      <c r="H219" s="1564"/>
      <c r="I219" s="1632"/>
      <c r="J219" s="1566"/>
      <c r="K219" s="1559"/>
      <c r="L219" s="1559"/>
      <c r="M219" s="1559"/>
    </row>
    <row r="220" spans="3:13" ht="14.45" customHeight="1">
      <c r="C220" s="1608"/>
      <c r="E220" s="278" t="s">
        <v>1160</v>
      </c>
      <c r="F220" s="1574" t="s">
        <v>1164</v>
      </c>
      <c r="G220" s="1563" t="s">
        <v>1165</v>
      </c>
      <c r="H220" s="1563" t="s">
        <v>1166</v>
      </c>
      <c r="I220" s="1630" t="s">
        <v>1167</v>
      </c>
      <c r="J220" s="1566"/>
      <c r="K220" s="1559"/>
      <c r="L220" s="1559"/>
      <c r="M220" s="1559"/>
    </row>
    <row r="221" spans="3:13" ht="14.45" customHeight="1">
      <c r="C221" s="1608"/>
      <c r="E221" s="279"/>
      <c r="F221" s="1575"/>
      <c r="G221" s="1561"/>
      <c r="H221" s="1561"/>
      <c r="I221" s="1631"/>
      <c r="J221" s="1566"/>
      <c r="K221" s="1559"/>
      <c r="L221" s="1559"/>
      <c r="M221" s="1559"/>
    </row>
    <row r="222" spans="3:13" ht="14.45" customHeight="1">
      <c r="C222" s="1608"/>
      <c r="E222" s="279"/>
      <c r="F222" s="1575"/>
      <c r="G222" s="1561"/>
      <c r="H222" s="1561"/>
      <c r="I222" s="1631"/>
      <c r="J222" s="1566"/>
      <c r="K222" s="1559"/>
      <c r="L222" s="1559"/>
      <c r="M222" s="1559"/>
    </row>
    <row r="223" spans="3:13" ht="45" customHeight="1">
      <c r="C223" s="1608"/>
      <c r="E223" s="280"/>
      <c r="F223" s="1576"/>
      <c r="G223" s="1564"/>
      <c r="H223" s="1564"/>
      <c r="I223" s="1632"/>
      <c r="J223" s="1566"/>
      <c r="K223" s="1559"/>
      <c r="L223" s="1559"/>
      <c r="M223" s="1559"/>
    </row>
    <row r="224" spans="3:13" ht="14.45" customHeight="1">
      <c r="C224" s="1608"/>
      <c r="E224" s="278" t="s">
        <v>1160</v>
      </c>
      <c r="F224" s="1574" t="s">
        <v>1168</v>
      </c>
      <c r="G224" s="1563" t="s">
        <v>1169</v>
      </c>
      <c r="H224" s="1574" t="s">
        <v>1170</v>
      </c>
      <c r="I224" s="1630" t="s">
        <v>1171</v>
      </c>
      <c r="J224" s="1566"/>
      <c r="K224" s="1559"/>
      <c r="L224" s="1559"/>
      <c r="M224" s="1559"/>
    </row>
    <row r="225" spans="3:13" ht="14.45" customHeight="1">
      <c r="C225" s="1608"/>
      <c r="E225" s="279"/>
      <c r="F225" s="1575"/>
      <c r="G225" s="1561"/>
      <c r="H225" s="1575"/>
      <c r="I225" s="1631"/>
      <c r="J225" s="1566"/>
      <c r="K225" s="1559"/>
      <c r="L225" s="1559"/>
      <c r="M225" s="1559"/>
    </row>
    <row r="226" spans="3:13" ht="34.5" customHeight="1">
      <c r="C226" s="1608"/>
      <c r="E226" s="280"/>
      <c r="F226" s="1576"/>
      <c r="G226" s="1564"/>
      <c r="H226" s="1576"/>
      <c r="I226" s="1632"/>
      <c r="J226" s="1566"/>
      <c r="K226" s="1559"/>
      <c r="L226" s="1559"/>
      <c r="M226" s="1559"/>
    </row>
    <row r="227" spans="3:13" ht="14.45" customHeight="1">
      <c r="C227" s="1608"/>
      <c r="E227" s="278" t="s">
        <v>1160</v>
      </c>
      <c r="F227" s="1574" t="s">
        <v>1172</v>
      </c>
      <c r="G227" s="1563" t="s">
        <v>1173</v>
      </c>
      <c r="H227" s="1563" t="s">
        <v>1174</v>
      </c>
      <c r="I227" s="1563" t="s">
        <v>1724</v>
      </c>
      <c r="J227" s="1566"/>
      <c r="K227" s="1559"/>
      <c r="L227" s="1559"/>
      <c r="M227" s="1559"/>
    </row>
    <row r="228" spans="3:13" ht="45.75" customHeight="1">
      <c r="C228" s="1608"/>
      <c r="E228" s="421"/>
      <c r="F228" s="1576"/>
      <c r="G228" s="1564"/>
      <c r="H228" s="1564"/>
      <c r="I228" s="1564"/>
      <c r="J228" s="1566"/>
      <c r="K228" s="1559"/>
      <c r="L228" s="1559"/>
      <c r="M228" s="1559"/>
    </row>
    <row r="229" spans="3:13" ht="14.45" customHeight="1">
      <c r="C229" s="1608"/>
      <c r="E229" s="278" t="s">
        <v>1160</v>
      </c>
      <c r="F229" s="1571" t="s">
        <v>1040</v>
      </c>
      <c r="G229" s="1571" t="s">
        <v>1041</v>
      </c>
      <c r="H229" s="1571" t="s">
        <v>1042</v>
      </c>
      <c r="I229" s="1571" t="s">
        <v>1043</v>
      </c>
      <c r="J229" s="1566"/>
      <c r="K229" s="1559"/>
      <c r="L229" s="1559"/>
      <c r="M229" s="1559"/>
    </row>
    <row r="230" spans="3:13" ht="14.45" customHeight="1">
      <c r="C230" s="1608"/>
      <c r="E230" s="279"/>
      <c r="F230" s="1572"/>
      <c r="G230" s="1572"/>
      <c r="H230" s="1572"/>
      <c r="I230" s="1572"/>
      <c r="J230" s="1566"/>
      <c r="K230" s="1559"/>
      <c r="L230" s="1559"/>
      <c r="M230" s="1559"/>
    </row>
    <row r="231" spans="3:13" ht="14.45" customHeight="1">
      <c r="C231" s="1608"/>
      <c r="E231" s="279"/>
      <c r="F231" s="1572"/>
      <c r="G231" s="1572"/>
      <c r="H231" s="1572"/>
      <c r="I231" s="1572"/>
      <c r="J231" s="1566"/>
      <c r="K231" s="1559"/>
      <c r="L231" s="1559"/>
      <c r="M231" s="1559"/>
    </row>
    <row r="232" spans="3:13" ht="14.45" customHeight="1">
      <c r="C232" s="1608"/>
      <c r="E232" s="280"/>
      <c r="F232" s="1573"/>
      <c r="G232" s="1573"/>
      <c r="H232" s="1573"/>
      <c r="I232" s="1573"/>
      <c r="J232" s="1567"/>
      <c r="K232" s="1560"/>
      <c r="L232" s="1560"/>
      <c r="M232" s="1560"/>
    </row>
    <row r="233" spans="3:13" ht="14.45" customHeight="1">
      <c r="C233" s="1608"/>
      <c r="E233" s="1002"/>
      <c r="F233" s="289"/>
      <c r="G233" s="289"/>
      <c r="H233" s="289"/>
      <c r="I233" s="289"/>
      <c r="J233" s="315"/>
      <c r="K233" s="315"/>
      <c r="L233" s="315"/>
      <c r="M233" s="315"/>
    </row>
    <row r="234" spans="3:13" ht="14.45" customHeight="1">
      <c r="C234" s="1608"/>
      <c r="E234" s="1002" t="s">
        <v>1015</v>
      </c>
      <c r="F234" s="289"/>
      <c r="G234" s="293" t="s">
        <v>1016</v>
      </c>
      <c r="J234" s="293"/>
      <c r="K234" s="293"/>
      <c r="L234" s="294"/>
      <c r="M234" s="294"/>
    </row>
    <row r="235" spans="3:13" ht="14.45" customHeight="1">
      <c r="C235" s="1608"/>
      <c r="E235" s="1002"/>
      <c r="F235" s="289"/>
      <c r="G235" s="289"/>
      <c r="H235" s="289"/>
      <c r="J235" s="289"/>
      <c r="K235" s="289"/>
      <c r="L235" s="289"/>
      <c r="M235" s="289"/>
    </row>
    <row r="236" spans="3:13" ht="14.45" customHeight="1">
      <c r="C236" s="1608"/>
      <c r="E236" s="1595" t="s">
        <v>783</v>
      </c>
      <c r="F236" s="1595"/>
      <c r="G236" s="1584" t="s">
        <v>249</v>
      </c>
      <c r="H236" s="1584"/>
      <c r="I236" s="1585" t="s">
        <v>17</v>
      </c>
      <c r="J236" s="1585"/>
      <c r="L236" s="1584" t="s">
        <v>87</v>
      </c>
      <c r="M236" s="1584"/>
    </row>
    <row r="237" spans="3:13" ht="14.45" customHeight="1">
      <c r="C237" s="1608"/>
      <c r="E237" s="1589" t="s">
        <v>237</v>
      </c>
      <c r="F237" s="1589"/>
      <c r="G237" s="1557" t="s">
        <v>13</v>
      </c>
      <c r="H237" s="1557"/>
      <c r="I237" s="1590" t="s">
        <v>18</v>
      </c>
      <c r="J237" s="1590"/>
      <c r="L237" s="1557" t="s">
        <v>971</v>
      </c>
      <c r="M237" s="1557"/>
    </row>
    <row r="238" spans="3:13" ht="14.45" customHeight="1">
      <c r="C238" s="1608"/>
      <c r="E238" s="999" t="s">
        <v>253</v>
      </c>
      <c r="F238" s="295"/>
      <c r="G238" s="295"/>
      <c r="H238" s="289"/>
      <c r="I238" s="289"/>
      <c r="J238" s="289"/>
      <c r="K238" s="296"/>
      <c r="L238" s="289"/>
      <c r="M238" s="289"/>
    </row>
    <row r="239" spans="3:13" ht="14.45" customHeight="1">
      <c r="C239" s="1608"/>
      <c r="E239" s="1018"/>
      <c r="F239" s="297"/>
      <c r="G239" s="297"/>
      <c r="H239" s="289"/>
      <c r="I239" s="289"/>
      <c r="J239" s="289"/>
      <c r="K239" s="298"/>
      <c r="L239" s="289"/>
      <c r="M239" s="289"/>
    </row>
    <row r="240" spans="3:13" ht="14.45" customHeight="1">
      <c r="C240" s="1608"/>
      <c r="E240" s="1584" t="s">
        <v>1438</v>
      </c>
      <c r="F240" s="1584"/>
      <c r="G240" s="299"/>
      <c r="H240" s="299"/>
      <c r="I240" s="299"/>
      <c r="J240" s="300"/>
      <c r="K240" s="300"/>
      <c r="L240" s="301"/>
      <c r="M240" s="297"/>
    </row>
    <row r="241" spans="3:13" ht="14.45" customHeight="1">
      <c r="C241" s="1608"/>
      <c r="E241" s="1557" t="s">
        <v>14</v>
      </c>
      <c r="F241" s="1557"/>
    </row>
    <row r="242" spans="3:13" ht="14.45" customHeight="1">
      <c r="E242" s="999"/>
      <c r="F242" s="416"/>
    </row>
    <row r="243" spans="3:13" ht="14.45" customHeight="1">
      <c r="E243" s="999"/>
      <c r="F243" s="416"/>
    </row>
    <row r="244" spans="3:13" ht="14.45" customHeight="1">
      <c r="E244" s="999"/>
      <c r="F244" s="416"/>
    </row>
    <row r="245" spans="3:13" ht="14.45" customHeight="1">
      <c r="E245" s="999"/>
      <c r="F245" s="416"/>
    </row>
    <row r="246" spans="3:13" ht="14.45" customHeight="1">
      <c r="E246" s="999"/>
      <c r="F246" s="416"/>
    </row>
    <row r="247" spans="3:13" ht="14.45" customHeight="1">
      <c r="E247" s="999"/>
      <c r="F247" s="416"/>
    </row>
    <row r="249" spans="3:13" ht="15.95" customHeight="1"/>
    <row r="250" spans="3:13" ht="14.45" customHeight="1">
      <c r="C250" s="1607" t="s">
        <v>1175</v>
      </c>
      <c r="D250" s="289"/>
      <c r="F250" s="1594" t="s">
        <v>1716</v>
      </c>
      <c r="G250" s="1594"/>
      <c r="H250" s="1594"/>
      <c r="I250" s="1594"/>
      <c r="J250" s="1594"/>
      <c r="K250" s="1594"/>
      <c r="L250" s="1594"/>
      <c r="M250" s="265"/>
    </row>
    <row r="251" spans="3:13" ht="14.45" customHeight="1">
      <c r="C251" s="1608"/>
      <c r="E251" s="1579" t="s">
        <v>174</v>
      </c>
      <c r="F251" s="1579"/>
      <c r="G251" s="1579"/>
      <c r="H251" s="1579"/>
      <c r="I251" s="1579"/>
      <c r="J251" s="1579"/>
      <c r="K251" s="1579"/>
      <c r="L251" s="1579"/>
      <c r="M251" s="1579"/>
    </row>
    <row r="252" spans="3:13" ht="14.45" customHeight="1">
      <c r="C252" s="1608"/>
      <c r="E252" s="1000" t="s">
        <v>976</v>
      </c>
      <c r="F252" s="267" t="s">
        <v>1176</v>
      </c>
    </row>
    <row r="253" spans="3:13" ht="14.45" customHeight="1">
      <c r="C253" s="1608"/>
      <c r="E253" s="1000" t="s">
        <v>978</v>
      </c>
      <c r="F253" s="268" t="s">
        <v>1177</v>
      </c>
    </row>
    <row r="254" spans="3:13" ht="14.45" customHeight="1">
      <c r="C254" s="1608"/>
      <c r="E254" s="1000" t="s">
        <v>980</v>
      </c>
      <c r="F254" s="1600" t="s">
        <v>1178</v>
      </c>
      <c r="G254" s="1600"/>
      <c r="H254" s="1600"/>
      <c r="I254" s="1600"/>
      <c r="J254" s="1600"/>
      <c r="K254" s="1600"/>
      <c r="L254" s="1600"/>
      <c r="M254" s="1600"/>
    </row>
    <row r="255" spans="3:13" ht="16.5" customHeight="1">
      <c r="C255" s="1608"/>
      <c r="F255" s="1600"/>
      <c r="G255" s="1600"/>
      <c r="H255" s="1600"/>
      <c r="I255" s="1600"/>
      <c r="J255" s="1600"/>
      <c r="K255" s="1600"/>
      <c r="L255" s="1600"/>
      <c r="M255" s="1600"/>
    </row>
    <row r="256" spans="3:13" ht="14.45" customHeight="1">
      <c r="C256" s="1608"/>
      <c r="E256" s="1000" t="s">
        <v>982</v>
      </c>
      <c r="F256" s="1599" t="s">
        <v>1179</v>
      </c>
      <c r="G256" s="1599"/>
      <c r="H256" s="1599"/>
      <c r="I256" s="1599"/>
      <c r="J256" s="1599"/>
      <c r="K256" s="1599"/>
      <c r="L256" s="1599"/>
      <c r="M256" s="1599"/>
    </row>
    <row r="257" spans="3:13" ht="18.75" customHeight="1">
      <c r="C257" s="1608"/>
      <c r="F257" s="1599"/>
      <c r="G257" s="1599"/>
      <c r="H257" s="1599"/>
      <c r="I257" s="1599"/>
      <c r="J257" s="1599"/>
      <c r="K257" s="1599"/>
      <c r="L257" s="1599"/>
      <c r="M257" s="1599"/>
    </row>
    <row r="258" spans="3:13" ht="14.45" customHeight="1">
      <c r="C258" s="1608"/>
      <c r="E258" s="1000" t="s">
        <v>1180</v>
      </c>
      <c r="F258" s="271"/>
      <c r="G258" s="271"/>
      <c r="H258" s="271"/>
      <c r="I258" s="271"/>
      <c r="J258" s="271"/>
      <c r="K258" s="271"/>
      <c r="L258" s="271"/>
      <c r="M258" s="271"/>
    </row>
    <row r="259" spans="3:13" ht="14.45" customHeight="1">
      <c r="C259" s="1608"/>
      <c r="E259" s="1577" t="s">
        <v>985</v>
      </c>
      <c r="F259" s="272" t="s">
        <v>625</v>
      </c>
      <c r="G259" s="1601" t="s">
        <v>627</v>
      </c>
      <c r="H259" s="272" t="s">
        <v>628</v>
      </c>
      <c r="I259" s="1577" t="s">
        <v>986</v>
      </c>
      <c r="J259" s="1603" t="s">
        <v>1717</v>
      </c>
      <c r="K259" s="1603"/>
      <c r="L259" s="1603"/>
      <c r="M259" s="1604"/>
    </row>
    <row r="260" spans="3:13" ht="14.45" customHeight="1">
      <c r="C260" s="1608"/>
      <c r="E260" s="1578"/>
      <c r="F260" s="273" t="s">
        <v>626</v>
      </c>
      <c r="G260" s="1602"/>
      <c r="H260" s="273" t="s">
        <v>629</v>
      </c>
      <c r="I260" s="1578"/>
      <c r="J260" s="274" t="s">
        <v>270</v>
      </c>
      <c r="K260" s="275" t="s">
        <v>271</v>
      </c>
      <c r="L260" s="276" t="s">
        <v>272</v>
      </c>
      <c r="M260" s="277" t="s">
        <v>15</v>
      </c>
    </row>
    <row r="261" spans="3:13" ht="14.45" customHeight="1">
      <c r="C261" s="1608"/>
      <c r="E261" s="278" t="s">
        <v>1181</v>
      </c>
      <c r="F261" s="1574" t="s">
        <v>1182</v>
      </c>
      <c r="G261" s="1563" t="s">
        <v>1455</v>
      </c>
      <c r="H261" s="1563" t="s">
        <v>1459</v>
      </c>
      <c r="I261" s="1563" t="s">
        <v>1724</v>
      </c>
      <c r="J261" s="1565">
        <f>'LBP NO. 2'!M469</f>
        <v>5302373</v>
      </c>
      <c r="K261" s="1558">
        <f>'LBP NO. 2'!M481</f>
        <v>1076000</v>
      </c>
      <c r="L261" s="1558">
        <f>'LBP NO. 2'!M487</f>
        <v>0</v>
      </c>
      <c r="M261" s="1558">
        <f>SUM(J261:L276)</f>
        <v>6378373</v>
      </c>
    </row>
    <row r="262" spans="3:13" ht="14.45" customHeight="1">
      <c r="C262" s="1608"/>
      <c r="E262" s="279"/>
      <c r="F262" s="1575"/>
      <c r="G262" s="1561"/>
      <c r="H262" s="1561"/>
      <c r="I262" s="1561"/>
      <c r="J262" s="1566"/>
      <c r="K262" s="1559"/>
      <c r="L262" s="1559"/>
      <c r="M262" s="1559"/>
    </row>
    <row r="263" spans="3:13" ht="40.5" customHeight="1">
      <c r="C263" s="1608"/>
      <c r="E263" s="280"/>
      <c r="F263" s="1576"/>
      <c r="G263" s="1564"/>
      <c r="H263" s="1564"/>
      <c r="I263" s="1564"/>
      <c r="J263" s="1566"/>
      <c r="K263" s="1559"/>
      <c r="L263" s="1559"/>
      <c r="M263" s="1559"/>
    </row>
    <row r="264" spans="3:13" ht="14.45" customHeight="1">
      <c r="C264" s="1608"/>
      <c r="E264" s="278" t="s">
        <v>1181</v>
      </c>
      <c r="F264" s="1574" t="s">
        <v>1183</v>
      </c>
      <c r="G264" s="1563" t="s">
        <v>1456</v>
      </c>
      <c r="H264" s="1563" t="s">
        <v>1184</v>
      </c>
      <c r="I264" s="1563" t="s">
        <v>1185</v>
      </c>
      <c r="J264" s="1566"/>
      <c r="K264" s="1559"/>
      <c r="L264" s="1559"/>
      <c r="M264" s="1559"/>
    </row>
    <row r="265" spans="3:13" ht="14.45" customHeight="1">
      <c r="C265" s="1608"/>
      <c r="E265" s="281"/>
      <c r="F265" s="1575"/>
      <c r="G265" s="1561"/>
      <c r="H265" s="1561"/>
      <c r="I265" s="1561"/>
      <c r="J265" s="1566"/>
      <c r="K265" s="1559"/>
      <c r="L265" s="1559"/>
      <c r="M265" s="1559"/>
    </row>
    <row r="266" spans="3:13" ht="58.5" customHeight="1">
      <c r="C266" s="1608"/>
      <c r="E266" s="281"/>
      <c r="F266" s="1576"/>
      <c r="G266" s="1564"/>
      <c r="H266" s="1564"/>
      <c r="I266" s="1564"/>
      <c r="J266" s="1566"/>
      <c r="K266" s="1559"/>
      <c r="L266" s="1559"/>
      <c r="M266" s="1559"/>
    </row>
    <row r="267" spans="3:13" ht="14.45" customHeight="1">
      <c r="C267" s="1608"/>
      <c r="E267" s="278" t="s">
        <v>1181</v>
      </c>
      <c r="F267" s="1574" t="s">
        <v>1186</v>
      </c>
      <c r="G267" s="1563" t="s">
        <v>1457</v>
      </c>
      <c r="H267" s="1563" t="s">
        <v>1187</v>
      </c>
      <c r="I267" s="1563" t="s">
        <v>1188</v>
      </c>
      <c r="J267" s="1566"/>
      <c r="K267" s="1559"/>
      <c r="L267" s="1559"/>
      <c r="M267" s="1559"/>
    </row>
    <row r="268" spans="3:13" ht="14.45" customHeight="1">
      <c r="C268" s="1608"/>
      <c r="E268" s="279"/>
      <c r="F268" s="1575"/>
      <c r="G268" s="1561"/>
      <c r="H268" s="1561"/>
      <c r="I268" s="1561"/>
      <c r="J268" s="1566"/>
      <c r="K268" s="1559"/>
      <c r="L268" s="1559"/>
      <c r="M268" s="1559"/>
    </row>
    <row r="269" spans="3:13" ht="58.5" customHeight="1">
      <c r="C269" s="1608"/>
      <c r="E269" s="280"/>
      <c r="F269" s="1576"/>
      <c r="G269" s="1564"/>
      <c r="H269" s="1564"/>
      <c r="I269" s="1564"/>
      <c r="J269" s="1566"/>
      <c r="K269" s="1559"/>
      <c r="L269" s="1559"/>
      <c r="M269" s="1559"/>
    </row>
    <row r="270" spans="3:13" ht="14.45" customHeight="1">
      <c r="C270" s="1608"/>
      <c r="E270" s="278" t="s">
        <v>1181</v>
      </c>
      <c r="F270" s="1574" t="s">
        <v>1189</v>
      </c>
      <c r="G270" s="1563" t="s">
        <v>1458</v>
      </c>
      <c r="H270" s="1563" t="s">
        <v>1190</v>
      </c>
      <c r="I270" s="1563" t="s">
        <v>1191</v>
      </c>
      <c r="J270" s="1566"/>
      <c r="K270" s="1559"/>
      <c r="L270" s="1559"/>
      <c r="M270" s="1559"/>
    </row>
    <row r="271" spans="3:13" ht="14.45" customHeight="1">
      <c r="C271" s="1608"/>
      <c r="E271" s="281"/>
      <c r="F271" s="1575"/>
      <c r="G271" s="1561"/>
      <c r="H271" s="1561"/>
      <c r="I271" s="1561"/>
      <c r="J271" s="1566"/>
      <c r="K271" s="1559"/>
      <c r="L271" s="1559"/>
      <c r="M271" s="1559"/>
    </row>
    <row r="272" spans="3:13" ht="39" customHeight="1">
      <c r="C272" s="1608"/>
      <c r="E272" s="281"/>
      <c r="F272" s="1576"/>
      <c r="G272" s="1564"/>
      <c r="H272" s="1564"/>
      <c r="I272" s="1564"/>
      <c r="J272" s="1566"/>
      <c r="K272" s="1559"/>
      <c r="L272" s="1559"/>
      <c r="M272" s="1559"/>
    </row>
    <row r="273" spans="3:13" ht="14.45" customHeight="1">
      <c r="C273" s="1608"/>
      <c r="E273" s="278" t="s">
        <v>1181</v>
      </c>
      <c r="F273" s="1571" t="s">
        <v>1040</v>
      </c>
      <c r="G273" s="1571" t="s">
        <v>1041</v>
      </c>
      <c r="H273" s="1571" t="s">
        <v>1042</v>
      </c>
      <c r="I273" s="1571" t="s">
        <v>1043</v>
      </c>
      <c r="J273" s="1566"/>
      <c r="K273" s="1559"/>
      <c r="L273" s="1559"/>
      <c r="M273" s="1559"/>
    </row>
    <row r="274" spans="3:13" ht="14.45" customHeight="1">
      <c r="C274" s="1608"/>
      <c r="E274" s="279"/>
      <c r="F274" s="1572"/>
      <c r="G274" s="1572"/>
      <c r="H274" s="1572"/>
      <c r="I274" s="1572"/>
      <c r="J274" s="1566"/>
      <c r="K274" s="1559"/>
      <c r="L274" s="1559"/>
      <c r="M274" s="1559"/>
    </row>
    <row r="275" spans="3:13" ht="14.45" customHeight="1">
      <c r="C275" s="1608"/>
      <c r="E275" s="279"/>
      <c r="F275" s="1572"/>
      <c r="G275" s="1572"/>
      <c r="H275" s="1572"/>
      <c r="I275" s="1572"/>
      <c r="J275" s="1566"/>
      <c r="K275" s="1559"/>
      <c r="L275" s="1559"/>
      <c r="M275" s="1559"/>
    </row>
    <row r="276" spans="3:13" ht="14.45" customHeight="1">
      <c r="C276" s="1608"/>
      <c r="E276" s="280"/>
      <c r="F276" s="1573"/>
      <c r="G276" s="1573"/>
      <c r="H276" s="1573"/>
      <c r="I276" s="1573"/>
      <c r="J276" s="1567"/>
      <c r="K276" s="1560"/>
      <c r="L276" s="1560"/>
      <c r="M276" s="1560"/>
    </row>
    <row r="277" spans="3:13" ht="14.45" customHeight="1">
      <c r="C277" s="1608"/>
      <c r="E277" s="1002"/>
      <c r="F277" s="289"/>
      <c r="G277" s="289"/>
      <c r="H277" s="289"/>
      <c r="I277" s="289"/>
      <c r="J277" s="315"/>
      <c r="K277" s="315"/>
      <c r="L277" s="315"/>
      <c r="M277" s="315"/>
    </row>
    <row r="278" spans="3:13" ht="14.45" customHeight="1">
      <c r="C278" s="1608"/>
      <c r="E278" s="1002"/>
      <c r="F278" s="289"/>
      <c r="G278" s="289"/>
      <c r="H278" s="289"/>
      <c r="I278" s="289"/>
      <c r="J278" s="315"/>
      <c r="K278" s="315"/>
      <c r="L278" s="315"/>
      <c r="M278" s="315"/>
    </row>
    <row r="279" spans="3:13" ht="14.45" customHeight="1">
      <c r="C279" s="1608"/>
      <c r="E279" s="1002" t="s">
        <v>1015</v>
      </c>
      <c r="F279" s="289"/>
      <c r="G279" s="293" t="s">
        <v>1016</v>
      </c>
      <c r="J279" s="293"/>
      <c r="K279" s="293"/>
      <c r="L279" s="294"/>
      <c r="M279" s="294"/>
    </row>
    <row r="280" spans="3:13" ht="14.45" customHeight="1">
      <c r="C280" s="1608"/>
      <c r="E280" s="1002"/>
      <c r="F280" s="289"/>
      <c r="G280" s="289"/>
      <c r="H280" s="289"/>
      <c r="J280" s="289"/>
      <c r="K280" s="289"/>
      <c r="L280" s="289"/>
      <c r="M280" s="289"/>
    </row>
    <row r="281" spans="3:13" ht="14.45" customHeight="1">
      <c r="C281" s="1608"/>
      <c r="E281" s="1595" t="s">
        <v>87</v>
      </c>
      <c r="F281" s="1595"/>
      <c r="G281" s="1584" t="s">
        <v>249</v>
      </c>
      <c r="H281" s="1584"/>
      <c r="I281" s="1585" t="s">
        <v>17</v>
      </c>
      <c r="J281" s="1585"/>
      <c r="L281" s="1584" t="s">
        <v>87</v>
      </c>
      <c r="M281" s="1584"/>
    </row>
    <row r="282" spans="3:13" ht="14.45" customHeight="1">
      <c r="C282" s="1608"/>
      <c r="E282" s="1589" t="s">
        <v>971</v>
      </c>
      <c r="F282" s="1589"/>
      <c r="G282" s="1557" t="s">
        <v>13</v>
      </c>
      <c r="H282" s="1557"/>
      <c r="I282" s="1590" t="s">
        <v>18</v>
      </c>
      <c r="J282" s="1590"/>
      <c r="L282" s="1557" t="s">
        <v>971</v>
      </c>
      <c r="M282" s="1557"/>
    </row>
    <row r="283" spans="3:13" ht="14.45" customHeight="1">
      <c r="C283" s="1608"/>
      <c r="E283" s="999" t="s">
        <v>253</v>
      </c>
      <c r="F283" s="295"/>
      <c r="G283" s="295"/>
      <c r="H283" s="289"/>
      <c r="I283" s="289"/>
      <c r="J283" s="289"/>
      <c r="K283" s="296"/>
      <c r="L283" s="289"/>
      <c r="M283" s="289"/>
    </row>
    <row r="284" spans="3:13" ht="14.45" customHeight="1">
      <c r="C284" s="1608"/>
      <c r="E284" s="1018"/>
      <c r="F284" s="297"/>
      <c r="G284" s="297"/>
      <c r="H284" s="289"/>
      <c r="I284" s="289"/>
      <c r="J284" s="289"/>
      <c r="K284" s="298"/>
      <c r="L284" s="289"/>
      <c r="M284" s="289"/>
    </row>
    <row r="285" spans="3:13" ht="14.45" customHeight="1">
      <c r="C285" s="1608"/>
      <c r="E285" s="1584" t="s">
        <v>1438</v>
      </c>
      <c r="F285" s="1584"/>
      <c r="G285" s="299"/>
      <c r="H285" s="299"/>
      <c r="I285" s="299"/>
      <c r="J285" s="300"/>
      <c r="K285" s="300"/>
      <c r="L285" s="301"/>
      <c r="M285" s="297"/>
    </row>
    <row r="286" spans="3:13" ht="14.45" customHeight="1">
      <c r="C286" s="1608"/>
      <c r="E286" s="1557" t="s">
        <v>14</v>
      </c>
      <c r="F286" s="1557"/>
    </row>
    <row r="287" spans="3:13" ht="14.45" customHeight="1">
      <c r="E287" s="999"/>
      <c r="F287" s="416"/>
    </row>
    <row r="288" spans="3:13" ht="14.45" customHeight="1">
      <c r="E288" s="999"/>
      <c r="F288" s="416"/>
    </row>
    <row r="289" spans="3:13" ht="15.95" customHeight="1"/>
    <row r="290" spans="3:13" ht="14.45" customHeight="1">
      <c r="C290" s="1607" t="s">
        <v>1192</v>
      </c>
      <c r="D290" s="289"/>
      <c r="F290" s="1594" t="s">
        <v>1716</v>
      </c>
      <c r="G290" s="1594"/>
      <c r="H290" s="1594"/>
      <c r="I290" s="1594"/>
      <c r="J290" s="1594"/>
      <c r="K290" s="1594"/>
      <c r="L290" s="1594"/>
      <c r="M290" s="265"/>
    </row>
    <row r="291" spans="3:13" ht="14.45" customHeight="1">
      <c r="C291" s="1607"/>
      <c r="E291" s="1579" t="s">
        <v>174</v>
      </c>
      <c r="F291" s="1579"/>
      <c r="G291" s="1579"/>
      <c r="H291" s="1579"/>
      <c r="I291" s="1579"/>
      <c r="J291" s="1579"/>
      <c r="K291" s="1579"/>
      <c r="L291" s="1579"/>
      <c r="M291" s="1579"/>
    </row>
    <row r="292" spans="3:13" ht="14.45" customHeight="1">
      <c r="C292" s="1607"/>
      <c r="E292" s="1000" t="s">
        <v>976</v>
      </c>
      <c r="F292" s="267" t="s">
        <v>1193</v>
      </c>
    </row>
    <row r="293" spans="3:13" ht="14.45" customHeight="1">
      <c r="C293" s="1607"/>
      <c r="E293" s="1000" t="s">
        <v>978</v>
      </c>
      <c r="F293" s="268" t="s">
        <v>1194</v>
      </c>
    </row>
    <row r="294" spans="3:13" ht="19.5" customHeight="1">
      <c r="C294" s="1607"/>
      <c r="E294" s="1000" t="s">
        <v>980</v>
      </c>
      <c r="F294" s="1599" t="s">
        <v>1460</v>
      </c>
      <c r="G294" s="1599"/>
      <c r="H294" s="1599"/>
      <c r="I294" s="1599"/>
      <c r="J294" s="1599"/>
      <c r="K294" s="1599"/>
      <c r="L294" s="1599"/>
      <c r="M294" s="1599"/>
    </row>
    <row r="295" spans="3:13" ht="15.75" customHeight="1">
      <c r="C295" s="1607"/>
      <c r="F295" s="1599"/>
      <c r="G295" s="1599"/>
      <c r="H295" s="1599"/>
      <c r="I295" s="1599"/>
      <c r="J295" s="1599"/>
      <c r="K295" s="1599"/>
      <c r="L295" s="1599"/>
      <c r="M295" s="1599"/>
    </row>
    <row r="296" spans="3:13" ht="18" customHeight="1">
      <c r="C296" s="1607"/>
      <c r="E296" s="1000" t="s">
        <v>982</v>
      </c>
      <c r="F296" s="1599" t="s">
        <v>1461</v>
      </c>
      <c r="G296" s="1599"/>
      <c r="H296" s="1599"/>
      <c r="I296" s="1599"/>
      <c r="J296" s="1599"/>
      <c r="K296" s="1599"/>
      <c r="L296" s="1599"/>
      <c r="M296" s="1599"/>
    </row>
    <row r="297" spans="3:13" ht="17.25" customHeight="1">
      <c r="C297" s="1607"/>
      <c r="F297" s="1599"/>
      <c r="G297" s="1599"/>
      <c r="H297" s="1599"/>
      <c r="I297" s="1599"/>
      <c r="J297" s="1599"/>
      <c r="K297" s="1599"/>
      <c r="L297" s="1599"/>
      <c r="M297" s="1599"/>
    </row>
    <row r="298" spans="3:13" ht="14.45" customHeight="1">
      <c r="C298" s="1607"/>
      <c r="E298" s="1634" t="s">
        <v>1454</v>
      </c>
      <c r="F298" s="1634"/>
      <c r="G298" s="1634"/>
      <c r="H298" s="1634"/>
      <c r="I298" s="1634"/>
      <c r="J298" s="1634"/>
      <c r="K298" s="1634"/>
      <c r="L298" s="1634"/>
      <c r="M298" s="1634"/>
    </row>
    <row r="299" spans="3:13" ht="19.5" customHeight="1">
      <c r="C299" s="1607"/>
      <c r="E299" s="1633"/>
      <c r="F299" s="1633"/>
      <c r="G299" s="1633"/>
      <c r="H299" s="1633"/>
      <c r="I299" s="1633"/>
      <c r="J299" s="1633"/>
      <c r="K299" s="1633"/>
      <c r="L299" s="1633"/>
      <c r="M299" s="1633"/>
    </row>
    <row r="300" spans="3:13" ht="14.45" customHeight="1">
      <c r="C300" s="1607"/>
      <c r="E300" s="1577" t="s">
        <v>985</v>
      </c>
      <c r="F300" s="272" t="s">
        <v>625</v>
      </c>
      <c r="G300" s="1601" t="s">
        <v>627</v>
      </c>
      <c r="H300" s="272" t="s">
        <v>628</v>
      </c>
      <c r="I300" s="1577" t="s">
        <v>986</v>
      </c>
      <c r="J300" s="1603" t="s">
        <v>1717</v>
      </c>
      <c r="K300" s="1603"/>
      <c r="L300" s="1603"/>
      <c r="M300" s="1604"/>
    </row>
    <row r="301" spans="3:13" ht="14.45" customHeight="1">
      <c r="C301" s="1607"/>
      <c r="E301" s="1578"/>
      <c r="F301" s="273" t="s">
        <v>626</v>
      </c>
      <c r="G301" s="1602"/>
      <c r="H301" s="273" t="s">
        <v>629</v>
      </c>
      <c r="I301" s="1578"/>
      <c r="J301" s="418" t="s">
        <v>270</v>
      </c>
      <c r="K301" s="419" t="s">
        <v>271</v>
      </c>
      <c r="L301" s="272" t="s">
        <v>272</v>
      </c>
      <c r="M301" s="420" t="s">
        <v>15</v>
      </c>
    </row>
    <row r="302" spans="3:13" ht="14.45" customHeight="1">
      <c r="C302" s="1607"/>
      <c r="E302" s="278" t="s">
        <v>1195</v>
      </c>
      <c r="F302" s="1574" t="s">
        <v>1196</v>
      </c>
      <c r="G302" s="1563" t="s">
        <v>1197</v>
      </c>
      <c r="H302" s="1563" t="s">
        <v>1198</v>
      </c>
      <c r="I302" s="1563" t="s">
        <v>1199</v>
      </c>
      <c r="J302" s="1565">
        <f>'LBP NO. 2'!M535</f>
        <v>2967861</v>
      </c>
      <c r="K302" s="1558">
        <f>'LBP NO. 2'!M545</f>
        <v>443500</v>
      </c>
      <c r="L302" s="1558">
        <f>'LBP NO. 2'!M551</f>
        <v>0</v>
      </c>
      <c r="M302" s="1558">
        <f>SUM(J302:L318)</f>
        <v>3411361</v>
      </c>
    </row>
    <row r="303" spans="3:13" ht="14.45" customHeight="1">
      <c r="C303" s="1607"/>
      <c r="E303" s="279"/>
      <c r="F303" s="1575"/>
      <c r="G303" s="1561"/>
      <c r="H303" s="1561"/>
      <c r="I303" s="1561"/>
      <c r="J303" s="1566"/>
      <c r="K303" s="1559"/>
      <c r="L303" s="1559"/>
      <c r="M303" s="1559"/>
    </row>
    <row r="304" spans="3:13" ht="14.45" customHeight="1">
      <c r="C304" s="1607"/>
      <c r="E304" s="279"/>
      <c r="F304" s="1575"/>
      <c r="G304" s="1561"/>
      <c r="H304" s="1561"/>
      <c r="I304" s="1561"/>
      <c r="J304" s="1566"/>
      <c r="K304" s="1559"/>
      <c r="L304" s="1559"/>
      <c r="M304" s="1559"/>
    </row>
    <row r="305" spans="3:13" ht="48" customHeight="1">
      <c r="C305" s="1607"/>
      <c r="E305" s="280"/>
      <c r="F305" s="1576"/>
      <c r="G305" s="1564"/>
      <c r="H305" s="1564"/>
      <c r="I305" s="1564"/>
      <c r="J305" s="1566"/>
      <c r="K305" s="1559"/>
      <c r="L305" s="1559"/>
      <c r="M305" s="1559"/>
    </row>
    <row r="306" spans="3:13" ht="14.45" customHeight="1">
      <c r="C306" s="1607"/>
      <c r="E306" s="278" t="s">
        <v>1195</v>
      </c>
      <c r="F306" s="1563" t="s">
        <v>1200</v>
      </c>
      <c r="G306" s="1563" t="s">
        <v>1201</v>
      </c>
      <c r="H306" s="1563" t="s">
        <v>1202</v>
      </c>
      <c r="I306" s="1563" t="s">
        <v>1043</v>
      </c>
      <c r="J306" s="1566"/>
      <c r="K306" s="1559"/>
      <c r="L306" s="1559"/>
      <c r="M306" s="1559"/>
    </row>
    <row r="307" spans="3:13" ht="14.45" customHeight="1">
      <c r="C307" s="1607"/>
      <c r="E307" s="279"/>
      <c r="F307" s="1561"/>
      <c r="G307" s="1561"/>
      <c r="H307" s="1561"/>
      <c r="I307" s="1561"/>
      <c r="J307" s="1566"/>
      <c r="K307" s="1559"/>
      <c r="L307" s="1559"/>
      <c r="M307" s="1559"/>
    </row>
    <row r="308" spans="3:13" ht="14.45" customHeight="1">
      <c r="C308" s="1607"/>
      <c r="E308" s="279"/>
      <c r="F308" s="1561"/>
      <c r="G308" s="1561"/>
      <c r="H308" s="1561"/>
      <c r="I308" s="1561"/>
      <c r="J308" s="1566"/>
      <c r="K308" s="1559"/>
      <c r="L308" s="1559"/>
      <c r="M308" s="1559"/>
    </row>
    <row r="309" spans="3:13" ht="14.45" customHeight="1">
      <c r="C309" s="1607"/>
      <c r="E309" s="280"/>
      <c r="F309" s="1564"/>
      <c r="G309" s="1564"/>
      <c r="H309" s="1564"/>
      <c r="I309" s="1564"/>
      <c r="J309" s="1566"/>
      <c r="K309" s="1559"/>
      <c r="L309" s="1559"/>
      <c r="M309" s="1559"/>
    </row>
    <row r="310" spans="3:13" ht="14.45" customHeight="1">
      <c r="C310" s="1607"/>
      <c r="E310" s="278" t="s">
        <v>1195</v>
      </c>
      <c r="F310" s="1574" t="s">
        <v>1203</v>
      </c>
      <c r="G310" s="1563" t="s">
        <v>1204</v>
      </c>
      <c r="H310" s="1574" t="s">
        <v>1205</v>
      </c>
      <c r="I310" s="1563" t="s">
        <v>1043</v>
      </c>
      <c r="J310" s="1566"/>
      <c r="K310" s="1559"/>
      <c r="L310" s="1559"/>
      <c r="M310" s="1559"/>
    </row>
    <row r="311" spans="3:13" ht="30" customHeight="1">
      <c r="C311" s="1607"/>
      <c r="E311" s="280"/>
      <c r="F311" s="1576"/>
      <c r="G311" s="1564"/>
      <c r="H311" s="1576"/>
      <c r="I311" s="1564"/>
      <c r="J311" s="1566"/>
      <c r="K311" s="1559"/>
      <c r="L311" s="1559"/>
      <c r="M311" s="1559"/>
    </row>
    <row r="312" spans="3:13" ht="14.45" customHeight="1">
      <c r="C312" s="1607"/>
      <c r="E312" s="278" t="s">
        <v>1195</v>
      </c>
      <c r="F312" s="1574" t="s">
        <v>1206</v>
      </c>
      <c r="G312" s="1563" t="s">
        <v>1207</v>
      </c>
      <c r="H312" s="1574" t="s">
        <v>1208</v>
      </c>
      <c r="I312" s="1563" t="s">
        <v>1209</v>
      </c>
      <c r="J312" s="1566"/>
      <c r="K312" s="1559"/>
      <c r="L312" s="1559"/>
      <c r="M312" s="1559"/>
    </row>
    <row r="313" spans="3:13" ht="14.45" customHeight="1">
      <c r="C313" s="1607"/>
      <c r="E313" s="279"/>
      <c r="F313" s="1575"/>
      <c r="G313" s="1561"/>
      <c r="H313" s="1575"/>
      <c r="I313" s="1561"/>
      <c r="J313" s="1566"/>
      <c r="K313" s="1559"/>
      <c r="L313" s="1559"/>
      <c r="M313" s="1559"/>
    </row>
    <row r="314" spans="3:13" ht="30.75" customHeight="1">
      <c r="C314" s="1607"/>
      <c r="E314" s="280"/>
      <c r="F314" s="1576"/>
      <c r="G314" s="1564"/>
      <c r="H314" s="1576"/>
      <c r="I314" s="1564"/>
      <c r="J314" s="1566"/>
      <c r="K314" s="1559"/>
      <c r="L314" s="1559"/>
      <c r="M314" s="1559"/>
    </row>
    <row r="315" spans="3:13" ht="14.45" customHeight="1">
      <c r="C315" s="1607"/>
      <c r="E315" s="278" t="s">
        <v>1195</v>
      </c>
      <c r="F315" s="1635" t="s">
        <v>1040</v>
      </c>
      <c r="G315" s="1571" t="s">
        <v>1041</v>
      </c>
      <c r="H315" s="1571" t="s">
        <v>1042</v>
      </c>
      <c r="I315" s="1571" t="s">
        <v>1043</v>
      </c>
      <c r="J315" s="1566"/>
      <c r="K315" s="1559"/>
      <c r="L315" s="1559"/>
      <c r="M315" s="1559"/>
    </row>
    <row r="316" spans="3:13" ht="14.45" customHeight="1">
      <c r="C316" s="1607"/>
      <c r="E316" s="279"/>
      <c r="F316" s="1636"/>
      <c r="G316" s="1572"/>
      <c r="H316" s="1572"/>
      <c r="I316" s="1572"/>
      <c r="J316" s="1566"/>
      <c r="K316" s="1559"/>
      <c r="L316" s="1559"/>
      <c r="M316" s="1559"/>
    </row>
    <row r="317" spans="3:13" ht="14.45" customHeight="1">
      <c r="C317" s="1607"/>
      <c r="E317" s="279"/>
      <c r="F317" s="1636"/>
      <c r="G317" s="1572"/>
      <c r="H317" s="1572"/>
      <c r="I317" s="1572"/>
      <c r="J317" s="1566"/>
      <c r="K317" s="1559"/>
      <c r="L317" s="1559"/>
      <c r="M317" s="1559"/>
    </row>
    <row r="318" spans="3:13" ht="14.45" customHeight="1">
      <c r="C318" s="1607"/>
      <c r="E318" s="280"/>
      <c r="F318" s="1637"/>
      <c r="G318" s="1573"/>
      <c r="H318" s="1573"/>
      <c r="I318" s="1573"/>
      <c r="J318" s="1567"/>
      <c r="K318" s="1560"/>
      <c r="L318" s="1560"/>
      <c r="M318" s="1560"/>
    </row>
    <row r="319" spans="3:13" ht="14.45" customHeight="1">
      <c r="C319" s="1607"/>
      <c r="E319" s="1002"/>
      <c r="F319" s="289"/>
      <c r="G319" s="289"/>
      <c r="H319" s="289"/>
      <c r="I319" s="289"/>
      <c r="J319" s="315"/>
      <c r="K319" s="315"/>
      <c r="L319" s="315"/>
      <c r="M319" s="315"/>
    </row>
    <row r="320" spans="3:13" ht="14.45" customHeight="1">
      <c r="C320" s="1607"/>
      <c r="E320" s="1002" t="s">
        <v>1015</v>
      </c>
      <c r="F320" s="289"/>
      <c r="G320" s="293" t="s">
        <v>1016</v>
      </c>
      <c r="J320" s="293"/>
      <c r="K320" s="293"/>
      <c r="L320" s="294"/>
      <c r="M320" s="294"/>
    </row>
    <row r="321" spans="3:13" ht="14.45" customHeight="1">
      <c r="C321" s="1607"/>
      <c r="E321" s="1002"/>
      <c r="F321" s="289"/>
      <c r="G321" s="289"/>
      <c r="H321" s="289"/>
      <c r="J321" s="289"/>
      <c r="K321" s="289"/>
      <c r="L321" s="289"/>
      <c r="M321" s="289"/>
    </row>
    <row r="322" spans="3:13" ht="14.45" customHeight="1">
      <c r="C322" s="1607"/>
      <c r="E322" s="1595" t="s">
        <v>24</v>
      </c>
      <c r="F322" s="1595"/>
      <c r="G322" s="1584" t="s">
        <v>249</v>
      </c>
      <c r="H322" s="1584"/>
      <c r="I322" s="1585" t="s">
        <v>17</v>
      </c>
      <c r="J322" s="1585"/>
      <c r="L322" s="1584" t="s">
        <v>87</v>
      </c>
      <c r="M322" s="1584"/>
    </row>
    <row r="323" spans="3:13" ht="14.45" customHeight="1">
      <c r="C323" s="1607"/>
      <c r="E323" s="1589" t="s">
        <v>846</v>
      </c>
      <c r="F323" s="1589"/>
      <c r="G323" s="1557" t="s">
        <v>13</v>
      </c>
      <c r="H323" s="1557"/>
      <c r="I323" s="1590" t="s">
        <v>18</v>
      </c>
      <c r="J323" s="1590"/>
      <c r="L323" s="1557" t="s">
        <v>971</v>
      </c>
      <c r="M323" s="1557"/>
    </row>
    <row r="324" spans="3:13" ht="14.45" customHeight="1">
      <c r="C324" s="1607"/>
      <c r="E324" s="999" t="s">
        <v>253</v>
      </c>
      <c r="F324" s="295"/>
      <c r="G324" s="295"/>
      <c r="H324" s="289"/>
      <c r="I324" s="289"/>
      <c r="J324" s="289"/>
      <c r="K324" s="296"/>
      <c r="L324" s="289"/>
      <c r="M324" s="289"/>
    </row>
    <row r="325" spans="3:13" ht="14.45" customHeight="1">
      <c r="C325" s="1607"/>
      <c r="E325" s="1018"/>
      <c r="F325" s="297"/>
      <c r="G325" s="297"/>
      <c r="H325" s="289"/>
      <c r="I325" s="289"/>
      <c r="J325" s="289"/>
      <c r="K325" s="298"/>
      <c r="L325" s="289"/>
      <c r="M325" s="289"/>
    </row>
    <row r="326" spans="3:13" ht="14.45" customHeight="1">
      <c r="C326" s="1607"/>
      <c r="E326" s="1584" t="s">
        <v>1438</v>
      </c>
      <c r="F326" s="1584"/>
      <c r="G326" s="299"/>
      <c r="H326" s="299"/>
      <c r="I326" s="299"/>
      <c r="J326" s="300"/>
      <c r="K326" s="300"/>
      <c r="L326" s="301"/>
      <c r="M326" s="297"/>
    </row>
    <row r="327" spans="3:13" ht="14.45" customHeight="1">
      <c r="C327" s="1607"/>
      <c r="E327" s="1557" t="s">
        <v>14</v>
      </c>
      <c r="F327" s="1557"/>
      <c r="G327" s="299"/>
      <c r="H327" s="299"/>
      <c r="I327" s="299"/>
      <c r="J327" s="300"/>
      <c r="K327" s="300"/>
      <c r="L327" s="301"/>
      <c r="M327" s="297"/>
    </row>
    <row r="328" spans="3:13" ht="14.45" customHeight="1">
      <c r="E328" s="999"/>
      <c r="F328" s="416"/>
      <c r="G328" s="299"/>
      <c r="H328" s="299"/>
      <c r="I328" s="299"/>
      <c r="J328" s="300"/>
      <c r="K328" s="300"/>
      <c r="L328" s="301"/>
      <c r="M328" s="297"/>
    </row>
    <row r="329" spans="3:13" ht="14.45" customHeight="1">
      <c r="E329" s="1001"/>
      <c r="F329" s="422"/>
      <c r="G329" s="299"/>
      <c r="H329" s="299"/>
      <c r="I329" s="299"/>
      <c r="J329" s="300"/>
      <c r="K329" s="300"/>
      <c r="L329" s="301"/>
      <c r="M329" s="297"/>
    </row>
    <row r="330" spans="3:13" ht="14.45" customHeight="1">
      <c r="E330" s="1001"/>
      <c r="F330" s="422"/>
      <c r="G330" s="299"/>
      <c r="H330" s="299"/>
      <c r="I330" s="299"/>
      <c r="J330" s="300"/>
      <c r="K330" s="300"/>
      <c r="L330" s="301"/>
      <c r="M330" s="297"/>
    </row>
    <row r="331" spans="3:13" ht="14.45" customHeight="1">
      <c r="E331" s="1001"/>
      <c r="F331" s="422"/>
      <c r="G331" s="299"/>
      <c r="H331" s="299"/>
      <c r="I331" s="299"/>
      <c r="J331" s="300"/>
      <c r="K331" s="300"/>
      <c r="L331" s="301"/>
      <c r="M331" s="297"/>
    </row>
    <row r="332" spans="3:13" ht="14.45" customHeight="1">
      <c r="E332" s="1001"/>
      <c r="F332" s="422"/>
      <c r="G332" s="299"/>
      <c r="H332" s="299"/>
      <c r="I332" s="299"/>
      <c r="J332" s="300"/>
      <c r="K332" s="300"/>
      <c r="L332" s="301"/>
      <c r="M332" s="297"/>
    </row>
    <row r="333" spans="3:13" ht="14.45" customHeight="1">
      <c r="E333" s="1001"/>
      <c r="F333" s="422"/>
      <c r="G333" s="299"/>
      <c r="H333" s="299"/>
      <c r="I333" s="299"/>
      <c r="J333" s="300"/>
      <c r="K333" s="300"/>
      <c r="L333" s="301"/>
      <c r="M333" s="297"/>
    </row>
    <row r="334" spans="3:13" ht="14.45" customHeight="1">
      <c r="E334" s="1001"/>
      <c r="F334" s="422"/>
      <c r="G334" s="299"/>
      <c r="H334" s="299"/>
      <c r="I334" s="299"/>
      <c r="J334" s="300"/>
      <c r="K334" s="300"/>
      <c r="L334" s="301"/>
      <c r="M334" s="297"/>
    </row>
    <row r="335" spans="3:13" ht="15.95" customHeight="1"/>
    <row r="336" spans="3:13" ht="14.45" customHeight="1">
      <c r="C336" s="1607" t="s">
        <v>1210</v>
      </c>
      <c r="D336" s="289"/>
      <c r="F336" s="1594" t="s">
        <v>1716</v>
      </c>
      <c r="G336" s="1594"/>
      <c r="H336" s="1594"/>
      <c r="I336" s="1594"/>
      <c r="J336" s="1594"/>
      <c r="K336" s="1594"/>
      <c r="L336" s="1594"/>
      <c r="M336" s="265"/>
    </row>
    <row r="337" spans="3:13" ht="14.45" customHeight="1">
      <c r="C337" s="1608"/>
      <c r="E337" s="1579" t="s">
        <v>174</v>
      </c>
      <c r="F337" s="1579"/>
      <c r="G337" s="1579"/>
      <c r="H337" s="1579"/>
      <c r="I337" s="1579"/>
      <c r="J337" s="1579"/>
      <c r="K337" s="1579"/>
      <c r="L337" s="1579"/>
      <c r="M337" s="1579"/>
    </row>
    <row r="338" spans="3:13" ht="14.45" customHeight="1">
      <c r="C338" s="1608"/>
      <c r="E338" s="1000" t="s">
        <v>976</v>
      </c>
      <c r="F338" s="267" t="s">
        <v>1211</v>
      </c>
    </row>
    <row r="339" spans="3:13" ht="14.45" customHeight="1">
      <c r="C339" s="1608"/>
      <c r="E339" s="1000" t="s">
        <v>978</v>
      </c>
      <c r="F339" s="1638" t="s">
        <v>1212</v>
      </c>
      <c r="G339" s="1638"/>
      <c r="H339" s="1638"/>
      <c r="I339" s="1638"/>
      <c r="J339" s="1638"/>
      <c r="K339" s="1638"/>
      <c r="L339" s="1638"/>
    </row>
    <row r="340" spans="3:13" ht="14.45" customHeight="1">
      <c r="C340" s="1608"/>
      <c r="E340" s="1000" t="s">
        <v>980</v>
      </c>
      <c r="F340" s="1600" t="s">
        <v>1213</v>
      </c>
      <c r="G340" s="1600"/>
      <c r="H340" s="1600"/>
      <c r="I340" s="1600"/>
      <c r="J340" s="1600"/>
      <c r="K340" s="1600"/>
      <c r="L340" s="1600"/>
      <c r="M340" s="1600"/>
    </row>
    <row r="341" spans="3:13" ht="14.45" customHeight="1">
      <c r="C341" s="1608"/>
      <c r="E341" s="1000" t="s">
        <v>982</v>
      </c>
      <c r="F341" s="1600" t="s">
        <v>1214</v>
      </c>
      <c r="G341" s="1600"/>
      <c r="H341" s="1600"/>
      <c r="I341" s="1600"/>
      <c r="J341" s="1600"/>
      <c r="K341" s="1600"/>
      <c r="L341" s="1600"/>
      <c r="M341" s="1600"/>
    </row>
    <row r="342" spans="3:13" ht="15.75" customHeight="1">
      <c r="C342" s="1608"/>
      <c r="E342" s="1000" t="s">
        <v>1215</v>
      </c>
      <c r="F342" s="271"/>
      <c r="G342" s="271"/>
      <c r="H342" s="271"/>
      <c r="I342" s="271"/>
      <c r="J342" s="271"/>
      <c r="K342" s="271"/>
      <c r="L342" s="271"/>
      <c r="M342" s="271"/>
    </row>
    <row r="343" spans="3:13" ht="14.45" customHeight="1">
      <c r="C343" s="1608"/>
      <c r="E343" s="1577" t="s">
        <v>985</v>
      </c>
      <c r="F343" s="272" t="s">
        <v>625</v>
      </c>
      <c r="G343" s="1601" t="s">
        <v>627</v>
      </c>
      <c r="H343" s="272" t="s">
        <v>628</v>
      </c>
      <c r="I343" s="1577" t="s">
        <v>986</v>
      </c>
      <c r="J343" s="1603" t="s">
        <v>1717</v>
      </c>
      <c r="K343" s="1603"/>
      <c r="L343" s="1603"/>
      <c r="M343" s="1604"/>
    </row>
    <row r="344" spans="3:13" ht="14.45" customHeight="1">
      <c r="C344" s="1608"/>
      <c r="E344" s="1609"/>
      <c r="F344" s="273" t="s">
        <v>626</v>
      </c>
      <c r="G344" s="1602"/>
      <c r="H344" s="273" t="s">
        <v>629</v>
      </c>
      <c r="I344" s="1578"/>
      <c r="J344" s="274" t="s">
        <v>270</v>
      </c>
      <c r="K344" s="275" t="s">
        <v>271</v>
      </c>
      <c r="L344" s="276" t="s">
        <v>272</v>
      </c>
      <c r="M344" s="277" t="s">
        <v>15</v>
      </c>
    </row>
    <row r="345" spans="3:13" ht="14.45" customHeight="1">
      <c r="C345" s="1608"/>
      <c r="E345" s="423" t="s">
        <v>1216</v>
      </c>
      <c r="F345" s="1563" t="s">
        <v>1217</v>
      </c>
      <c r="G345" s="1563" t="s">
        <v>1218</v>
      </c>
      <c r="H345" s="1563" t="s">
        <v>1219</v>
      </c>
      <c r="I345" s="1563" t="s">
        <v>1043</v>
      </c>
      <c r="J345" s="1565">
        <f>'LBP NO. 2'!M600</f>
        <v>2287932</v>
      </c>
      <c r="K345" s="1558">
        <f>'LBP NO. 2'!M610</f>
        <v>234000</v>
      </c>
      <c r="L345" s="1558">
        <f>'LBP NO. 2'!M616</f>
        <v>0</v>
      </c>
      <c r="M345" s="1558">
        <f>SUM(J345:L359)</f>
        <v>2521932</v>
      </c>
    </row>
    <row r="346" spans="3:13" ht="27.75" customHeight="1">
      <c r="C346" s="1608"/>
      <c r="E346" s="424"/>
      <c r="F346" s="1564"/>
      <c r="G346" s="1564"/>
      <c r="H346" s="1564"/>
      <c r="I346" s="1564"/>
      <c r="J346" s="1566"/>
      <c r="K346" s="1559"/>
      <c r="L346" s="1559"/>
      <c r="M346" s="1559"/>
    </row>
    <row r="347" spans="3:13" ht="14.45" customHeight="1">
      <c r="C347" s="1608"/>
      <c r="E347" s="423" t="s">
        <v>1216</v>
      </c>
      <c r="F347" s="1563" t="s">
        <v>1220</v>
      </c>
      <c r="G347" s="1563" t="s">
        <v>1221</v>
      </c>
      <c r="H347" s="1574" t="s">
        <v>1222</v>
      </c>
      <c r="I347" s="1563" t="s">
        <v>1043</v>
      </c>
      <c r="J347" s="1566"/>
      <c r="K347" s="1559"/>
      <c r="L347" s="1559"/>
      <c r="M347" s="1559"/>
    </row>
    <row r="348" spans="3:13" ht="40.5" customHeight="1">
      <c r="C348" s="1608"/>
      <c r="E348" s="424"/>
      <c r="F348" s="1564"/>
      <c r="G348" s="1564"/>
      <c r="H348" s="1576"/>
      <c r="I348" s="1564"/>
      <c r="J348" s="1566"/>
      <c r="K348" s="1559"/>
      <c r="L348" s="1559"/>
      <c r="M348" s="1559"/>
    </row>
    <row r="349" spans="3:13" ht="14.45" customHeight="1">
      <c r="C349" s="1608"/>
      <c r="E349" s="423" t="s">
        <v>1216</v>
      </c>
      <c r="F349" s="1563" t="s">
        <v>1223</v>
      </c>
      <c r="G349" s="1563" t="s">
        <v>1224</v>
      </c>
      <c r="H349" s="1574" t="s">
        <v>1225</v>
      </c>
      <c r="I349" s="1563" t="s">
        <v>1043</v>
      </c>
      <c r="J349" s="1566"/>
      <c r="K349" s="1559"/>
      <c r="L349" s="1559"/>
      <c r="M349" s="1559"/>
    </row>
    <row r="350" spans="3:13" ht="14.45" customHeight="1">
      <c r="C350" s="1608"/>
      <c r="E350" s="425"/>
      <c r="F350" s="1561"/>
      <c r="G350" s="1561"/>
      <c r="H350" s="1575"/>
      <c r="I350" s="1561"/>
      <c r="J350" s="1566"/>
      <c r="K350" s="1559"/>
      <c r="L350" s="1559"/>
      <c r="M350" s="1559"/>
    </row>
    <row r="351" spans="3:13" ht="24.75" customHeight="1">
      <c r="C351" s="1608"/>
      <c r="E351" s="424"/>
      <c r="F351" s="1564"/>
      <c r="G351" s="1564"/>
      <c r="H351" s="1576"/>
      <c r="I351" s="1564"/>
      <c r="J351" s="1566"/>
      <c r="K351" s="1559"/>
      <c r="L351" s="1559"/>
      <c r="M351" s="1559"/>
    </row>
    <row r="352" spans="3:13" ht="14.45" customHeight="1">
      <c r="C352" s="1608"/>
      <c r="E352" s="423" t="s">
        <v>1216</v>
      </c>
      <c r="F352" s="1574" t="s">
        <v>1226</v>
      </c>
      <c r="G352" s="1639" t="s">
        <v>1227</v>
      </c>
      <c r="H352" s="1563" t="s">
        <v>1228</v>
      </c>
      <c r="I352" s="1563" t="s">
        <v>1043</v>
      </c>
      <c r="J352" s="1566"/>
      <c r="K352" s="1559"/>
      <c r="L352" s="1559"/>
      <c r="M352" s="1559"/>
    </row>
    <row r="353" spans="3:13" ht="14.45" customHeight="1">
      <c r="C353" s="1608"/>
      <c r="E353" s="425"/>
      <c r="F353" s="1575"/>
      <c r="G353" s="1640"/>
      <c r="H353" s="1561"/>
      <c r="I353" s="1561"/>
      <c r="J353" s="1566"/>
      <c r="K353" s="1559"/>
      <c r="L353" s="1559"/>
      <c r="M353" s="1559"/>
    </row>
    <row r="354" spans="3:13" ht="14.45" customHeight="1">
      <c r="C354" s="1608"/>
      <c r="E354" s="425"/>
      <c r="F354" s="1575"/>
      <c r="G354" s="1640"/>
      <c r="H354" s="1561"/>
      <c r="I354" s="1561"/>
      <c r="J354" s="1566"/>
      <c r="K354" s="1559"/>
      <c r="L354" s="1559"/>
      <c r="M354" s="1559"/>
    </row>
    <row r="355" spans="3:13" ht="33.75" customHeight="1">
      <c r="C355" s="1608"/>
      <c r="E355" s="424"/>
      <c r="F355" s="1576"/>
      <c r="G355" s="1641"/>
      <c r="H355" s="1564"/>
      <c r="I355" s="1564"/>
      <c r="J355" s="1566"/>
      <c r="K355" s="1559"/>
      <c r="L355" s="1559"/>
      <c r="M355" s="1559"/>
    </row>
    <row r="356" spans="3:13" ht="14.45" customHeight="1">
      <c r="C356" s="1608"/>
      <c r="E356" s="423" t="s">
        <v>1216</v>
      </c>
      <c r="F356" s="1571" t="s">
        <v>1040</v>
      </c>
      <c r="G356" s="1571" t="s">
        <v>1041</v>
      </c>
      <c r="H356" s="1571" t="s">
        <v>1042</v>
      </c>
      <c r="I356" s="1571" t="s">
        <v>1043</v>
      </c>
      <c r="J356" s="1566"/>
      <c r="K356" s="1559"/>
      <c r="L356" s="1559"/>
      <c r="M356" s="1559"/>
    </row>
    <row r="357" spans="3:13" ht="14.45" customHeight="1">
      <c r="C357" s="1608"/>
      <c r="E357" s="426"/>
      <c r="F357" s="1572"/>
      <c r="G357" s="1572"/>
      <c r="H357" s="1572"/>
      <c r="I357" s="1572"/>
      <c r="J357" s="1566"/>
      <c r="K357" s="1559"/>
      <c r="L357" s="1559"/>
      <c r="M357" s="1559"/>
    </row>
    <row r="358" spans="3:13" ht="32.25" customHeight="1">
      <c r="C358" s="1608"/>
      <c r="E358" s="426"/>
      <c r="F358" s="1572"/>
      <c r="G358" s="1572"/>
      <c r="H358" s="1572"/>
      <c r="I358" s="1572"/>
      <c r="J358" s="1566"/>
      <c r="K358" s="1559"/>
      <c r="L358" s="1559"/>
      <c r="M358" s="1559"/>
    </row>
    <row r="359" spans="3:13" ht="14.45" customHeight="1">
      <c r="C359" s="1608"/>
      <c r="E359" s="427"/>
      <c r="F359" s="405"/>
      <c r="G359" s="405"/>
      <c r="H359" s="405"/>
      <c r="I359" s="405"/>
      <c r="J359" s="1567"/>
      <c r="K359" s="1560"/>
      <c r="L359" s="1560"/>
      <c r="M359" s="1560"/>
    </row>
    <row r="360" spans="3:13" ht="14.45" customHeight="1">
      <c r="C360" s="1608"/>
      <c r="E360" s="1002"/>
      <c r="F360" s="289"/>
      <c r="G360" s="289"/>
      <c r="H360" s="289"/>
      <c r="I360" s="289"/>
      <c r="J360" s="315"/>
      <c r="K360" s="315"/>
      <c r="L360" s="315"/>
      <c r="M360" s="315"/>
    </row>
    <row r="361" spans="3:13" ht="14.45" customHeight="1">
      <c r="C361" s="1608"/>
      <c r="E361" s="1002" t="s">
        <v>1015</v>
      </c>
      <c r="F361" s="289"/>
      <c r="G361" s="293" t="s">
        <v>1016</v>
      </c>
      <c r="J361" s="293"/>
      <c r="K361" s="293"/>
      <c r="L361" s="294"/>
      <c r="M361" s="294"/>
    </row>
    <row r="362" spans="3:13" ht="14.45" customHeight="1">
      <c r="C362" s="1608"/>
      <c r="E362" s="1002"/>
      <c r="F362" s="289"/>
      <c r="G362" s="289"/>
      <c r="H362" s="289"/>
      <c r="J362" s="289"/>
      <c r="K362" s="289"/>
      <c r="L362" s="289"/>
      <c r="M362" s="289"/>
    </row>
    <row r="363" spans="3:13" ht="14.45" customHeight="1">
      <c r="C363" s="1608"/>
      <c r="E363" s="1595" t="s">
        <v>893</v>
      </c>
      <c r="F363" s="1595"/>
      <c r="G363" s="1584" t="s">
        <v>249</v>
      </c>
      <c r="H363" s="1584"/>
      <c r="I363" s="1585" t="s">
        <v>17</v>
      </c>
      <c r="J363" s="1585"/>
      <c r="L363" s="1584" t="s">
        <v>87</v>
      </c>
      <c r="M363" s="1584"/>
    </row>
    <row r="364" spans="3:13" ht="14.45" customHeight="1">
      <c r="C364" s="1608"/>
      <c r="E364" s="1589" t="s">
        <v>943</v>
      </c>
      <c r="F364" s="1589"/>
      <c r="G364" s="1557" t="s">
        <v>13</v>
      </c>
      <c r="H364" s="1557"/>
      <c r="I364" s="1590" t="s">
        <v>18</v>
      </c>
      <c r="J364" s="1590"/>
      <c r="L364" s="1557" t="s">
        <v>971</v>
      </c>
      <c r="M364" s="1557"/>
    </row>
    <row r="365" spans="3:13" ht="14.45" customHeight="1">
      <c r="C365" s="1608"/>
      <c r="E365" s="999" t="s">
        <v>253</v>
      </c>
      <c r="F365" s="295"/>
      <c r="G365" s="295"/>
      <c r="H365" s="289"/>
      <c r="I365" s="289"/>
      <c r="J365" s="289"/>
      <c r="K365" s="296"/>
      <c r="L365" s="289"/>
      <c r="M365" s="289"/>
    </row>
    <row r="366" spans="3:13" ht="14.45" customHeight="1">
      <c r="C366" s="1608"/>
      <c r="E366" s="1018"/>
      <c r="F366" s="297"/>
      <c r="G366" s="297"/>
      <c r="H366" s="289"/>
      <c r="I366" s="289"/>
      <c r="J366" s="289"/>
      <c r="K366" s="298"/>
      <c r="L366" s="289"/>
      <c r="M366" s="289"/>
    </row>
    <row r="367" spans="3:13" ht="14.45" customHeight="1">
      <c r="C367" s="1608"/>
      <c r="E367" s="1584" t="s">
        <v>1438</v>
      </c>
      <c r="F367" s="1584"/>
      <c r="G367" s="299"/>
      <c r="H367" s="299"/>
      <c r="I367" s="299"/>
      <c r="J367" s="300"/>
      <c r="K367" s="300"/>
      <c r="L367" s="301"/>
      <c r="M367" s="297"/>
    </row>
    <row r="368" spans="3:13" ht="14.45" customHeight="1">
      <c r="C368" s="1608"/>
      <c r="E368" s="1557" t="s">
        <v>14</v>
      </c>
      <c r="F368" s="1557"/>
      <c r="G368" s="299"/>
      <c r="H368" s="299"/>
      <c r="I368" s="299"/>
      <c r="J368" s="300"/>
      <c r="K368" s="300"/>
      <c r="L368" s="301"/>
      <c r="M368" s="297"/>
    </row>
    <row r="369" spans="3:13" ht="14.45" customHeight="1">
      <c r="E369" s="1001"/>
      <c r="F369" s="422"/>
      <c r="G369" s="299"/>
      <c r="H369" s="299"/>
      <c r="I369" s="299"/>
      <c r="J369" s="300"/>
      <c r="K369" s="300"/>
      <c r="L369" s="301"/>
      <c r="M369" s="297"/>
    </row>
    <row r="370" spans="3:13" ht="14.45" customHeight="1">
      <c r="E370" s="1001"/>
      <c r="F370" s="422"/>
      <c r="G370" s="299"/>
      <c r="H370" s="299"/>
      <c r="I370" s="299"/>
      <c r="J370" s="300"/>
      <c r="K370" s="300"/>
      <c r="L370" s="301"/>
      <c r="M370" s="297"/>
    </row>
    <row r="371" spans="3:13" ht="14.45" customHeight="1">
      <c r="E371" s="1001"/>
      <c r="F371" s="422"/>
      <c r="G371" s="299"/>
      <c r="H371" s="299"/>
      <c r="I371" s="299"/>
      <c r="J371" s="300"/>
      <c r="K371" s="300"/>
      <c r="L371" s="301"/>
      <c r="M371" s="297"/>
    </row>
    <row r="372" spans="3:13" ht="14.45" customHeight="1">
      <c r="E372" s="1001"/>
      <c r="F372" s="422"/>
      <c r="G372" s="299"/>
      <c r="H372" s="299"/>
      <c r="I372" s="299"/>
      <c r="J372" s="300"/>
      <c r="K372" s="300"/>
      <c r="L372" s="301"/>
      <c r="M372" s="297"/>
    </row>
    <row r="373" spans="3:13" ht="14.45" customHeight="1">
      <c r="E373" s="1001"/>
      <c r="F373" s="422"/>
      <c r="G373" s="299"/>
      <c r="H373" s="299"/>
      <c r="I373" s="299"/>
      <c r="J373" s="300"/>
      <c r="K373" s="300"/>
      <c r="L373" s="301"/>
      <c r="M373" s="297"/>
    </row>
    <row r="374" spans="3:13" ht="14.45" customHeight="1">
      <c r="E374" s="1001"/>
      <c r="F374" s="422"/>
      <c r="G374" s="299"/>
      <c r="H374" s="299"/>
      <c r="I374" s="299"/>
      <c r="J374" s="300"/>
      <c r="K374" s="300"/>
      <c r="L374" s="301"/>
      <c r="M374" s="297"/>
    </row>
    <row r="375" spans="3:13" ht="14.45" customHeight="1">
      <c r="E375" s="1001"/>
      <c r="F375" s="422"/>
      <c r="G375" s="299"/>
      <c r="H375" s="299"/>
      <c r="I375" s="299"/>
      <c r="J375" s="300"/>
      <c r="K375" s="300"/>
      <c r="L375" s="301"/>
      <c r="M375" s="297"/>
    </row>
    <row r="376" spans="3:13" ht="14.45" customHeight="1">
      <c r="E376" s="1001"/>
      <c r="F376" s="422"/>
      <c r="G376" s="299"/>
      <c r="H376" s="299"/>
      <c r="I376" s="299"/>
      <c r="J376" s="300"/>
      <c r="K376" s="300"/>
      <c r="L376" s="301"/>
      <c r="M376" s="297"/>
    </row>
    <row r="377" spans="3:13" ht="14.45" customHeight="1">
      <c r="E377" s="1001"/>
      <c r="F377" s="422"/>
      <c r="G377" s="299"/>
      <c r="H377" s="299"/>
      <c r="I377" s="299"/>
      <c r="J377" s="300"/>
      <c r="K377" s="300"/>
      <c r="L377" s="301"/>
      <c r="M377" s="297"/>
    </row>
    <row r="378" spans="3:13" ht="15.95" customHeight="1">
      <c r="E378" s="999"/>
      <c r="F378" s="416"/>
    </row>
    <row r="379" spans="3:13" ht="14.45" customHeight="1">
      <c r="D379" s="331"/>
      <c r="E379" s="1006"/>
      <c r="F379" s="331"/>
      <c r="G379" s="331"/>
      <c r="H379" s="331"/>
      <c r="I379" s="331"/>
      <c r="J379" s="331"/>
      <c r="K379" s="331"/>
      <c r="L379" s="331"/>
      <c r="M379" s="331"/>
    </row>
    <row r="380" spans="3:13" ht="14.45" customHeight="1">
      <c r="C380" s="765" t="s">
        <v>1229</v>
      </c>
      <c r="D380" s="1611" t="s">
        <v>1716</v>
      </c>
      <c r="E380" s="1611"/>
      <c r="F380" s="1611"/>
      <c r="G380" s="1611"/>
      <c r="H380" s="1611"/>
      <c r="I380" s="1611"/>
      <c r="J380" s="1611"/>
      <c r="K380" s="1611"/>
      <c r="L380" s="1611"/>
      <c r="M380" s="1611"/>
    </row>
    <row r="381" spans="3:13" ht="14.45" customHeight="1">
      <c r="C381" s="765"/>
      <c r="D381" s="1612" t="s">
        <v>174</v>
      </c>
      <c r="E381" s="1612"/>
      <c r="F381" s="1612"/>
      <c r="G381" s="1612"/>
      <c r="H381" s="1612"/>
      <c r="I381" s="1612"/>
      <c r="J381" s="1612"/>
      <c r="K381" s="1612"/>
      <c r="L381" s="1612"/>
      <c r="M381" s="1612"/>
    </row>
    <row r="382" spans="3:13" ht="14.45" customHeight="1">
      <c r="C382" s="765"/>
      <c r="E382" s="1026" t="s">
        <v>976</v>
      </c>
      <c r="F382" s="428" t="s">
        <v>1230</v>
      </c>
      <c r="G382" s="429"/>
      <c r="H382" s="429"/>
      <c r="I382" s="429"/>
      <c r="J382" s="429"/>
      <c r="K382" s="429"/>
      <c r="L382" s="429"/>
      <c r="M382" s="430"/>
    </row>
    <row r="383" spans="3:13" ht="14.45" customHeight="1">
      <c r="C383" s="765"/>
      <c r="E383" s="1026" t="s">
        <v>978</v>
      </c>
      <c r="F383" s="1652" t="s">
        <v>1231</v>
      </c>
      <c r="G383" s="1652"/>
      <c r="H383" s="1652"/>
      <c r="I383" s="1652"/>
      <c r="J383" s="1652"/>
      <c r="K383" s="1652"/>
      <c r="L383" s="1652"/>
      <c r="M383" s="1652"/>
    </row>
    <row r="384" spans="3:13" ht="19.5" customHeight="1">
      <c r="C384" s="765"/>
      <c r="E384" s="1027"/>
      <c r="F384" s="1652"/>
      <c r="G384" s="1652"/>
      <c r="H384" s="1652"/>
      <c r="I384" s="1652"/>
      <c r="J384" s="1652"/>
      <c r="K384" s="1652"/>
      <c r="L384" s="1652"/>
      <c r="M384" s="1652"/>
    </row>
    <row r="385" spans="1:15" ht="14.45" customHeight="1">
      <c r="C385" s="765"/>
      <c r="E385" s="1026" t="s">
        <v>980</v>
      </c>
      <c r="F385" s="1651" t="s">
        <v>1232</v>
      </c>
      <c r="G385" s="1651"/>
      <c r="H385" s="1651"/>
      <c r="I385" s="1651"/>
      <c r="J385" s="1651"/>
      <c r="K385" s="1651"/>
      <c r="L385" s="1651"/>
      <c r="M385" s="1651"/>
    </row>
    <row r="386" spans="1:15" ht="19.5" customHeight="1">
      <c r="C386" s="765"/>
      <c r="E386" s="1027"/>
      <c r="F386" s="1651"/>
      <c r="G386" s="1651"/>
      <c r="H386" s="1651"/>
      <c r="I386" s="1651"/>
      <c r="J386" s="1651"/>
      <c r="K386" s="1651"/>
      <c r="L386" s="1651"/>
      <c r="M386" s="1651"/>
    </row>
    <row r="387" spans="1:15" ht="14.45" customHeight="1">
      <c r="C387" s="765"/>
      <c r="E387" s="1653" t="s">
        <v>982</v>
      </c>
      <c r="F387" s="1651" t="s">
        <v>1233</v>
      </c>
      <c r="G387" s="1651"/>
      <c r="H387" s="1651"/>
      <c r="I387" s="1651"/>
      <c r="J387" s="1651"/>
      <c r="K387" s="1651"/>
      <c r="L387" s="1651"/>
      <c r="M387" s="1651"/>
    </row>
    <row r="388" spans="1:15" ht="37.5" customHeight="1">
      <c r="C388" s="765"/>
      <c r="E388" s="1653"/>
      <c r="F388" s="1651"/>
      <c r="G388" s="1651"/>
      <c r="H388" s="1651"/>
      <c r="I388" s="1651"/>
      <c r="J388" s="1651"/>
      <c r="K388" s="1651"/>
      <c r="L388" s="1651"/>
      <c r="M388" s="1651"/>
    </row>
    <row r="389" spans="1:15" ht="11.25" customHeight="1">
      <c r="C389" s="765"/>
      <c r="E389" s="1653"/>
      <c r="F389" s="431"/>
      <c r="G389" s="431"/>
      <c r="H389" s="431"/>
      <c r="I389" s="431"/>
      <c r="J389" s="431"/>
      <c r="K389" s="431"/>
      <c r="L389" s="431"/>
      <c r="M389" s="430"/>
    </row>
    <row r="390" spans="1:15" ht="14.45" customHeight="1">
      <c r="C390" s="765"/>
      <c r="E390" s="452" t="s">
        <v>1234</v>
      </c>
      <c r="F390" s="431"/>
      <c r="G390" s="431"/>
      <c r="H390" s="431"/>
      <c r="I390" s="431"/>
      <c r="J390" s="431"/>
      <c r="K390" s="431"/>
      <c r="L390" s="430"/>
      <c r="M390" s="430"/>
    </row>
    <row r="391" spans="1:15" ht="14.45" customHeight="1">
      <c r="C391" s="765"/>
      <c r="D391" s="429"/>
      <c r="E391" s="1028"/>
      <c r="F391" s="431"/>
      <c r="G391" s="431"/>
      <c r="H391" s="431"/>
      <c r="I391" s="431"/>
      <c r="J391" s="431"/>
      <c r="K391" s="431"/>
      <c r="L391" s="430"/>
      <c r="M391" s="430"/>
    </row>
    <row r="392" spans="1:15" ht="14.45" customHeight="1">
      <c r="C392" s="765"/>
      <c r="E392" s="1577" t="s">
        <v>985</v>
      </c>
      <c r="F392" s="1614" t="s">
        <v>1052</v>
      </c>
      <c r="G392" s="1614" t="s">
        <v>627</v>
      </c>
      <c r="H392" s="1614" t="s">
        <v>1054</v>
      </c>
      <c r="I392" s="1614" t="s">
        <v>986</v>
      </c>
      <c r="J392" s="1654" t="s">
        <v>1722</v>
      </c>
      <c r="K392" s="1654"/>
      <c r="L392" s="1654"/>
      <c r="M392" s="1655"/>
      <c r="O392" s="502"/>
    </row>
    <row r="393" spans="1:15" ht="14.45" customHeight="1">
      <c r="C393" s="765"/>
      <c r="E393" s="1609"/>
      <c r="F393" s="1615"/>
      <c r="G393" s="1615"/>
      <c r="H393" s="1615"/>
      <c r="I393" s="1615"/>
      <c r="J393" s="338" t="s">
        <v>270</v>
      </c>
      <c r="K393" s="338" t="s">
        <v>271</v>
      </c>
      <c r="L393" s="338" t="s">
        <v>272</v>
      </c>
      <c r="M393" s="339" t="s">
        <v>15</v>
      </c>
      <c r="O393" s="502"/>
    </row>
    <row r="394" spans="1:15" ht="71.25" customHeight="1">
      <c r="C394" s="765"/>
      <c r="E394" s="1648" t="s">
        <v>1235</v>
      </c>
      <c r="F394" s="1645" t="s">
        <v>1542</v>
      </c>
      <c r="G394" s="433" t="s">
        <v>1735</v>
      </c>
      <c r="H394" s="434" t="s">
        <v>1543</v>
      </c>
      <c r="I394" s="435">
        <v>15</v>
      </c>
      <c r="J394" s="774"/>
      <c r="K394" s="774"/>
      <c r="L394" s="774"/>
      <c r="M394" s="775"/>
      <c r="O394" s="502">
        <v>10000</v>
      </c>
    </row>
    <row r="395" spans="1:15" ht="118.5" customHeight="1">
      <c r="C395" s="765"/>
      <c r="E395" s="1649"/>
      <c r="F395" s="1646"/>
      <c r="G395" s="433" t="s">
        <v>1544</v>
      </c>
      <c r="H395" s="352" t="s">
        <v>1545</v>
      </c>
      <c r="I395" s="435" t="s">
        <v>1262</v>
      </c>
      <c r="J395" s="774"/>
      <c r="K395" s="774"/>
      <c r="L395" s="774"/>
      <c r="M395" s="775"/>
      <c r="O395" s="502">
        <v>50000</v>
      </c>
    </row>
    <row r="396" spans="1:15" ht="102.75" customHeight="1">
      <c r="C396" s="765"/>
      <c r="E396" s="1649"/>
      <c r="F396" s="1646"/>
      <c r="G396" s="349" t="s">
        <v>1736</v>
      </c>
      <c r="H396" s="352" t="s">
        <v>1546</v>
      </c>
      <c r="I396" s="435">
        <v>15</v>
      </c>
      <c r="J396" s="774"/>
      <c r="K396" s="774"/>
      <c r="L396" s="774"/>
      <c r="M396" s="775"/>
      <c r="O396" s="502">
        <v>10000</v>
      </c>
    </row>
    <row r="397" spans="1:15" ht="103.5" customHeight="1">
      <c r="C397" s="765"/>
      <c r="E397" s="1649"/>
      <c r="F397" s="1646"/>
      <c r="G397" s="349" t="s">
        <v>1547</v>
      </c>
      <c r="H397" s="352" t="s">
        <v>1548</v>
      </c>
      <c r="I397" s="435">
        <v>200</v>
      </c>
      <c r="J397" s="774"/>
      <c r="K397" s="774"/>
      <c r="L397" s="774"/>
      <c r="M397" s="775"/>
      <c r="O397" s="502">
        <v>30000</v>
      </c>
    </row>
    <row r="398" spans="1:15" ht="33.75" customHeight="1">
      <c r="C398" s="765"/>
      <c r="E398" s="1649"/>
      <c r="F398" s="1646"/>
      <c r="G398" s="349" t="s">
        <v>1549</v>
      </c>
      <c r="H398" s="352" t="s">
        <v>1550</v>
      </c>
      <c r="I398" s="435">
        <v>200</v>
      </c>
      <c r="J398" s="774"/>
      <c r="K398" s="774"/>
      <c r="L398" s="774"/>
      <c r="M398" s="775"/>
      <c r="O398" s="502"/>
    </row>
    <row r="399" spans="1:15" ht="89.25" customHeight="1">
      <c r="A399" s="1038"/>
      <c r="B399" s="1039"/>
      <c r="C399" s="1040"/>
      <c r="D399" s="1041"/>
      <c r="E399" s="1650"/>
      <c r="F399" s="1647"/>
      <c r="G399" s="349" t="s">
        <v>1746</v>
      </c>
      <c r="H399" s="352" t="s">
        <v>1747</v>
      </c>
      <c r="I399" s="435">
        <v>30</v>
      </c>
      <c r="J399" s="774"/>
      <c r="K399" s="774"/>
      <c r="L399" s="774"/>
      <c r="M399" s="775"/>
      <c r="O399" s="502"/>
    </row>
    <row r="400" spans="1:15" ht="89.25" customHeight="1">
      <c r="B400" s="289"/>
      <c r="C400" s="1042"/>
      <c r="D400" s="289"/>
      <c r="E400" s="1648" t="s">
        <v>1235</v>
      </c>
      <c r="F400" s="1645" t="s">
        <v>1749</v>
      </c>
      <c r="G400" s="1645" t="s">
        <v>1748</v>
      </c>
      <c r="H400" s="349" t="s">
        <v>1539</v>
      </c>
      <c r="I400" s="435">
        <v>300</v>
      </c>
      <c r="J400" s="774"/>
      <c r="K400" s="774"/>
      <c r="L400" s="774"/>
      <c r="M400" s="775"/>
      <c r="O400" s="502"/>
    </row>
    <row r="401" spans="1:15" ht="67.5" customHeight="1">
      <c r="B401" s="289"/>
      <c r="C401" s="1042"/>
      <c r="D401" s="289"/>
      <c r="E401" s="1649"/>
      <c r="F401" s="1646"/>
      <c r="G401" s="1646"/>
      <c r="H401" s="352" t="s">
        <v>1540</v>
      </c>
      <c r="I401" s="435">
        <v>100</v>
      </c>
      <c r="J401" s="774"/>
      <c r="K401" s="774"/>
      <c r="L401" s="774"/>
      <c r="M401" s="775"/>
      <c r="O401" s="502"/>
    </row>
    <row r="402" spans="1:15" ht="52.5" customHeight="1">
      <c r="B402" s="289"/>
      <c r="C402" s="1042"/>
      <c r="D402" s="289"/>
      <c r="E402" s="1650"/>
      <c r="F402" s="1647"/>
      <c r="G402" s="1647"/>
      <c r="H402" s="352" t="s">
        <v>1541</v>
      </c>
      <c r="I402" s="435">
        <v>21</v>
      </c>
      <c r="J402" s="774"/>
      <c r="K402" s="774"/>
      <c r="L402" s="774"/>
      <c r="M402" s="775"/>
      <c r="O402" s="502"/>
    </row>
    <row r="403" spans="1:15" ht="52.5" customHeight="1">
      <c r="B403" s="289"/>
      <c r="C403" s="1042"/>
      <c r="D403" s="289"/>
      <c r="E403" s="1043" t="s">
        <v>1235</v>
      </c>
      <c r="F403" s="1008" t="s">
        <v>1750</v>
      </c>
      <c r="G403" s="1008" t="s">
        <v>1551</v>
      </c>
      <c r="H403" s="352" t="s">
        <v>1751</v>
      </c>
      <c r="I403" s="435">
        <v>21</v>
      </c>
      <c r="J403" s="774"/>
      <c r="K403" s="774"/>
      <c r="L403" s="774"/>
      <c r="M403" s="775"/>
      <c r="O403" s="502"/>
    </row>
    <row r="404" spans="1:15" ht="102" customHeight="1">
      <c r="B404" s="289"/>
      <c r="C404" s="1042"/>
      <c r="D404" s="289"/>
      <c r="E404" s="1043" t="s">
        <v>1235</v>
      </c>
      <c r="F404" s="1008" t="s">
        <v>1552</v>
      </c>
      <c r="G404" s="1008" t="s">
        <v>1553</v>
      </c>
      <c r="H404" s="352" t="s">
        <v>1554</v>
      </c>
      <c r="I404" s="435">
        <v>1000</v>
      </c>
      <c r="J404" s="774"/>
      <c r="K404" s="774"/>
      <c r="L404" s="774"/>
      <c r="M404" s="775"/>
      <c r="O404" s="502"/>
    </row>
    <row r="405" spans="1:15" ht="102" customHeight="1">
      <c r="B405" s="289"/>
      <c r="C405" s="1042"/>
      <c r="D405" s="289"/>
      <c r="E405" s="1043" t="s">
        <v>1235</v>
      </c>
      <c r="F405" s="1008" t="s">
        <v>1236</v>
      </c>
      <c r="G405" s="1008" t="s">
        <v>1555</v>
      </c>
      <c r="H405" s="352" t="s">
        <v>1556</v>
      </c>
      <c r="I405" s="435">
        <v>1000</v>
      </c>
      <c r="J405" s="774"/>
      <c r="K405" s="774"/>
      <c r="L405" s="774"/>
      <c r="M405" s="775"/>
      <c r="O405" s="502"/>
    </row>
    <row r="406" spans="1:15" s="1011" customFormat="1" ht="91.5" customHeight="1">
      <c r="A406" s="1003"/>
      <c r="C406" s="1004"/>
      <c r="E406" s="1043" t="s">
        <v>1235</v>
      </c>
      <c r="F406" s="1008" t="s">
        <v>1737</v>
      </c>
      <c r="G406" s="1008" t="s">
        <v>1557</v>
      </c>
      <c r="H406" s="1014" t="s">
        <v>1558</v>
      </c>
      <c r="I406" s="435">
        <v>200</v>
      </c>
      <c r="J406" s="1642">
        <f>'LBP NO. 2'!M671</f>
        <v>4777824.8</v>
      </c>
      <c r="K406" s="1643">
        <f>'LBP NO. 2'!M683</f>
        <v>6003040</v>
      </c>
      <c r="L406" s="1643">
        <f>'LBP NO. 2'!M689</f>
        <v>0</v>
      </c>
      <c r="M406" s="1644">
        <f>SUM(J406:L413)</f>
        <v>10780864.800000001</v>
      </c>
      <c r="O406" s="1015">
        <v>150000</v>
      </c>
    </row>
    <row r="407" spans="1:15" ht="113.25" customHeight="1">
      <c r="C407" s="765"/>
      <c r="E407" s="432" t="s">
        <v>1235</v>
      </c>
      <c r="F407" s="1013" t="s">
        <v>1559</v>
      </c>
      <c r="G407" s="1013" t="s">
        <v>1738</v>
      </c>
      <c r="H407" s="434" t="s">
        <v>1739</v>
      </c>
      <c r="I407" s="435">
        <v>21</v>
      </c>
      <c r="J407" s="1642"/>
      <c r="K407" s="1643"/>
      <c r="L407" s="1643"/>
      <c r="M407" s="1644"/>
      <c r="O407" s="502">
        <v>20000</v>
      </c>
    </row>
    <row r="408" spans="1:15" s="1011" customFormat="1" ht="59.25" customHeight="1">
      <c r="A408" s="1003"/>
      <c r="C408" s="1004"/>
      <c r="E408" s="1012" t="s">
        <v>1235</v>
      </c>
      <c r="F408" s="1008" t="s">
        <v>1740</v>
      </c>
      <c r="G408" s="1008" t="s">
        <v>1741</v>
      </c>
      <c r="H408" s="1017" t="s">
        <v>1742</v>
      </c>
      <c r="I408" s="1009">
        <v>100</v>
      </c>
      <c r="J408" s="1642"/>
      <c r="K408" s="1643"/>
      <c r="L408" s="1643"/>
      <c r="M408" s="1644"/>
      <c r="O408" s="1015">
        <v>14280</v>
      </c>
    </row>
    <row r="409" spans="1:15" ht="73.5" customHeight="1">
      <c r="C409" s="765"/>
      <c r="E409" s="437" t="s">
        <v>1235</v>
      </c>
      <c r="F409" s="349" t="s">
        <v>1560</v>
      </c>
      <c r="G409" s="349" t="s">
        <v>1561</v>
      </c>
      <c r="H409" s="352" t="s">
        <v>1743</v>
      </c>
      <c r="I409" s="435">
        <v>250</v>
      </c>
      <c r="J409" s="1642"/>
      <c r="K409" s="1643"/>
      <c r="L409" s="1643"/>
      <c r="M409" s="1644"/>
      <c r="O409" s="502">
        <v>100000</v>
      </c>
    </row>
    <row r="410" spans="1:15" s="1000" customFormat="1" ht="60" customHeight="1">
      <c r="A410" s="1003"/>
      <c r="C410" s="1005"/>
      <c r="E410" s="437" t="s">
        <v>1235</v>
      </c>
      <c r="F410" s="1037" t="s">
        <v>1744</v>
      </c>
      <c r="G410" s="1037" t="s">
        <v>1562</v>
      </c>
      <c r="H410" s="1016" t="s">
        <v>1745</v>
      </c>
      <c r="I410" s="435">
        <v>21</v>
      </c>
      <c r="J410" s="1642"/>
      <c r="K410" s="1643"/>
      <c r="L410" s="1643"/>
      <c r="M410" s="1644"/>
      <c r="O410" s="1010">
        <v>14280</v>
      </c>
    </row>
    <row r="411" spans="1:15" ht="108" customHeight="1">
      <c r="C411" s="765"/>
      <c r="E411" s="436" t="s">
        <v>1235</v>
      </c>
      <c r="F411" s="349" t="s">
        <v>1563</v>
      </c>
      <c r="G411" s="352" t="s">
        <v>1564</v>
      </c>
      <c r="H411" s="352" t="s">
        <v>1565</v>
      </c>
      <c r="I411" s="435">
        <v>182</v>
      </c>
      <c r="J411" s="1642"/>
      <c r="K411" s="1643"/>
      <c r="L411" s="1643"/>
      <c r="M411" s="1644"/>
      <c r="O411" s="502">
        <v>55000</v>
      </c>
    </row>
    <row r="412" spans="1:15" ht="101.25" customHeight="1">
      <c r="C412" s="765"/>
      <c r="E412" s="432" t="s">
        <v>1235</v>
      </c>
      <c r="F412" s="433" t="s">
        <v>1752</v>
      </c>
      <c r="G412" s="434" t="s">
        <v>1566</v>
      </c>
      <c r="H412" s="434" t="s">
        <v>1567</v>
      </c>
      <c r="I412" s="435">
        <v>10</v>
      </c>
      <c r="J412" s="1642"/>
      <c r="K412" s="1643"/>
      <c r="L412" s="1643"/>
      <c r="M412" s="1644"/>
      <c r="O412" s="502">
        <v>50000</v>
      </c>
    </row>
    <row r="413" spans="1:15" ht="107.25" customHeight="1">
      <c r="C413" s="765"/>
      <c r="E413" s="436" t="s">
        <v>1235</v>
      </c>
      <c r="F413" s="349" t="s">
        <v>1753</v>
      </c>
      <c r="G413" s="352" t="s">
        <v>1754</v>
      </c>
      <c r="H413" s="352" t="s">
        <v>1755</v>
      </c>
      <c r="I413" s="435">
        <v>120</v>
      </c>
      <c r="J413" s="1642"/>
      <c r="K413" s="1643"/>
      <c r="L413" s="1643"/>
      <c r="M413" s="1644"/>
      <c r="O413" s="502">
        <v>50000</v>
      </c>
    </row>
    <row r="414" spans="1:15" ht="16.5" customHeight="1">
      <c r="C414" s="1608"/>
      <c r="D414" s="439"/>
      <c r="E414" s="1029"/>
      <c r="F414" s="433"/>
      <c r="G414" s="434"/>
      <c r="H414" s="434"/>
      <c r="I414" s="438"/>
      <c r="J414" s="440">
        <f>SUM(J406:J413)</f>
        <v>4777824.8</v>
      </c>
      <c r="K414" s="441">
        <f>SUM(K406:K413)</f>
        <v>6003040</v>
      </c>
      <c r="L414" s="441">
        <f>'LBP NO. 2'!M689</f>
        <v>0</v>
      </c>
      <c r="M414" s="442">
        <f>SUM(M406:M413)</f>
        <v>10780864.800000001</v>
      </c>
      <c r="O414" s="502">
        <f>SUM(O394:O413)</f>
        <v>553560</v>
      </c>
    </row>
    <row r="415" spans="1:15" ht="14.45" customHeight="1">
      <c r="C415" s="1608"/>
      <c r="D415" s="439"/>
      <c r="E415" s="1006"/>
      <c r="F415" s="443"/>
      <c r="G415" s="444"/>
      <c r="H415" s="444"/>
      <c r="I415" s="445"/>
      <c r="J415" s="446"/>
      <c r="K415" s="446"/>
      <c r="L415" s="446"/>
      <c r="M415" s="446"/>
    </row>
    <row r="416" spans="1:15" ht="14.45" customHeight="1">
      <c r="C416" s="1608"/>
      <c r="D416" s="439"/>
      <c r="E416" s="1006"/>
      <c r="F416" s="443"/>
      <c r="G416" s="444"/>
      <c r="H416" s="444"/>
      <c r="I416" s="445"/>
      <c r="J416" s="446"/>
      <c r="K416" s="446"/>
      <c r="L416" s="446"/>
      <c r="M416" s="446"/>
    </row>
    <row r="417" spans="3:13" ht="14.45" customHeight="1">
      <c r="C417" s="1608"/>
      <c r="D417" s="447"/>
      <c r="E417" s="1030"/>
      <c r="F417" s="448"/>
      <c r="G417" s="444"/>
      <c r="H417" s="356"/>
      <c r="I417" s="356"/>
      <c r="J417" s="368"/>
      <c r="K417" s="368"/>
      <c r="L417" s="368"/>
      <c r="M417" s="368"/>
    </row>
    <row r="418" spans="3:13" ht="14.45" customHeight="1">
      <c r="C418" s="1608"/>
      <c r="E418" s="1006" t="s">
        <v>1015</v>
      </c>
      <c r="F418" s="369"/>
      <c r="G418" s="369" t="s">
        <v>1016</v>
      </c>
      <c r="H418" s="369"/>
      <c r="I418" s="369"/>
      <c r="J418" s="368"/>
      <c r="K418" s="368"/>
      <c r="L418" s="368"/>
      <c r="M418" s="368"/>
    </row>
    <row r="419" spans="3:13" ht="14.45" customHeight="1">
      <c r="C419" s="1608"/>
      <c r="D419" s="331"/>
      <c r="E419" s="1006"/>
      <c r="F419" s="331"/>
      <c r="G419" s="331"/>
      <c r="H419" s="331"/>
      <c r="I419" s="331"/>
      <c r="J419" s="331"/>
      <c r="K419" s="331"/>
      <c r="L419" s="331"/>
      <c r="M419" s="331"/>
    </row>
    <row r="420" spans="3:13" ht="14.45" customHeight="1">
      <c r="C420" s="1608"/>
      <c r="E420" s="1586" t="s">
        <v>899</v>
      </c>
      <c r="F420" s="1586"/>
      <c r="G420" s="1587" t="s">
        <v>249</v>
      </c>
      <c r="H420" s="1587"/>
      <c r="I420" s="1588" t="s">
        <v>17</v>
      </c>
      <c r="J420" s="1588"/>
      <c r="K420" s="367"/>
      <c r="L420" s="1584" t="s">
        <v>87</v>
      </c>
      <c r="M420" s="1584"/>
    </row>
    <row r="421" spans="3:13" ht="14.45" customHeight="1">
      <c r="C421" s="1608"/>
      <c r="E421" s="1619" t="s">
        <v>1237</v>
      </c>
      <c r="F421" s="1619"/>
      <c r="G421" s="1620" t="s">
        <v>13</v>
      </c>
      <c r="H421" s="1620"/>
      <c r="I421" s="1621" t="s">
        <v>18</v>
      </c>
      <c r="J421" s="1621"/>
      <c r="K421" s="367"/>
      <c r="L421" s="1557" t="s">
        <v>971</v>
      </c>
      <c r="M421" s="1557"/>
    </row>
    <row r="422" spans="3:13" ht="14.45" customHeight="1">
      <c r="C422" s="1608"/>
      <c r="E422" s="1006"/>
      <c r="F422" s="449"/>
      <c r="G422" s="371"/>
      <c r="H422" s="371"/>
      <c r="I422" s="450"/>
      <c r="J422" s="450"/>
      <c r="K422" s="367"/>
      <c r="L422" s="371"/>
      <c r="M422" s="371"/>
    </row>
    <row r="423" spans="3:13" ht="14.45" customHeight="1">
      <c r="C423" s="1608"/>
      <c r="E423" s="1007" t="s">
        <v>253</v>
      </c>
      <c r="F423" s="331"/>
      <c r="G423" s="331"/>
      <c r="H423" s="331"/>
      <c r="I423" s="373"/>
      <c r="J423" s="331"/>
      <c r="K423" s="331"/>
      <c r="L423" s="373"/>
      <c r="M423" s="331"/>
    </row>
    <row r="424" spans="3:13" ht="14.45" customHeight="1">
      <c r="C424" s="1608"/>
      <c r="D424" s="374"/>
      <c r="E424" s="1023"/>
      <c r="F424" s="331"/>
      <c r="G424" s="331"/>
      <c r="H424" s="331"/>
      <c r="I424" s="375"/>
      <c r="J424" s="331"/>
      <c r="K424" s="331"/>
      <c r="L424" s="375"/>
      <c r="M424" s="331"/>
    </row>
    <row r="425" spans="3:13" ht="14.45" customHeight="1">
      <c r="C425" s="1608"/>
      <c r="E425" s="1584" t="s">
        <v>1438</v>
      </c>
      <c r="F425" s="1584"/>
      <c r="G425" s="377"/>
      <c r="H425" s="378"/>
      <c r="I425" s="378"/>
      <c r="J425" s="451"/>
      <c r="K425" s="374"/>
      <c r="L425" s="372"/>
      <c r="M425" s="372"/>
    </row>
    <row r="426" spans="3:13" ht="14.45" customHeight="1">
      <c r="C426" s="1608"/>
      <c r="E426" s="1557" t="s">
        <v>14</v>
      </c>
      <c r="F426" s="1557"/>
      <c r="G426" s="379"/>
      <c r="H426" s="380"/>
      <c r="I426" s="378"/>
      <c r="J426" s="451"/>
      <c r="K426" s="374"/>
      <c r="L426" s="376"/>
      <c r="M426" s="372"/>
    </row>
    <row r="427" spans="3:13" ht="14.45" customHeight="1">
      <c r="E427" s="1007"/>
      <c r="F427" s="371"/>
      <c r="G427" s="379"/>
      <c r="H427" s="380"/>
      <c r="I427" s="378"/>
      <c r="J427" s="451"/>
      <c r="K427" s="374"/>
      <c r="L427" s="376"/>
      <c r="M427" s="372"/>
    </row>
    <row r="428" spans="3:13" ht="14.45" customHeight="1">
      <c r="E428" s="1007"/>
      <c r="F428" s="371"/>
      <c r="G428" s="379"/>
      <c r="H428" s="380"/>
      <c r="I428" s="378"/>
      <c r="J428" s="451"/>
      <c r="K428" s="374"/>
      <c r="L428" s="376"/>
      <c r="M428" s="372"/>
    </row>
    <row r="429" spans="3:13" ht="14.45" customHeight="1">
      <c r="E429" s="1007"/>
      <c r="F429" s="371"/>
      <c r="G429" s="379"/>
      <c r="H429" s="380"/>
      <c r="I429" s="378"/>
      <c r="J429" s="451"/>
      <c r="K429" s="374"/>
      <c r="L429" s="376"/>
      <c r="M429" s="372"/>
    </row>
    <row r="430" spans="3:13" ht="14.45" customHeight="1">
      <c r="E430" s="1007"/>
      <c r="F430" s="371"/>
      <c r="G430" s="379"/>
      <c r="H430" s="380"/>
      <c r="I430" s="378"/>
      <c r="J430" s="451"/>
      <c r="K430" s="374"/>
      <c r="L430" s="376"/>
      <c r="M430" s="372"/>
    </row>
    <row r="431" spans="3:13" ht="14.45" customHeight="1">
      <c r="E431" s="1007"/>
      <c r="F431" s="371"/>
      <c r="G431" s="379"/>
      <c r="H431" s="380"/>
      <c r="I431" s="378"/>
      <c r="J431" s="451"/>
      <c r="K431" s="374"/>
      <c r="L431" s="376"/>
      <c r="M431" s="372"/>
    </row>
    <row r="432" spans="3:13" ht="14.45" customHeight="1">
      <c r="E432" s="1007"/>
      <c r="F432" s="371"/>
      <c r="G432" s="379"/>
      <c r="H432" s="380"/>
      <c r="I432" s="378"/>
      <c r="J432" s="451"/>
      <c r="K432" s="374"/>
      <c r="L432" s="376"/>
      <c r="M432" s="372"/>
    </row>
    <row r="433" spans="5:13" ht="14.45" customHeight="1">
      <c r="E433" s="1007"/>
      <c r="F433" s="371"/>
      <c r="G433" s="379"/>
      <c r="H433" s="380"/>
      <c r="I433" s="378"/>
      <c r="J433" s="451"/>
      <c r="K433" s="374"/>
      <c r="L433" s="376"/>
      <c r="M433" s="372"/>
    </row>
    <row r="434" spans="5:13" ht="14.45" customHeight="1">
      <c r="E434" s="1007"/>
      <c r="F434" s="371"/>
      <c r="G434" s="379"/>
      <c r="H434" s="380"/>
      <c r="I434" s="378"/>
      <c r="J434" s="451"/>
      <c r="K434" s="374"/>
      <c r="L434" s="376"/>
      <c r="M434" s="372"/>
    </row>
    <row r="435" spans="5:13" ht="14.45" customHeight="1">
      <c r="E435" s="1007"/>
      <c r="F435" s="371"/>
      <c r="G435" s="379"/>
      <c r="H435" s="380"/>
      <c r="I435" s="378"/>
      <c r="J435" s="451"/>
      <c r="K435" s="374"/>
      <c r="L435" s="376"/>
      <c r="M435" s="372"/>
    </row>
    <row r="436" spans="5:13" ht="14.45" customHeight="1">
      <c r="E436" s="1007"/>
      <c r="F436" s="371"/>
      <c r="G436" s="379"/>
      <c r="H436" s="380"/>
      <c r="I436" s="378"/>
      <c r="J436" s="451"/>
      <c r="K436" s="374"/>
      <c r="L436" s="376"/>
      <c r="M436" s="372"/>
    </row>
    <row r="437" spans="5:13" ht="14.45" customHeight="1">
      <c r="E437" s="1007"/>
      <c r="F437" s="371"/>
      <c r="G437" s="379"/>
      <c r="H437" s="380"/>
      <c r="I437" s="378"/>
      <c r="J437" s="451"/>
      <c r="K437" s="374"/>
      <c r="L437" s="376"/>
      <c r="M437" s="372"/>
    </row>
    <row r="438" spans="5:13" ht="14.45" customHeight="1">
      <c r="E438" s="1007"/>
      <c r="F438" s="371"/>
      <c r="G438" s="379"/>
      <c r="H438" s="380"/>
      <c r="I438" s="378"/>
      <c r="J438" s="451"/>
      <c r="K438" s="374"/>
      <c r="L438" s="376"/>
      <c r="M438" s="372"/>
    </row>
    <row r="439" spans="5:13" ht="14.45" customHeight="1">
      <c r="E439" s="1007"/>
      <c r="F439" s="371"/>
      <c r="G439" s="379"/>
      <c r="H439" s="380"/>
      <c r="I439" s="378"/>
      <c r="J439" s="451"/>
      <c r="K439" s="374"/>
      <c r="L439" s="376"/>
      <c r="M439" s="372"/>
    </row>
    <row r="440" spans="5:13" ht="14.45" customHeight="1">
      <c r="E440" s="1007"/>
      <c r="F440" s="371"/>
      <c r="G440" s="379"/>
      <c r="H440" s="380"/>
      <c r="I440" s="378"/>
      <c r="J440" s="451"/>
      <c r="K440" s="374"/>
      <c r="L440" s="376"/>
      <c r="M440" s="372"/>
    </row>
    <row r="441" spans="5:13" ht="14.45" customHeight="1">
      <c r="E441" s="1007"/>
      <c r="F441" s="371"/>
      <c r="G441" s="379"/>
      <c r="H441" s="380"/>
      <c r="I441" s="378"/>
      <c r="J441" s="451"/>
      <c r="K441" s="374"/>
      <c r="L441" s="376"/>
      <c r="M441" s="372"/>
    </row>
    <row r="442" spans="5:13" ht="14.45" customHeight="1">
      <c r="E442" s="1007"/>
      <c r="F442" s="371"/>
      <c r="G442" s="379"/>
      <c r="H442" s="380"/>
      <c r="I442" s="378"/>
      <c r="J442" s="451"/>
      <c r="K442" s="374"/>
      <c r="L442" s="376"/>
      <c r="M442" s="372"/>
    </row>
    <row r="443" spans="5:13" ht="14.45" customHeight="1">
      <c r="E443" s="1007"/>
      <c r="F443" s="371"/>
      <c r="G443" s="379"/>
      <c r="H443" s="380"/>
      <c r="I443" s="378"/>
      <c r="J443" s="451"/>
      <c r="K443" s="374"/>
      <c r="L443" s="376"/>
      <c r="M443" s="372"/>
    </row>
    <row r="444" spans="5:13" ht="14.45" customHeight="1">
      <c r="E444" s="1007"/>
      <c r="F444" s="371"/>
      <c r="G444" s="379"/>
      <c r="H444" s="380"/>
      <c r="I444" s="378"/>
      <c r="J444" s="451"/>
      <c r="K444" s="374"/>
      <c r="L444" s="376"/>
      <c r="M444" s="372"/>
    </row>
    <row r="445" spans="5:13" ht="14.45" customHeight="1">
      <c r="E445" s="1007"/>
      <c r="F445" s="371"/>
      <c r="G445" s="379"/>
      <c r="H445" s="380"/>
      <c r="I445" s="378"/>
      <c r="J445" s="451"/>
      <c r="K445" s="374"/>
      <c r="L445" s="376"/>
      <c r="M445" s="372"/>
    </row>
    <row r="446" spans="5:13" ht="14.45" customHeight="1">
      <c r="E446" s="1007"/>
      <c r="F446" s="371"/>
      <c r="G446" s="379"/>
      <c r="H446" s="380"/>
      <c r="I446" s="378"/>
      <c r="J446" s="451"/>
      <c r="K446" s="374"/>
      <c r="L446" s="376"/>
      <c r="M446" s="372"/>
    </row>
    <row r="447" spans="5:13" ht="14.45" customHeight="1">
      <c r="E447" s="1007"/>
      <c r="F447" s="371"/>
      <c r="G447" s="379"/>
      <c r="H447" s="380"/>
      <c r="I447" s="378"/>
      <c r="J447" s="451"/>
      <c r="K447" s="374"/>
      <c r="L447" s="376"/>
      <c r="M447" s="372"/>
    </row>
    <row r="448" spans="5:13" ht="14.45" customHeight="1">
      <c r="E448" s="1007"/>
      <c r="F448" s="371"/>
      <c r="G448" s="379"/>
      <c r="H448" s="380"/>
      <c r="I448" s="378"/>
      <c r="J448" s="451"/>
      <c r="K448" s="374"/>
      <c r="L448" s="376"/>
      <c r="M448" s="372"/>
    </row>
    <row r="449" spans="3:14" ht="14.45" customHeight="1">
      <c r="E449" s="1007"/>
      <c r="F449" s="371"/>
      <c r="G449" s="379"/>
      <c r="H449" s="380"/>
      <c r="I449" s="378"/>
      <c r="J449" s="451"/>
      <c r="K449" s="374"/>
      <c r="L449" s="376"/>
      <c r="M449" s="372"/>
    </row>
    <row r="450" spans="3:14" ht="14.45" customHeight="1">
      <c r="E450" s="1007"/>
      <c r="F450" s="371"/>
      <c r="G450" s="379"/>
      <c r="H450" s="380"/>
      <c r="I450" s="378"/>
      <c r="J450" s="451"/>
      <c r="K450" s="374"/>
      <c r="L450" s="376"/>
      <c r="M450" s="372"/>
    </row>
    <row r="451" spans="3:14" ht="14.45" customHeight="1">
      <c r="E451" s="1007"/>
      <c r="F451" s="371"/>
      <c r="G451" s="379"/>
      <c r="H451" s="380"/>
      <c r="I451" s="378"/>
      <c r="J451" s="451"/>
      <c r="K451" s="374"/>
      <c r="L451" s="376"/>
      <c r="M451" s="372"/>
    </row>
    <row r="452" spans="3:14" ht="14.45" customHeight="1">
      <c r="E452" s="1007"/>
      <c r="F452" s="371"/>
      <c r="G452" s="379"/>
      <c r="H452" s="380"/>
      <c r="I452" s="378"/>
      <c r="J452" s="451"/>
      <c r="K452" s="374"/>
      <c r="L452" s="376"/>
      <c r="M452" s="372"/>
    </row>
    <row r="453" spans="3:14" ht="14.45" customHeight="1">
      <c r="E453" s="1007"/>
      <c r="F453" s="371"/>
      <c r="G453" s="379"/>
      <c r="H453" s="380"/>
      <c r="I453" s="378"/>
      <c r="J453" s="451"/>
      <c r="K453" s="374"/>
      <c r="L453" s="376"/>
      <c r="M453" s="372"/>
    </row>
    <row r="454" spans="3:14" ht="15.95" customHeight="1">
      <c r="E454" s="1007"/>
      <c r="F454" s="371"/>
      <c r="G454" s="379"/>
      <c r="H454" s="380"/>
      <c r="I454" s="378"/>
      <c r="J454" s="451"/>
      <c r="K454" s="374"/>
      <c r="L454" s="376"/>
      <c r="M454" s="372"/>
    </row>
    <row r="455" spans="3:14" ht="14.45" customHeight="1">
      <c r="D455" s="331"/>
      <c r="E455" s="1006"/>
      <c r="F455" s="331"/>
      <c r="G455" s="331"/>
      <c r="H455" s="331"/>
      <c r="I455" s="331"/>
      <c r="J455" s="331"/>
      <c r="K455" s="331"/>
      <c r="L455" s="331"/>
      <c r="M455" s="331"/>
      <c r="N455" s="331"/>
    </row>
    <row r="456" spans="3:14" ht="14.45" customHeight="1">
      <c r="C456" s="765" t="s">
        <v>1238</v>
      </c>
      <c r="D456" s="1611" t="s">
        <v>1716</v>
      </c>
      <c r="E456" s="1611"/>
      <c r="F456" s="1611"/>
      <c r="G456" s="1611"/>
      <c r="H456" s="1611"/>
      <c r="I456" s="1611"/>
      <c r="J456" s="1611"/>
      <c r="K456" s="1611"/>
      <c r="L456" s="1611"/>
      <c r="M456" s="1611"/>
      <c r="N456" s="1611"/>
    </row>
    <row r="457" spans="3:14" ht="14.45" customHeight="1">
      <c r="C457" s="766"/>
      <c r="D457" s="1612" t="s">
        <v>174</v>
      </c>
      <c r="E457" s="1612"/>
      <c r="F457" s="1612"/>
      <c r="G457" s="1612"/>
      <c r="H457" s="1612"/>
      <c r="I457" s="1612"/>
      <c r="J457" s="1612"/>
      <c r="K457" s="1612"/>
      <c r="L457" s="1612"/>
      <c r="M457" s="1612"/>
      <c r="N457" s="1612"/>
    </row>
    <row r="458" spans="3:14" ht="14.45" customHeight="1">
      <c r="C458" s="766"/>
      <c r="E458" s="1026" t="s">
        <v>976</v>
      </c>
      <c r="F458" s="428" t="s">
        <v>1239</v>
      </c>
      <c r="G458" s="429"/>
      <c r="H458" s="429"/>
      <c r="I458" s="429"/>
      <c r="J458" s="429"/>
      <c r="K458" s="429"/>
      <c r="L458" s="429"/>
      <c r="M458" s="429"/>
      <c r="N458" s="430"/>
    </row>
    <row r="459" spans="3:14" ht="14.45" customHeight="1">
      <c r="C459" s="766"/>
      <c r="E459" s="1026" t="s">
        <v>978</v>
      </c>
      <c r="F459" s="452" t="s">
        <v>1240</v>
      </c>
      <c r="G459" s="429"/>
      <c r="H459" s="429"/>
      <c r="I459" s="429"/>
      <c r="J459" s="429"/>
      <c r="K459" s="429"/>
      <c r="L459" s="429"/>
      <c r="M459" s="429"/>
      <c r="N459" s="430"/>
    </row>
    <row r="460" spans="3:14" ht="14.45" customHeight="1">
      <c r="C460" s="766"/>
      <c r="E460" s="1026" t="s">
        <v>980</v>
      </c>
      <c r="F460" s="1651" t="s">
        <v>1241</v>
      </c>
      <c r="G460" s="1651"/>
      <c r="H460" s="1651"/>
      <c r="I460" s="1651"/>
      <c r="J460" s="1651"/>
      <c r="K460" s="1651"/>
      <c r="L460" s="1651"/>
      <c r="M460" s="1651"/>
      <c r="N460" s="1651"/>
    </row>
    <row r="461" spans="3:14" ht="18.75" customHeight="1">
      <c r="C461" s="766"/>
      <c r="E461" s="1027"/>
      <c r="F461" s="1651"/>
      <c r="G461" s="1651"/>
      <c r="H461" s="1651"/>
      <c r="I461" s="1651"/>
      <c r="J461" s="1651"/>
      <c r="K461" s="1651"/>
      <c r="L461" s="1651"/>
      <c r="M461" s="1651"/>
      <c r="N461" s="1651"/>
    </row>
    <row r="462" spans="3:14" ht="14.45" customHeight="1">
      <c r="C462" s="766"/>
      <c r="E462" s="1026" t="s">
        <v>982</v>
      </c>
      <c r="F462" s="1651" t="s">
        <v>1242</v>
      </c>
      <c r="G462" s="1651"/>
      <c r="H462" s="1651"/>
      <c r="I462" s="1651"/>
      <c r="J462" s="1651"/>
      <c r="K462" s="1651"/>
      <c r="L462" s="1651"/>
      <c r="M462" s="1651"/>
      <c r="N462" s="1651"/>
    </row>
    <row r="463" spans="3:14" ht="18.75" customHeight="1">
      <c r="C463" s="766"/>
      <c r="E463" s="1027"/>
      <c r="F463" s="1651"/>
      <c r="G463" s="1651"/>
      <c r="H463" s="1651"/>
      <c r="I463" s="1651"/>
      <c r="J463" s="1651"/>
      <c r="K463" s="1651"/>
      <c r="L463" s="1651"/>
      <c r="M463" s="1651"/>
      <c r="N463" s="1651"/>
    </row>
    <row r="464" spans="3:14" ht="18.75" customHeight="1">
      <c r="C464" s="766"/>
      <c r="E464" s="1026" t="s">
        <v>1243</v>
      </c>
      <c r="F464" s="431"/>
      <c r="G464" s="431"/>
      <c r="H464" s="431"/>
      <c r="I464" s="431"/>
      <c r="J464" s="431"/>
      <c r="K464" s="431"/>
      <c r="L464" s="431"/>
      <c r="M464" s="431"/>
      <c r="N464" s="430"/>
    </row>
    <row r="465" spans="3:14" ht="14.45" customHeight="1">
      <c r="C465" s="766"/>
      <c r="D465" s="429"/>
      <c r="F465" s="453" t="s">
        <v>1244</v>
      </c>
      <c r="G465" s="453"/>
      <c r="H465" s="453"/>
      <c r="I465" s="453"/>
      <c r="J465" s="453"/>
      <c r="K465" s="453"/>
      <c r="L465" s="453"/>
      <c r="M465" s="453"/>
      <c r="N465" s="430"/>
    </row>
    <row r="466" spans="3:14" ht="14.45" customHeight="1">
      <c r="C466" s="766"/>
      <c r="D466" s="331"/>
      <c r="E466" s="1006"/>
      <c r="F466" s="331"/>
      <c r="G466" s="331"/>
      <c r="H466" s="331"/>
      <c r="I466" s="331"/>
      <c r="J466" s="331"/>
      <c r="K466" s="331"/>
      <c r="L466" s="331"/>
      <c r="M466" s="331"/>
      <c r="N466" s="331"/>
    </row>
    <row r="467" spans="3:14" ht="14.45" customHeight="1">
      <c r="C467" s="766"/>
      <c r="D467" s="1665"/>
      <c r="E467" s="1577" t="s">
        <v>985</v>
      </c>
      <c r="F467" s="1614" t="s">
        <v>1052</v>
      </c>
      <c r="G467" s="1614" t="s">
        <v>627</v>
      </c>
      <c r="H467" s="1614" t="s">
        <v>1054</v>
      </c>
      <c r="I467" s="1614" t="s">
        <v>986</v>
      </c>
      <c r="J467" s="1616" t="s">
        <v>1722</v>
      </c>
      <c r="K467" s="1617"/>
      <c r="L467" s="1617"/>
      <c r="M467" s="1618"/>
    </row>
    <row r="468" spans="3:14" ht="18" customHeight="1">
      <c r="C468" s="766"/>
      <c r="D468" s="1665"/>
      <c r="E468" s="1609"/>
      <c r="F468" s="1615"/>
      <c r="G468" s="1615"/>
      <c r="H468" s="1615"/>
      <c r="I468" s="1615"/>
      <c r="J468" s="338" t="s">
        <v>270</v>
      </c>
      <c r="K468" s="338" t="s">
        <v>271</v>
      </c>
      <c r="L468" s="338" t="s">
        <v>272</v>
      </c>
      <c r="M468" s="339" t="s">
        <v>15</v>
      </c>
    </row>
    <row r="469" spans="3:14" ht="14.45" customHeight="1">
      <c r="C469" s="766"/>
      <c r="D469" s="454"/>
      <c r="E469" s="455" t="s">
        <v>1245</v>
      </c>
      <c r="F469" s="456" t="s">
        <v>1246</v>
      </c>
      <c r="G469" s="457"/>
      <c r="H469" s="357" t="s">
        <v>1078</v>
      </c>
      <c r="I469" s="458"/>
      <c r="J469" s="1656">
        <f>'LBP NO. 2'!M739</f>
        <v>4450443</v>
      </c>
      <c r="K469" s="1659">
        <f>'LBP NO. 2'!M751</f>
        <v>3276932.2</v>
      </c>
      <c r="L469" s="1659">
        <f>'LBP NO. 2'!M757</f>
        <v>0</v>
      </c>
      <c r="M469" s="1662">
        <f>SUM(J469:L494)</f>
        <v>7727375.2000000002</v>
      </c>
    </row>
    <row r="470" spans="3:14" ht="14.45" customHeight="1">
      <c r="C470" s="766"/>
      <c r="D470" s="447"/>
      <c r="E470" s="1031"/>
      <c r="F470" s="358"/>
      <c r="G470" s="457"/>
      <c r="H470" s="357"/>
      <c r="I470" s="458"/>
      <c r="J470" s="1657"/>
      <c r="K470" s="1660"/>
      <c r="L470" s="1660"/>
      <c r="M470" s="1663"/>
    </row>
    <row r="471" spans="3:14" ht="34.5" customHeight="1">
      <c r="C471" s="766"/>
      <c r="D471" s="447"/>
      <c r="E471" s="1031"/>
      <c r="F471" s="358" t="s">
        <v>289</v>
      </c>
      <c r="G471" s="444" t="s">
        <v>1464</v>
      </c>
      <c r="H471" s="357" t="s">
        <v>1247</v>
      </c>
      <c r="I471" s="444" t="s">
        <v>1465</v>
      </c>
      <c r="J471" s="1657"/>
      <c r="K471" s="1660"/>
      <c r="L471" s="1660"/>
      <c r="M471" s="1663"/>
    </row>
    <row r="472" spans="3:14" ht="14.45" customHeight="1">
      <c r="C472" s="766"/>
      <c r="D472" s="454"/>
      <c r="E472" s="455" t="s">
        <v>1245</v>
      </c>
      <c r="F472" s="459" t="s">
        <v>1248</v>
      </c>
      <c r="G472" s="444"/>
      <c r="H472" s="365"/>
      <c r="I472" s="358"/>
      <c r="J472" s="1657"/>
      <c r="K472" s="1660"/>
      <c r="L472" s="1660"/>
      <c r="M472" s="1663"/>
    </row>
    <row r="473" spans="3:14" ht="53.25" customHeight="1">
      <c r="C473" s="766"/>
      <c r="D473" s="447"/>
      <c r="E473" s="1031"/>
      <c r="F473" s="358" t="s">
        <v>1249</v>
      </c>
      <c r="G473" s="444" t="s">
        <v>1250</v>
      </c>
      <c r="H473" s="357" t="s">
        <v>1251</v>
      </c>
      <c r="I473" s="357" t="s">
        <v>1252</v>
      </c>
      <c r="J473" s="1657"/>
      <c r="K473" s="1660"/>
      <c r="L473" s="1660"/>
      <c r="M473" s="1663"/>
    </row>
    <row r="474" spans="3:14" ht="40.5" customHeight="1">
      <c r="C474" s="766"/>
      <c r="D474" s="447"/>
      <c r="E474" s="1031"/>
      <c r="F474" s="460" t="s">
        <v>1253</v>
      </c>
      <c r="G474" s="444" t="s">
        <v>1254</v>
      </c>
      <c r="H474" s="357" t="s">
        <v>1255</v>
      </c>
      <c r="I474" s="357" t="s">
        <v>1256</v>
      </c>
      <c r="J474" s="1657"/>
      <c r="K474" s="1660"/>
      <c r="L474" s="1660"/>
      <c r="M474" s="1663"/>
    </row>
    <row r="475" spans="3:14" ht="69.75" customHeight="1">
      <c r="C475" s="766"/>
      <c r="D475" s="454"/>
      <c r="E475" s="455"/>
      <c r="F475" s="358" t="s">
        <v>1257</v>
      </c>
      <c r="G475" s="444" t="s">
        <v>1258</v>
      </c>
      <c r="H475" s="357" t="s">
        <v>1251</v>
      </c>
      <c r="I475" s="357" t="s">
        <v>1252</v>
      </c>
      <c r="J475" s="1657"/>
      <c r="K475" s="1660"/>
      <c r="L475" s="1660"/>
      <c r="M475" s="1663"/>
    </row>
    <row r="476" spans="3:14" ht="36.75" customHeight="1">
      <c r="C476" s="766"/>
      <c r="D476" s="454"/>
      <c r="E476" s="461"/>
      <c r="F476" s="349" t="s">
        <v>1253</v>
      </c>
      <c r="G476" s="348" t="s">
        <v>1254</v>
      </c>
      <c r="H476" s="352" t="s">
        <v>1255</v>
      </c>
      <c r="I476" s="352" t="s">
        <v>1256</v>
      </c>
      <c r="J476" s="1657"/>
      <c r="K476" s="1660"/>
      <c r="L476" s="1660"/>
      <c r="M476" s="1663"/>
    </row>
    <row r="477" spans="3:14" ht="90.75" customHeight="1">
      <c r="C477" s="766"/>
      <c r="D477" s="454"/>
      <c r="E477" s="461"/>
      <c r="F477" s="349" t="s">
        <v>1259</v>
      </c>
      <c r="G477" s="348" t="s">
        <v>1260</v>
      </c>
      <c r="H477" s="366" t="s">
        <v>1261</v>
      </c>
      <c r="I477" s="462" t="s">
        <v>1262</v>
      </c>
      <c r="J477" s="1657"/>
      <c r="K477" s="1660"/>
      <c r="L477" s="1660"/>
      <c r="M477" s="1663"/>
    </row>
    <row r="478" spans="3:14" ht="14.45" customHeight="1">
      <c r="C478" s="766"/>
      <c r="D478" s="454"/>
      <c r="E478" s="464"/>
      <c r="F478" s="996" t="s">
        <v>1263</v>
      </c>
      <c r="G478" s="997"/>
      <c r="H478" s="466"/>
      <c r="I478" s="998"/>
      <c r="J478" s="1657"/>
      <c r="K478" s="1660"/>
      <c r="L478" s="1660"/>
      <c r="M478" s="1663"/>
    </row>
    <row r="479" spans="3:14" ht="66.75" customHeight="1">
      <c r="C479" s="766"/>
      <c r="D479" s="454"/>
      <c r="E479" s="455"/>
      <c r="F479" s="358" t="s">
        <v>1264</v>
      </c>
      <c r="G479" s="444" t="s">
        <v>1265</v>
      </c>
      <c r="H479" s="365" t="s">
        <v>1266</v>
      </c>
      <c r="I479" s="458" t="s">
        <v>1252</v>
      </c>
      <c r="J479" s="1657"/>
      <c r="K479" s="1660"/>
      <c r="L479" s="1660"/>
      <c r="M479" s="1663"/>
    </row>
    <row r="480" spans="3:14" ht="14.45" customHeight="1">
      <c r="C480" s="766"/>
      <c r="D480" s="454"/>
      <c r="E480" s="455" t="s">
        <v>1245</v>
      </c>
      <c r="F480" s="463" t="s">
        <v>1267</v>
      </c>
      <c r="G480" s="444"/>
      <c r="H480" s="365"/>
      <c r="I480" s="458"/>
      <c r="J480" s="1657"/>
      <c r="K480" s="1660"/>
      <c r="L480" s="1660"/>
      <c r="M480" s="1663"/>
    </row>
    <row r="481" spans="3:14" ht="69" customHeight="1">
      <c r="C481" s="766"/>
      <c r="D481" s="454"/>
      <c r="E481" s="455"/>
      <c r="F481" s="358" t="s">
        <v>1268</v>
      </c>
      <c r="G481" s="444" t="s">
        <v>1269</v>
      </c>
      <c r="H481" s="365" t="s">
        <v>1270</v>
      </c>
      <c r="I481" s="365" t="s">
        <v>1271</v>
      </c>
      <c r="J481" s="1657"/>
      <c r="K481" s="1660"/>
      <c r="L481" s="1660"/>
      <c r="M481" s="1663"/>
    </row>
    <row r="482" spans="3:14" ht="14.45" customHeight="1">
      <c r="C482" s="1608"/>
      <c r="D482" s="454"/>
      <c r="E482" s="461"/>
      <c r="F482" s="349" t="s">
        <v>1272</v>
      </c>
      <c r="G482" s="348"/>
      <c r="H482" s="366"/>
      <c r="I482" s="366"/>
      <c r="J482" s="1657"/>
      <c r="K482" s="1660"/>
      <c r="L482" s="1660"/>
      <c r="M482" s="1663"/>
    </row>
    <row r="483" spans="3:14" ht="57" customHeight="1">
      <c r="C483" s="1608"/>
      <c r="D483" s="454"/>
      <c r="E483" s="464"/>
      <c r="F483" s="433" t="s">
        <v>1273</v>
      </c>
      <c r="G483" s="465" t="s">
        <v>1274</v>
      </c>
      <c r="H483" s="466" t="s">
        <v>1275</v>
      </c>
      <c r="I483" s="466" t="s">
        <v>1276</v>
      </c>
      <c r="J483" s="1657"/>
      <c r="K483" s="1660"/>
      <c r="L483" s="1660"/>
      <c r="M483" s="1663"/>
    </row>
    <row r="484" spans="3:14" ht="54.75" customHeight="1">
      <c r="C484" s="1608"/>
      <c r="D484" s="454"/>
      <c r="E484" s="455"/>
      <c r="F484" s="358" t="s">
        <v>1277</v>
      </c>
      <c r="G484" s="444" t="s">
        <v>1278</v>
      </c>
      <c r="H484" s="365" t="s">
        <v>1279</v>
      </c>
      <c r="I484" s="458" t="s">
        <v>1252</v>
      </c>
      <c r="J484" s="1657"/>
      <c r="K484" s="1660"/>
      <c r="L484" s="1660"/>
      <c r="M484" s="1663"/>
    </row>
    <row r="485" spans="3:14" ht="14.45" customHeight="1">
      <c r="C485" s="1608"/>
      <c r="D485" s="454"/>
      <c r="E485" s="461"/>
      <c r="F485" s="349"/>
      <c r="G485" s="348" t="s">
        <v>1254</v>
      </c>
      <c r="H485" s="366"/>
      <c r="I485" s="462"/>
      <c r="J485" s="1657"/>
      <c r="K485" s="1660"/>
      <c r="L485" s="1660"/>
      <c r="M485" s="1663"/>
    </row>
    <row r="486" spans="3:14" ht="14.45" customHeight="1">
      <c r="C486" s="1608"/>
      <c r="D486" s="454"/>
      <c r="E486" s="455" t="s">
        <v>1245</v>
      </c>
      <c r="F486" s="463" t="s">
        <v>1280</v>
      </c>
      <c r="G486" s="444"/>
      <c r="H486" s="365"/>
      <c r="I486" s="458"/>
      <c r="J486" s="1657"/>
      <c r="K486" s="1660"/>
      <c r="L486" s="1660"/>
      <c r="M486" s="1663"/>
    </row>
    <row r="487" spans="3:14" ht="19.5" customHeight="1">
      <c r="C487" s="1608"/>
      <c r="D487" s="454"/>
      <c r="E487" s="455"/>
      <c r="F487" s="358" t="s">
        <v>1281</v>
      </c>
      <c r="G487" s="444"/>
      <c r="H487" s="365"/>
      <c r="I487" s="458"/>
      <c r="J487" s="1657"/>
      <c r="K487" s="1660"/>
      <c r="L487" s="1660"/>
      <c r="M487" s="1663"/>
    </row>
    <row r="488" spans="3:14" ht="69.75" customHeight="1">
      <c r="C488" s="1608"/>
      <c r="D488" s="454"/>
      <c r="E488" s="461"/>
      <c r="F488" s="349" t="s">
        <v>1282</v>
      </c>
      <c r="G488" s="348" t="s">
        <v>1283</v>
      </c>
      <c r="H488" s="366" t="s">
        <v>1284</v>
      </c>
      <c r="I488" s="366" t="s">
        <v>1285</v>
      </c>
      <c r="J488" s="1657"/>
      <c r="K488" s="1660"/>
      <c r="L488" s="1660"/>
      <c r="M488" s="1663"/>
    </row>
    <row r="489" spans="3:14" ht="55.5" customHeight="1">
      <c r="C489" s="1608"/>
      <c r="D489" s="454"/>
      <c r="E489" s="461"/>
      <c r="F489" s="466" t="s">
        <v>1286</v>
      </c>
      <c r="G489" s="465" t="s">
        <v>1287</v>
      </c>
      <c r="H489" s="466" t="s">
        <v>1288</v>
      </c>
      <c r="I489" s="466" t="s">
        <v>1289</v>
      </c>
      <c r="J489" s="1657"/>
      <c r="K489" s="1660"/>
      <c r="L489" s="1660"/>
      <c r="M489" s="1663"/>
    </row>
    <row r="490" spans="3:14" ht="52.5" customHeight="1">
      <c r="C490" s="1608"/>
      <c r="D490" s="447"/>
      <c r="E490" s="1032"/>
      <c r="F490" s="466" t="s">
        <v>1290</v>
      </c>
      <c r="G490" s="465" t="s">
        <v>1291</v>
      </c>
      <c r="H490" s="466" t="s">
        <v>1292</v>
      </c>
      <c r="I490" s="466" t="s">
        <v>1293</v>
      </c>
      <c r="J490" s="1657"/>
      <c r="K490" s="1660"/>
      <c r="L490" s="1660"/>
      <c r="M490" s="1663"/>
    </row>
    <row r="491" spans="3:14" ht="50.25" customHeight="1">
      <c r="C491" s="1608"/>
      <c r="D491" s="447"/>
      <c r="E491" s="1032"/>
      <c r="F491" s="466" t="s">
        <v>1294</v>
      </c>
      <c r="G491" s="465" t="s">
        <v>1295</v>
      </c>
      <c r="H491" s="466" t="s">
        <v>1296</v>
      </c>
      <c r="I491" s="466" t="s">
        <v>1252</v>
      </c>
      <c r="J491" s="1657"/>
      <c r="K491" s="1660"/>
      <c r="L491" s="1660"/>
      <c r="M491" s="1663"/>
    </row>
    <row r="492" spans="3:14" ht="14.45" customHeight="1">
      <c r="C492" s="1608"/>
      <c r="D492" s="454"/>
      <c r="E492" s="455" t="s">
        <v>1245</v>
      </c>
      <c r="F492" s="467" t="s">
        <v>1297</v>
      </c>
      <c r="G492" s="444"/>
      <c r="H492" s="365"/>
      <c r="I492" s="365"/>
      <c r="J492" s="1657"/>
      <c r="K492" s="1660"/>
      <c r="L492" s="1660"/>
      <c r="M492" s="1663"/>
    </row>
    <row r="493" spans="3:14" ht="52.5" customHeight="1">
      <c r="C493" s="1608"/>
      <c r="D493" s="447"/>
      <c r="E493" s="1033"/>
      <c r="F493" s="366" t="s">
        <v>1298</v>
      </c>
      <c r="G493" s="348" t="s">
        <v>1299</v>
      </c>
      <c r="H493" s="366" t="s">
        <v>1300</v>
      </c>
      <c r="I493" s="366" t="s">
        <v>1301</v>
      </c>
      <c r="J493" s="1657"/>
      <c r="K493" s="1660"/>
      <c r="L493" s="1660"/>
      <c r="M493" s="1663"/>
    </row>
    <row r="494" spans="3:14" ht="69.75" customHeight="1">
      <c r="C494" s="1608"/>
      <c r="D494" s="439"/>
      <c r="E494" s="468" t="s">
        <v>1245</v>
      </c>
      <c r="F494" s="467" t="s">
        <v>1302</v>
      </c>
      <c r="G494" s="444"/>
      <c r="H494" s="365" t="s">
        <v>1303</v>
      </c>
      <c r="I494" s="365"/>
      <c r="J494" s="1657"/>
      <c r="K494" s="1660"/>
      <c r="L494" s="1660"/>
      <c r="M494" s="1663"/>
    </row>
    <row r="495" spans="3:14" ht="37.5" customHeight="1">
      <c r="C495" s="1608"/>
      <c r="D495" s="447"/>
      <c r="E495" s="1031"/>
      <c r="F495" s="365" t="s">
        <v>1304</v>
      </c>
      <c r="G495" s="357"/>
      <c r="H495" s="365"/>
      <c r="I495" s="365"/>
      <c r="J495" s="1658"/>
      <c r="K495" s="1661"/>
      <c r="L495" s="1661"/>
      <c r="M495" s="1664"/>
    </row>
    <row r="496" spans="3:14" ht="20.100000000000001" customHeight="1" thickBot="1">
      <c r="C496" s="1608"/>
      <c r="D496" s="447"/>
      <c r="E496" s="1034"/>
      <c r="F496" s="469"/>
      <c r="G496" s="470"/>
      <c r="H496" s="465"/>
      <c r="I496" s="471"/>
      <c r="J496" s="472">
        <f>SUM(J469:J495)</f>
        <v>4450443</v>
      </c>
      <c r="K496" s="473">
        <f>SUM(K469:K495)</f>
        <v>3276932.2</v>
      </c>
      <c r="L496" s="473">
        <f>SUM(L469:L495)</f>
        <v>0</v>
      </c>
      <c r="M496" s="474">
        <f>SUM(M469:M495)</f>
        <v>7727375.2000000002</v>
      </c>
      <c r="N496" s="475"/>
    </row>
    <row r="497" spans="3:14" ht="14.45" customHeight="1" thickTop="1">
      <c r="C497" s="1608"/>
      <c r="D497" s="447"/>
      <c r="E497" s="1030"/>
      <c r="F497" s="447"/>
      <c r="G497" s="356"/>
      <c r="H497" s="444"/>
      <c r="I497" s="356"/>
      <c r="J497" s="356"/>
      <c r="K497" s="475"/>
      <c r="L497" s="475"/>
      <c r="M497" s="475"/>
      <c r="N497" s="475"/>
    </row>
    <row r="498" spans="3:14" ht="14.45" customHeight="1">
      <c r="C498" s="1608"/>
      <c r="D498" s="447"/>
      <c r="E498" s="1030"/>
      <c r="F498" s="447"/>
      <c r="G498" s="356"/>
      <c r="H498" s="444"/>
      <c r="I498" s="356"/>
      <c r="J498" s="356"/>
      <c r="K498" s="475"/>
      <c r="L498" s="475"/>
      <c r="M498" s="475"/>
      <c r="N498" s="475"/>
    </row>
    <row r="499" spans="3:14" ht="14.45" customHeight="1" thickTop="1">
      <c r="C499" s="1607" t="s">
        <v>1305</v>
      </c>
      <c r="E499" s="1006" t="s">
        <v>1015</v>
      </c>
      <c r="F499" s="331"/>
      <c r="G499" s="369" t="s">
        <v>1016</v>
      </c>
      <c r="I499" s="369"/>
      <c r="J499" s="369"/>
      <c r="K499" s="368"/>
      <c r="L499" s="368"/>
      <c r="M499" s="368"/>
      <c r="N499" s="368"/>
    </row>
    <row r="500" spans="3:14" ht="14.45" customHeight="1">
      <c r="C500" s="1608"/>
      <c r="E500" s="1006"/>
      <c r="F500" s="331"/>
      <c r="G500" s="331"/>
      <c r="H500" s="331"/>
      <c r="I500" s="331"/>
      <c r="J500" s="331"/>
      <c r="K500" s="331"/>
      <c r="L500" s="331"/>
      <c r="M500" s="331"/>
      <c r="N500" s="331"/>
    </row>
    <row r="501" spans="3:14" ht="14.45" customHeight="1">
      <c r="C501" s="1608"/>
      <c r="E501" s="1586" t="s">
        <v>111</v>
      </c>
      <c r="F501" s="1586"/>
      <c r="G501" s="1587" t="s">
        <v>249</v>
      </c>
      <c r="H501" s="1587"/>
      <c r="I501" s="1588" t="s">
        <v>17</v>
      </c>
      <c r="J501" s="1588"/>
      <c r="L501" s="1584" t="s">
        <v>87</v>
      </c>
      <c r="M501" s="1584"/>
    </row>
    <row r="502" spans="3:14" ht="14.45" customHeight="1">
      <c r="C502" s="1608"/>
      <c r="E502" s="1619" t="s">
        <v>1725</v>
      </c>
      <c r="F502" s="1619"/>
      <c r="G502" s="1620" t="s">
        <v>13</v>
      </c>
      <c r="H502" s="1620"/>
      <c r="I502" s="1621" t="s">
        <v>18</v>
      </c>
      <c r="J502" s="1621"/>
      <c r="L502" s="1557" t="s">
        <v>971</v>
      </c>
      <c r="M502" s="1557"/>
    </row>
    <row r="503" spans="3:14" ht="14.45" customHeight="1">
      <c r="C503" s="1608"/>
      <c r="E503" s="1007" t="s">
        <v>253</v>
      </c>
      <c r="F503" s="372"/>
      <c r="G503" s="331"/>
      <c r="H503" s="331"/>
      <c r="I503" s="331"/>
      <c r="J503" s="373"/>
      <c r="K503" s="331"/>
      <c r="L503" s="331"/>
      <c r="M503" s="373"/>
      <c r="N503" s="331"/>
    </row>
    <row r="504" spans="3:14" ht="14.45" customHeight="1">
      <c r="C504" s="1608"/>
      <c r="E504" s="1023"/>
      <c r="F504" s="374"/>
      <c r="G504" s="331"/>
      <c r="H504" s="331"/>
      <c r="I504" s="331"/>
      <c r="J504" s="375"/>
      <c r="K504" s="331"/>
      <c r="L504" s="331"/>
      <c r="M504" s="375"/>
      <c r="N504" s="331"/>
    </row>
    <row r="505" spans="3:14" ht="14.45" customHeight="1">
      <c r="C505" s="1608"/>
      <c r="E505" s="1584" t="s">
        <v>1438</v>
      </c>
      <c r="F505" s="1584"/>
      <c r="G505" s="377"/>
      <c r="H505" s="377"/>
      <c r="I505" s="378"/>
      <c r="J505" s="378"/>
      <c r="K505" s="451"/>
      <c r="L505" s="374"/>
      <c r="M505" s="372"/>
      <c r="N505" s="372"/>
    </row>
    <row r="506" spans="3:14" ht="14.45" customHeight="1">
      <c r="C506" s="1608"/>
      <c r="E506" s="1557" t="s">
        <v>14</v>
      </c>
      <c r="F506" s="1557"/>
      <c r="G506" s="379"/>
      <c r="H506" s="379"/>
      <c r="I506" s="380"/>
      <c r="J506" s="378"/>
      <c r="K506" s="451"/>
      <c r="L506" s="374"/>
      <c r="M506" s="376"/>
      <c r="N506" s="372"/>
    </row>
    <row r="507" spans="3:14" ht="14.45" customHeight="1">
      <c r="E507" s="1007"/>
      <c r="F507" s="371"/>
      <c r="G507" s="379"/>
      <c r="H507" s="379"/>
      <c r="I507" s="380"/>
      <c r="J507" s="378"/>
      <c r="K507" s="451"/>
      <c r="L507" s="374"/>
      <c r="M507" s="376"/>
      <c r="N507" s="372"/>
    </row>
    <row r="508" spans="3:14" ht="14.45" customHeight="1">
      <c r="E508" s="1007"/>
      <c r="F508" s="371"/>
      <c r="G508" s="379"/>
      <c r="H508" s="379"/>
      <c r="I508" s="380"/>
      <c r="J508" s="378"/>
      <c r="K508" s="451"/>
      <c r="L508" s="374"/>
      <c r="M508" s="376"/>
      <c r="N508" s="372"/>
    </row>
    <row r="509" spans="3:14" ht="14.45" customHeight="1">
      <c r="E509" s="1007"/>
      <c r="F509" s="371"/>
      <c r="G509" s="379"/>
      <c r="H509" s="379"/>
      <c r="I509" s="380"/>
      <c r="J509" s="378"/>
      <c r="K509" s="451"/>
      <c r="L509" s="374"/>
      <c r="M509" s="376"/>
      <c r="N509" s="372"/>
    </row>
    <row r="510" spans="3:14" ht="14.45" customHeight="1">
      <c r="E510" s="1007"/>
      <c r="F510" s="371"/>
      <c r="G510" s="379"/>
      <c r="H510" s="379"/>
      <c r="I510" s="380"/>
      <c r="J510" s="378"/>
      <c r="K510" s="451"/>
      <c r="L510" s="374"/>
      <c r="M510" s="376"/>
      <c r="N510" s="372"/>
    </row>
    <row r="511" spans="3:14" ht="14.45" customHeight="1">
      <c r="E511" s="1007"/>
      <c r="F511" s="371"/>
      <c r="G511" s="379"/>
      <c r="H511" s="379"/>
      <c r="I511" s="380"/>
      <c r="J511" s="378"/>
      <c r="K511" s="451"/>
      <c r="L511" s="374"/>
      <c r="M511" s="376"/>
      <c r="N511" s="372"/>
    </row>
    <row r="512" spans="3:14" ht="14.45" customHeight="1">
      <c r="E512" s="1007"/>
      <c r="F512" s="371"/>
      <c r="G512" s="379"/>
      <c r="H512" s="379"/>
      <c r="I512" s="380"/>
      <c r="J512" s="378"/>
      <c r="K512" s="451"/>
      <c r="L512" s="374"/>
      <c r="M512" s="376"/>
      <c r="N512" s="372"/>
    </row>
    <row r="513" spans="5:14" ht="14.45" customHeight="1">
      <c r="E513" s="1007"/>
      <c r="F513" s="371"/>
      <c r="G513" s="379"/>
      <c r="H513" s="379"/>
      <c r="I513" s="380"/>
      <c r="J513" s="378"/>
      <c r="K513" s="451"/>
      <c r="L513" s="374"/>
      <c r="M513" s="376"/>
      <c r="N513" s="372"/>
    </row>
    <row r="514" spans="5:14" ht="14.45" customHeight="1">
      <c r="E514" s="1007"/>
      <c r="F514" s="371"/>
      <c r="G514" s="379"/>
      <c r="H514" s="379"/>
      <c r="I514" s="380"/>
      <c r="J514" s="378"/>
      <c r="K514" s="451"/>
      <c r="L514" s="374"/>
      <c r="M514" s="376"/>
      <c r="N514" s="372"/>
    </row>
    <row r="515" spans="5:14" ht="14.45" customHeight="1">
      <c r="E515" s="1007"/>
      <c r="F515" s="371"/>
      <c r="G515" s="379"/>
      <c r="H515" s="379"/>
      <c r="I515" s="380"/>
      <c r="J515" s="378"/>
      <c r="K515" s="451"/>
      <c r="L515" s="374"/>
      <c r="M515" s="376"/>
      <c r="N515" s="372"/>
    </row>
    <row r="516" spans="5:14" ht="14.45" customHeight="1">
      <c r="E516" s="1007"/>
      <c r="F516" s="371"/>
      <c r="G516" s="379"/>
      <c r="H516" s="379"/>
      <c r="I516" s="380"/>
      <c r="J516" s="378"/>
      <c r="K516" s="451"/>
      <c r="L516" s="374"/>
      <c r="M516" s="376"/>
      <c r="N516" s="372"/>
    </row>
    <row r="517" spans="5:14" ht="14.45" customHeight="1">
      <c r="E517" s="1007"/>
      <c r="F517" s="371"/>
      <c r="G517" s="379"/>
      <c r="H517" s="379"/>
      <c r="I517" s="380"/>
      <c r="J517" s="378"/>
      <c r="K517" s="451"/>
      <c r="L517" s="374"/>
      <c r="M517" s="376"/>
      <c r="N517" s="372"/>
    </row>
    <row r="518" spans="5:14" ht="14.45" customHeight="1">
      <c r="E518" s="1007"/>
      <c r="F518" s="371"/>
      <c r="G518" s="379"/>
      <c r="H518" s="379"/>
      <c r="I518" s="380"/>
      <c r="J518" s="378"/>
      <c r="K518" s="451"/>
      <c r="L518" s="374"/>
      <c r="M518" s="376"/>
      <c r="N518" s="372"/>
    </row>
    <row r="519" spans="5:14" ht="14.45" customHeight="1">
      <c r="E519" s="1007"/>
      <c r="F519" s="371"/>
      <c r="G519" s="379"/>
      <c r="H519" s="379"/>
      <c r="I519" s="380"/>
      <c r="J519" s="378"/>
      <c r="K519" s="451"/>
      <c r="L519" s="374"/>
      <c r="M519" s="376"/>
      <c r="N519" s="372"/>
    </row>
    <row r="520" spans="5:14" ht="14.45" customHeight="1">
      <c r="E520" s="1007"/>
      <c r="F520" s="371"/>
      <c r="G520" s="379"/>
      <c r="H520" s="379"/>
      <c r="I520" s="380"/>
      <c r="J520" s="378"/>
      <c r="K520" s="451"/>
      <c r="L520" s="374"/>
      <c r="M520" s="376"/>
      <c r="N520" s="372"/>
    </row>
    <row r="521" spans="5:14" ht="14.45" customHeight="1">
      <c r="E521" s="1007"/>
      <c r="F521" s="371"/>
      <c r="G521" s="379"/>
      <c r="H521" s="379"/>
      <c r="I521" s="380"/>
      <c r="J521" s="378"/>
      <c r="K521" s="451"/>
      <c r="L521" s="374"/>
      <c r="M521" s="376"/>
      <c r="N521" s="372"/>
    </row>
    <row r="522" spans="5:14" ht="14.45" customHeight="1">
      <c r="E522" s="1007"/>
      <c r="F522" s="371"/>
      <c r="G522" s="379"/>
      <c r="H522" s="379"/>
      <c r="I522" s="380"/>
      <c r="J522" s="378"/>
      <c r="K522" s="451"/>
      <c r="L522" s="374"/>
      <c r="M522" s="376"/>
      <c r="N522" s="372"/>
    </row>
    <row r="523" spans="5:14" ht="14.45" customHeight="1">
      <c r="E523" s="1007"/>
      <c r="F523" s="371"/>
      <c r="G523" s="379"/>
      <c r="H523" s="379"/>
      <c r="I523" s="380"/>
      <c r="J523" s="378"/>
      <c r="K523" s="451"/>
      <c r="L523" s="374"/>
      <c r="M523" s="376"/>
      <c r="N523" s="372"/>
    </row>
    <row r="524" spans="5:14" ht="14.45" customHeight="1">
      <c r="E524" s="1007"/>
      <c r="F524" s="371"/>
      <c r="G524" s="379"/>
      <c r="H524" s="379"/>
      <c r="I524" s="380"/>
      <c r="J524" s="378"/>
      <c r="K524" s="451"/>
      <c r="L524" s="374"/>
      <c r="M524" s="376"/>
      <c r="N524" s="372"/>
    </row>
    <row r="525" spans="5:14" ht="14.45" customHeight="1">
      <c r="E525" s="1007"/>
      <c r="F525" s="371"/>
      <c r="G525" s="379"/>
      <c r="H525" s="379"/>
      <c r="I525" s="380"/>
      <c r="J525" s="378"/>
      <c r="K525" s="451"/>
      <c r="L525" s="374"/>
      <c r="M525" s="376"/>
      <c r="N525" s="372"/>
    </row>
    <row r="526" spans="5:14" ht="14.45" customHeight="1">
      <c r="E526" s="1007"/>
      <c r="F526" s="371"/>
      <c r="G526" s="379"/>
      <c r="H526" s="379"/>
      <c r="I526" s="380"/>
      <c r="J526" s="378"/>
      <c r="K526" s="451"/>
      <c r="L526" s="374"/>
      <c r="M526" s="376"/>
      <c r="N526" s="372"/>
    </row>
    <row r="527" spans="5:14" ht="14.45" customHeight="1">
      <c r="E527" s="1007"/>
      <c r="F527" s="371"/>
      <c r="G527" s="379"/>
      <c r="H527" s="379"/>
      <c r="I527" s="380"/>
      <c r="J527" s="378"/>
      <c r="K527" s="451"/>
      <c r="L527" s="374"/>
      <c r="M527" s="376"/>
      <c r="N527" s="372"/>
    </row>
    <row r="528" spans="5:14" ht="14.45" customHeight="1">
      <c r="E528" s="1007"/>
      <c r="F528" s="371"/>
      <c r="G528" s="379"/>
      <c r="H528" s="379"/>
      <c r="I528" s="380"/>
      <c r="J528" s="378"/>
      <c r="K528" s="451"/>
      <c r="L528" s="374"/>
      <c r="M528" s="376"/>
      <c r="N528" s="372"/>
    </row>
    <row r="529" spans="3:14" ht="14.45" customHeight="1">
      <c r="E529" s="1007"/>
      <c r="F529" s="371"/>
      <c r="G529" s="379"/>
      <c r="H529" s="379"/>
      <c r="I529" s="380"/>
      <c r="J529" s="378"/>
      <c r="K529" s="451"/>
      <c r="L529" s="374"/>
      <c r="M529" s="376"/>
      <c r="N529" s="372"/>
    </row>
    <row r="530" spans="3:14" ht="14.45" customHeight="1">
      <c r="E530" s="1007"/>
      <c r="F530" s="371"/>
      <c r="G530" s="379"/>
      <c r="H530" s="379"/>
      <c r="I530" s="380"/>
      <c r="J530" s="378"/>
      <c r="K530" s="451"/>
      <c r="L530" s="374"/>
      <c r="M530" s="376"/>
      <c r="N530" s="372"/>
    </row>
    <row r="531" spans="3:14" ht="14.45" customHeight="1">
      <c r="E531" s="1007"/>
      <c r="F531" s="371"/>
      <c r="G531" s="379"/>
      <c r="H531" s="379"/>
      <c r="I531" s="380"/>
      <c r="J531" s="378"/>
      <c r="K531" s="451"/>
      <c r="L531" s="374"/>
      <c r="M531" s="376"/>
      <c r="N531" s="372"/>
    </row>
    <row r="532" spans="3:14" ht="14.45" customHeight="1">
      <c r="E532" s="1007"/>
      <c r="F532" s="371"/>
      <c r="G532" s="379"/>
      <c r="H532" s="379"/>
      <c r="I532" s="380"/>
      <c r="J532" s="378"/>
      <c r="K532" s="451"/>
      <c r="L532" s="374"/>
      <c r="M532" s="376"/>
      <c r="N532" s="372"/>
    </row>
    <row r="533" spans="3:14" ht="14.45" customHeight="1">
      <c r="E533" s="1007"/>
      <c r="F533" s="371"/>
      <c r="G533" s="379"/>
      <c r="H533" s="379"/>
      <c r="I533" s="380"/>
      <c r="J533" s="378"/>
      <c r="K533" s="451"/>
      <c r="L533" s="374"/>
      <c r="M533" s="376"/>
      <c r="N533" s="372"/>
    </row>
    <row r="534" spans="3:14" ht="14.45" customHeight="1">
      <c r="E534" s="1007"/>
      <c r="F534" s="371"/>
      <c r="G534" s="379"/>
      <c r="H534" s="379"/>
      <c r="I534" s="380"/>
      <c r="J534" s="378"/>
      <c r="K534" s="451"/>
      <c r="L534" s="374"/>
      <c r="M534" s="376"/>
      <c r="N534" s="372"/>
    </row>
    <row r="535" spans="3:14" ht="14.45" customHeight="1">
      <c r="E535" s="1007"/>
      <c r="F535" s="371"/>
      <c r="G535" s="379"/>
      <c r="H535" s="379"/>
      <c r="I535" s="380"/>
      <c r="J535" s="378"/>
      <c r="K535" s="451"/>
      <c r="L535" s="374"/>
      <c r="M535" s="376"/>
      <c r="N535" s="372"/>
    </row>
    <row r="536" spans="3:14" ht="14.45" customHeight="1">
      <c r="E536" s="1007"/>
      <c r="F536" s="371"/>
      <c r="G536" s="379"/>
      <c r="H536" s="379"/>
      <c r="I536" s="380"/>
      <c r="J536" s="378"/>
      <c r="K536" s="451"/>
      <c r="L536" s="374"/>
      <c r="M536" s="376"/>
      <c r="N536" s="372"/>
    </row>
    <row r="537" spans="3:14" ht="14.45" customHeight="1">
      <c r="E537" s="1007"/>
      <c r="F537" s="371"/>
      <c r="G537" s="379"/>
      <c r="H537" s="379"/>
      <c r="I537" s="380"/>
      <c r="J537" s="378"/>
      <c r="K537" s="451"/>
      <c r="L537" s="374"/>
      <c r="M537" s="376"/>
      <c r="N537" s="372"/>
    </row>
    <row r="538" spans="3:14" ht="14.45" customHeight="1">
      <c r="E538" s="1007"/>
      <c r="F538" s="371"/>
      <c r="G538" s="379"/>
      <c r="H538" s="379"/>
      <c r="I538" s="380"/>
      <c r="J538" s="378"/>
      <c r="K538" s="451"/>
      <c r="L538" s="374"/>
      <c r="M538" s="376"/>
      <c r="N538" s="372"/>
    </row>
    <row r="539" spans="3:14" ht="14.45" customHeight="1">
      <c r="E539" s="1007"/>
      <c r="F539" s="371"/>
      <c r="G539" s="379"/>
      <c r="H539" s="379"/>
      <c r="I539" s="380"/>
      <c r="J539" s="378"/>
      <c r="K539" s="451"/>
      <c r="L539" s="374"/>
      <c r="M539" s="376"/>
      <c r="N539" s="372"/>
    </row>
    <row r="540" spans="3:14" ht="14.45" customHeight="1">
      <c r="E540" s="1007"/>
      <c r="F540" s="371"/>
      <c r="G540" s="379"/>
      <c r="H540" s="379"/>
      <c r="I540" s="380"/>
      <c r="J540" s="378"/>
      <c r="K540" s="451"/>
      <c r="L540" s="374"/>
      <c r="M540" s="376"/>
      <c r="N540" s="372"/>
    </row>
    <row r="541" spans="3:14" ht="14.45" customHeight="1">
      <c r="E541" s="1007"/>
      <c r="F541" s="371"/>
      <c r="G541" s="379"/>
      <c r="H541" s="379"/>
      <c r="I541" s="380"/>
      <c r="J541" s="378"/>
      <c r="K541" s="451"/>
      <c r="L541" s="374"/>
      <c r="M541" s="376"/>
      <c r="N541" s="372"/>
    </row>
    <row r="542" spans="3:14" ht="14.45" customHeight="1">
      <c r="E542" s="1007"/>
      <c r="F542" s="371"/>
      <c r="G542" s="379"/>
      <c r="H542" s="379"/>
      <c r="I542" s="380"/>
      <c r="J542" s="378"/>
      <c r="K542" s="451"/>
      <c r="L542" s="374"/>
      <c r="M542" s="376"/>
      <c r="N542" s="372"/>
    </row>
    <row r="543" spans="3:14" ht="15.95" customHeight="1">
      <c r="E543" s="1007"/>
      <c r="F543" s="371"/>
      <c r="G543" s="379"/>
      <c r="H543" s="379"/>
      <c r="I543" s="380"/>
      <c r="J543" s="378"/>
      <c r="K543" s="451"/>
      <c r="L543" s="374"/>
      <c r="M543" s="376"/>
      <c r="N543" s="372"/>
    </row>
    <row r="544" spans="3:14" ht="14.45" customHeight="1">
      <c r="C544" s="765" t="s">
        <v>1306</v>
      </c>
      <c r="D544" s="289"/>
      <c r="F544" s="1594" t="s">
        <v>1716</v>
      </c>
      <c r="G544" s="1594"/>
      <c r="H544" s="1594"/>
      <c r="I544" s="1594"/>
      <c r="J544" s="1594"/>
      <c r="K544" s="1594"/>
      <c r="L544" s="1594"/>
      <c r="M544" s="265"/>
    </row>
    <row r="545" spans="3:13" ht="14.45" customHeight="1">
      <c r="C545" s="765"/>
      <c r="E545" s="1579" t="s">
        <v>174</v>
      </c>
      <c r="F545" s="1579"/>
      <c r="G545" s="1579"/>
      <c r="H545" s="1579"/>
      <c r="I545" s="1579"/>
      <c r="J545" s="1579"/>
      <c r="K545" s="1579"/>
      <c r="L545" s="1579"/>
      <c r="M545" s="1579"/>
    </row>
    <row r="546" spans="3:13" ht="14.45" customHeight="1">
      <c r="C546" s="765"/>
      <c r="E546" s="1000" t="s">
        <v>976</v>
      </c>
      <c r="F546" s="267" t="s">
        <v>1307</v>
      </c>
    </row>
    <row r="547" spans="3:13" ht="14.45" customHeight="1">
      <c r="C547" s="765"/>
      <c r="E547" s="1000" t="s">
        <v>978</v>
      </c>
      <c r="F547" s="268" t="s">
        <v>1308</v>
      </c>
    </row>
    <row r="548" spans="3:13" ht="14.45" customHeight="1">
      <c r="C548" s="765"/>
      <c r="E548" s="1000" t="s">
        <v>980</v>
      </c>
      <c r="F548" s="1600" t="s">
        <v>1309</v>
      </c>
      <c r="G548" s="1600"/>
      <c r="H548" s="1600"/>
      <c r="I548" s="1600"/>
      <c r="J548" s="1600"/>
      <c r="K548" s="1600"/>
      <c r="L548" s="1600"/>
      <c r="M548" s="1600"/>
    </row>
    <row r="549" spans="3:13" ht="14.45" customHeight="1">
      <c r="C549" s="765"/>
      <c r="E549" s="1000" t="s">
        <v>982</v>
      </c>
      <c r="F549" s="1600" t="s">
        <v>1310</v>
      </c>
      <c r="G549" s="1600"/>
      <c r="H549" s="1600"/>
      <c r="I549" s="1600"/>
      <c r="J549" s="1600"/>
      <c r="K549" s="1600"/>
      <c r="L549" s="1600"/>
      <c r="M549" s="1600"/>
    </row>
    <row r="550" spans="3:13" ht="14.45" customHeight="1">
      <c r="C550" s="765"/>
      <c r="E550" s="1000" t="s">
        <v>1311</v>
      </c>
      <c r="F550" s="271"/>
      <c r="G550" s="271"/>
      <c r="H550" s="271"/>
      <c r="I550" s="271"/>
      <c r="J550" s="271"/>
      <c r="K550" s="271"/>
      <c r="L550" s="271"/>
      <c r="M550" s="271"/>
    </row>
    <row r="551" spans="3:13" ht="14.45" customHeight="1">
      <c r="C551" s="765"/>
      <c r="E551" s="1577" t="s">
        <v>985</v>
      </c>
      <c r="F551" s="420" t="s">
        <v>625</v>
      </c>
      <c r="G551" s="1601" t="s">
        <v>627</v>
      </c>
      <c r="H551" s="272" t="s">
        <v>628</v>
      </c>
      <c r="I551" s="1577" t="s">
        <v>986</v>
      </c>
      <c r="J551" s="1603" t="s">
        <v>1717</v>
      </c>
      <c r="K551" s="1603"/>
      <c r="L551" s="1603"/>
      <c r="M551" s="1604"/>
    </row>
    <row r="552" spans="3:13" ht="14.45" customHeight="1">
      <c r="C552" s="765"/>
      <c r="E552" s="1578"/>
      <c r="F552" s="476" t="s">
        <v>626</v>
      </c>
      <c r="G552" s="1602"/>
      <c r="H552" s="273" t="s">
        <v>629</v>
      </c>
      <c r="I552" s="1578"/>
      <c r="J552" s="418" t="s">
        <v>270</v>
      </c>
      <c r="K552" s="419" t="s">
        <v>271</v>
      </c>
      <c r="L552" s="272" t="s">
        <v>272</v>
      </c>
      <c r="M552" s="420" t="s">
        <v>15</v>
      </c>
    </row>
    <row r="553" spans="3:13" ht="14.45" customHeight="1">
      <c r="C553" s="765"/>
      <c r="E553" s="423" t="s">
        <v>1312</v>
      </c>
      <c r="F553" s="402" t="s">
        <v>1313</v>
      </c>
      <c r="G553" s="306" t="s">
        <v>1314</v>
      </c>
      <c r="H553" s="306"/>
      <c r="I553" s="1563" t="s">
        <v>1043</v>
      </c>
      <c r="J553" s="1558">
        <f>'LBP NO. 2'!M809+'LBP NO. 2'!M874</f>
        <v>14619051</v>
      </c>
      <c r="K553" s="1558">
        <f>'LBP NO. 2'!M821+'LBP NO. 2'!M883</f>
        <v>7929446</v>
      </c>
      <c r="L553" s="1558">
        <f>'LBP NO. 2'!M826+'LBP NO. 2'!M888</f>
        <v>0</v>
      </c>
      <c r="M553" s="1558">
        <f>SUM(J553:L585)</f>
        <v>22548497</v>
      </c>
    </row>
    <row r="554" spans="3:13" ht="49.5" customHeight="1">
      <c r="C554" s="765"/>
      <c r="E554" s="425"/>
      <c r="F554" s="407" t="s">
        <v>1315</v>
      </c>
      <c r="G554" s="308"/>
      <c r="H554" s="308" t="s">
        <v>1316</v>
      </c>
      <c r="I554" s="1561"/>
      <c r="J554" s="1559"/>
      <c r="K554" s="1559"/>
      <c r="L554" s="1559"/>
      <c r="M554" s="1559"/>
    </row>
    <row r="555" spans="3:13" ht="34.5" customHeight="1">
      <c r="C555" s="765"/>
      <c r="E555" s="425"/>
      <c r="F555" s="407" t="s">
        <v>1317</v>
      </c>
      <c r="G555" s="308"/>
      <c r="H555" s="308" t="s">
        <v>1318</v>
      </c>
      <c r="I555" s="1561"/>
      <c r="J555" s="1559"/>
      <c r="K555" s="1559"/>
      <c r="L555" s="1559"/>
      <c r="M555" s="1559"/>
    </row>
    <row r="556" spans="3:13" ht="32.25" customHeight="1">
      <c r="C556" s="765"/>
      <c r="E556" s="425"/>
      <c r="F556" s="407" t="s">
        <v>1319</v>
      </c>
      <c r="G556" s="308"/>
      <c r="H556" s="308" t="s">
        <v>1318</v>
      </c>
      <c r="I556" s="1561"/>
      <c r="J556" s="1559"/>
      <c r="K556" s="1559"/>
      <c r="L556" s="1559"/>
      <c r="M556" s="1559"/>
    </row>
    <row r="557" spans="3:13" ht="14.45" customHeight="1">
      <c r="C557" s="765"/>
      <c r="E557" s="425"/>
      <c r="F557" s="407" t="s">
        <v>1320</v>
      </c>
      <c r="G557" s="308"/>
      <c r="H557" s="288" t="s">
        <v>1321</v>
      </c>
      <c r="I557" s="1561"/>
      <c r="J557" s="1559"/>
      <c r="K557" s="1559"/>
      <c r="L557" s="1559"/>
      <c r="M557" s="1559"/>
    </row>
    <row r="558" spans="3:13" ht="14.45" customHeight="1">
      <c r="C558" s="765"/>
      <c r="E558" s="423" t="s">
        <v>1312</v>
      </c>
      <c r="F558" s="477" t="s">
        <v>1322</v>
      </c>
      <c r="G558" s="1563" t="s">
        <v>1323</v>
      </c>
      <c r="H558" s="382"/>
      <c r="I558" s="1563" t="s">
        <v>1043</v>
      </c>
      <c r="J558" s="1559"/>
      <c r="K558" s="1559"/>
      <c r="L558" s="1559"/>
      <c r="M558" s="1559"/>
    </row>
    <row r="559" spans="3:13" ht="14.45" customHeight="1">
      <c r="C559" s="765"/>
      <c r="E559" s="425"/>
      <c r="F559" s="407" t="s">
        <v>1324</v>
      </c>
      <c r="G559" s="1561"/>
      <c r="H559" s="308"/>
      <c r="I559" s="1561"/>
      <c r="J559" s="1559"/>
      <c r="K559" s="1559"/>
      <c r="L559" s="1559"/>
      <c r="M559" s="1559"/>
    </row>
    <row r="560" spans="3:13" ht="36.75" customHeight="1">
      <c r="C560" s="765"/>
      <c r="E560" s="425"/>
      <c r="F560" s="407" t="s">
        <v>1325</v>
      </c>
      <c r="G560" s="1561"/>
      <c r="H560" s="308" t="s">
        <v>1326</v>
      </c>
      <c r="I560" s="1561"/>
      <c r="J560" s="1559"/>
      <c r="K560" s="1559"/>
      <c r="L560" s="1559"/>
      <c r="M560" s="1559"/>
    </row>
    <row r="561" spans="3:15" ht="50.25" customHeight="1">
      <c r="C561" s="765"/>
      <c r="E561" s="425"/>
      <c r="F561" s="407" t="s">
        <v>1327</v>
      </c>
      <c r="G561" s="287"/>
      <c r="H561" s="478" t="s">
        <v>1328</v>
      </c>
      <c r="I561" s="287"/>
      <c r="J561" s="1559"/>
      <c r="K561" s="1559"/>
      <c r="L561" s="1559"/>
      <c r="M561" s="1559"/>
    </row>
    <row r="562" spans="3:15" ht="18.75" customHeight="1">
      <c r="C562" s="765"/>
      <c r="E562" s="425"/>
      <c r="F562" s="286" t="s">
        <v>1329</v>
      </c>
      <c r="G562" s="287" t="s">
        <v>1330</v>
      </c>
      <c r="H562" s="287" t="s">
        <v>1331</v>
      </c>
      <c r="I562" s="287"/>
      <c r="J562" s="1559"/>
      <c r="K562" s="1559"/>
      <c r="L562" s="1559"/>
      <c r="M562" s="1559"/>
    </row>
    <row r="563" spans="3:15" ht="34.5" customHeight="1">
      <c r="C563" s="765"/>
      <c r="E563" s="425"/>
      <c r="F563" s="407" t="s">
        <v>1332</v>
      </c>
      <c r="G563" s="287"/>
      <c r="H563" s="286" t="s">
        <v>1333</v>
      </c>
      <c r="I563" s="308"/>
      <c r="J563" s="1559"/>
      <c r="K563" s="1559"/>
      <c r="L563" s="1559"/>
      <c r="M563" s="1559"/>
    </row>
    <row r="564" spans="3:15" ht="18.75" customHeight="1">
      <c r="C564" s="765"/>
      <c r="E564" s="425"/>
      <c r="F564" s="407" t="s">
        <v>1334</v>
      </c>
      <c r="G564" s="287"/>
      <c r="H564" s="286" t="s">
        <v>1335</v>
      </c>
      <c r="I564" s="308"/>
      <c r="J564" s="1559"/>
      <c r="K564" s="1559"/>
      <c r="L564" s="1559"/>
      <c r="M564" s="1559"/>
    </row>
    <row r="565" spans="3:15" ht="68.25" customHeight="1">
      <c r="C565" s="765"/>
      <c r="E565" s="425"/>
      <c r="F565" s="407" t="s">
        <v>1336</v>
      </c>
      <c r="G565" s="287"/>
      <c r="H565" s="286" t="s">
        <v>1337</v>
      </c>
      <c r="I565" s="308"/>
      <c r="J565" s="1559"/>
      <c r="K565" s="1559"/>
      <c r="L565" s="1559"/>
      <c r="M565" s="1559"/>
    </row>
    <row r="566" spans="3:15" ht="14.45" customHeight="1">
      <c r="C566" s="765"/>
      <c r="E566" s="425"/>
      <c r="F566" s="407" t="s">
        <v>1338</v>
      </c>
      <c r="G566" s="287"/>
      <c r="H566" s="286"/>
      <c r="I566" s="308"/>
      <c r="J566" s="1559"/>
      <c r="K566" s="1559"/>
      <c r="L566" s="1559"/>
      <c r="M566" s="1559"/>
    </row>
    <row r="567" spans="3:15" ht="14.45" customHeight="1">
      <c r="C567" s="765"/>
      <c r="E567" s="425"/>
      <c r="F567" s="407" t="s">
        <v>1339</v>
      </c>
      <c r="G567" s="287"/>
      <c r="H567" s="286"/>
      <c r="I567" s="308"/>
      <c r="J567" s="1559"/>
      <c r="K567" s="1559"/>
      <c r="L567" s="1559"/>
      <c r="M567" s="1559"/>
    </row>
    <row r="568" spans="3:15" ht="14.45" customHeight="1">
      <c r="C568" s="765"/>
      <c r="E568" s="425"/>
      <c r="F568" s="407" t="s">
        <v>1340</v>
      </c>
      <c r="G568" s="287"/>
      <c r="H568" s="286"/>
      <c r="I568" s="308"/>
      <c r="J568" s="1559"/>
      <c r="K568" s="1559"/>
      <c r="L568" s="1559"/>
      <c r="M568" s="1559"/>
    </row>
    <row r="569" spans="3:15" ht="15.95" customHeight="1">
      <c r="C569" s="765"/>
      <c r="E569" s="424"/>
      <c r="F569" s="404" t="s">
        <v>1341</v>
      </c>
      <c r="G569" s="991"/>
      <c r="H569" s="992"/>
      <c r="I569" s="993"/>
      <c r="J569" s="1559"/>
      <c r="K569" s="1559"/>
      <c r="L569" s="1559"/>
      <c r="M569" s="1559"/>
    </row>
    <row r="570" spans="3:15" ht="99.75" customHeight="1">
      <c r="C570" s="765"/>
      <c r="E570" s="425"/>
      <c r="F570" s="407" t="s">
        <v>1342</v>
      </c>
      <c r="G570" s="287"/>
      <c r="H570" s="1575" t="s">
        <v>1343</v>
      </c>
      <c r="I570" s="308"/>
      <c r="J570" s="1559"/>
      <c r="K570" s="1559"/>
      <c r="L570" s="1559"/>
      <c r="M570" s="1559"/>
    </row>
    <row r="571" spans="3:15" ht="15.95" customHeight="1">
      <c r="C571" s="765"/>
      <c r="E571" s="425"/>
      <c r="F571" s="407" t="s">
        <v>1344</v>
      </c>
      <c r="G571" s="287"/>
      <c r="H571" s="1575"/>
      <c r="I571" s="308"/>
      <c r="J571" s="1559"/>
      <c r="K571" s="1559"/>
      <c r="L571" s="1559"/>
      <c r="M571" s="1559"/>
    </row>
    <row r="572" spans="3:15" ht="6" customHeight="1">
      <c r="C572" s="765"/>
      <c r="E572" s="424"/>
      <c r="F572" s="404"/>
      <c r="G572" s="314"/>
      <c r="H572" s="388"/>
      <c r="I572" s="288"/>
      <c r="J572" s="1559"/>
      <c r="K572" s="1559"/>
      <c r="L572" s="1559"/>
      <c r="M572" s="1559"/>
      <c r="O572" s="502"/>
    </row>
    <row r="573" spans="3:15" ht="18" customHeight="1">
      <c r="C573" s="1607" t="s">
        <v>1345</v>
      </c>
      <c r="E573" s="1035"/>
      <c r="F573" s="479" t="s">
        <v>1346</v>
      </c>
      <c r="G573" s="284"/>
      <c r="H573" s="283" t="s">
        <v>1347</v>
      </c>
      <c r="I573" s="285"/>
      <c r="J573" s="1559"/>
      <c r="K573" s="1559"/>
      <c r="L573" s="1559"/>
      <c r="M573" s="1559"/>
    </row>
    <row r="574" spans="3:15" ht="68.25" customHeight="1">
      <c r="C574" s="1608"/>
      <c r="E574" s="480" t="s">
        <v>1312</v>
      </c>
      <c r="F574" s="308" t="s">
        <v>1348</v>
      </c>
      <c r="G574" s="287"/>
      <c r="H574" s="286" t="s">
        <v>1349</v>
      </c>
      <c r="I574" s="1561" t="s">
        <v>1043</v>
      </c>
      <c r="J574" s="1559"/>
      <c r="K574" s="1559"/>
      <c r="L574" s="1559"/>
      <c r="M574" s="1559"/>
    </row>
    <row r="575" spans="3:15" ht="39.75" customHeight="1">
      <c r="C575" s="1608"/>
      <c r="E575" s="425"/>
      <c r="F575" s="407" t="s">
        <v>1350</v>
      </c>
      <c r="G575" s="287"/>
      <c r="H575" s="286"/>
      <c r="I575" s="1561"/>
      <c r="J575" s="1559"/>
      <c r="K575" s="1559"/>
      <c r="L575" s="1559"/>
      <c r="M575" s="1559"/>
    </row>
    <row r="576" spans="3:15" ht="14.45" customHeight="1">
      <c r="C576" s="1608"/>
      <c r="E576" s="425"/>
      <c r="F576" s="404" t="s">
        <v>1351</v>
      </c>
      <c r="G576" s="314"/>
      <c r="H576" s="388"/>
      <c r="I576" s="1561"/>
      <c r="J576" s="1559"/>
      <c r="K576" s="1559"/>
      <c r="L576" s="1559"/>
      <c r="M576" s="1559"/>
    </row>
    <row r="577" spans="3:13" ht="14.45" customHeight="1">
      <c r="C577" s="1608"/>
      <c r="E577" s="481" t="s">
        <v>1312</v>
      </c>
      <c r="F577" s="308" t="s">
        <v>1352</v>
      </c>
      <c r="G577" s="1561" t="s">
        <v>1353</v>
      </c>
      <c r="H577" s="1561" t="s">
        <v>1354</v>
      </c>
      <c r="I577" s="1563" t="s">
        <v>1043</v>
      </c>
      <c r="J577" s="1559"/>
      <c r="K577" s="1559"/>
      <c r="L577" s="1559"/>
      <c r="M577" s="1559"/>
    </row>
    <row r="578" spans="3:13" ht="33" customHeight="1">
      <c r="C578" s="1608"/>
      <c r="E578" s="425"/>
      <c r="F578" s="407" t="s">
        <v>1355</v>
      </c>
      <c r="G578" s="1561"/>
      <c r="H578" s="1561"/>
      <c r="I578" s="1561"/>
      <c r="J578" s="1559"/>
      <c r="K578" s="1559"/>
      <c r="L578" s="1559"/>
      <c r="M578" s="1559"/>
    </row>
    <row r="579" spans="3:13" ht="14.45" customHeight="1">
      <c r="C579" s="1608"/>
      <c r="E579" s="425"/>
      <c r="F579" s="407" t="s">
        <v>1356</v>
      </c>
      <c r="G579" s="287"/>
      <c r="H579" s="286"/>
      <c r="I579" s="1561"/>
      <c r="J579" s="1559"/>
      <c r="K579" s="1559"/>
      <c r="L579" s="1559"/>
      <c r="M579" s="1559"/>
    </row>
    <row r="580" spans="3:13" ht="14.45" customHeight="1">
      <c r="C580" s="1608"/>
      <c r="E580" s="425"/>
      <c r="F580" s="407" t="s">
        <v>1357</v>
      </c>
      <c r="G580" s="287"/>
      <c r="H580" s="286"/>
      <c r="I580" s="308"/>
      <c r="J580" s="1559"/>
      <c r="K580" s="1559"/>
      <c r="L580" s="1559"/>
      <c r="M580" s="1559"/>
    </row>
    <row r="581" spans="3:13" ht="132.75" customHeight="1">
      <c r="C581" s="1608"/>
      <c r="E581" s="424"/>
      <c r="F581" s="404" t="s">
        <v>1358</v>
      </c>
      <c r="G581" s="314"/>
      <c r="H581" s="388" t="s">
        <v>1359</v>
      </c>
      <c r="I581" s="308" t="s">
        <v>1360</v>
      </c>
      <c r="J581" s="1559"/>
      <c r="K581" s="1559"/>
      <c r="L581" s="1559"/>
      <c r="M581" s="1559"/>
    </row>
    <row r="582" spans="3:13" ht="35.25" customHeight="1">
      <c r="C582" s="1608"/>
      <c r="E582" s="481" t="s">
        <v>1312</v>
      </c>
      <c r="F582" s="479" t="s">
        <v>1361</v>
      </c>
      <c r="G582" s="284"/>
      <c r="H582" s="479" t="s">
        <v>1362</v>
      </c>
      <c r="I582" s="285" t="s">
        <v>1043</v>
      </c>
      <c r="J582" s="1559"/>
      <c r="K582" s="1559"/>
      <c r="L582" s="1559"/>
      <c r="M582" s="1559"/>
    </row>
    <row r="583" spans="3:13" ht="35.25" customHeight="1">
      <c r="C583" s="1608"/>
      <c r="E583" s="482" t="s">
        <v>1312</v>
      </c>
      <c r="F583" s="479" t="s">
        <v>1618</v>
      </c>
      <c r="G583" s="284"/>
      <c r="H583" s="479"/>
      <c r="I583" s="285" t="s">
        <v>1043</v>
      </c>
      <c r="J583" s="1559"/>
      <c r="K583" s="1559"/>
      <c r="L583" s="1559"/>
      <c r="M583" s="1559"/>
    </row>
    <row r="584" spans="3:13" ht="35.25" customHeight="1">
      <c r="C584" s="1608"/>
      <c r="E584" s="481" t="s">
        <v>1312</v>
      </c>
      <c r="F584" s="479" t="s">
        <v>1619</v>
      </c>
      <c r="G584" s="284"/>
      <c r="H584" s="479"/>
      <c r="I584" s="285" t="s">
        <v>1043</v>
      </c>
      <c r="J584" s="1559"/>
      <c r="K584" s="1559"/>
      <c r="L584" s="1559"/>
      <c r="M584" s="1559"/>
    </row>
    <row r="585" spans="3:13" ht="33" customHeight="1">
      <c r="C585" s="1608"/>
      <c r="E585" s="482" t="s">
        <v>1312</v>
      </c>
      <c r="F585" s="479" t="s">
        <v>1620</v>
      </c>
      <c r="G585" s="284"/>
      <c r="H585" s="479"/>
      <c r="I585" s="285" t="s">
        <v>1043</v>
      </c>
      <c r="J585" s="1560"/>
      <c r="K585" s="1560"/>
      <c r="L585" s="1560"/>
      <c r="M585" s="1560"/>
    </row>
    <row r="586" spans="3:13" ht="20.100000000000001" customHeight="1" thickBot="1">
      <c r="C586" s="1608"/>
      <c r="E586" s="1036"/>
      <c r="F586" s="411"/>
      <c r="G586" s="483"/>
      <c r="H586" s="484"/>
      <c r="I586" s="485"/>
      <c r="J586" s="486">
        <f>SUM(J553:J585)</f>
        <v>14619051</v>
      </c>
      <c r="K586" s="486">
        <f>SUM(K553:K585)</f>
        <v>7929446</v>
      </c>
      <c r="L586" s="486">
        <f>SUM(L553:L585)</f>
        <v>0</v>
      </c>
      <c r="M586" s="486">
        <f>SUM(M553:M585)</f>
        <v>22548497</v>
      </c>
    </row>
    <row r="587" spans="3:13" ht="7.5" customHeight="1" thickTop="1">
      <c r="C587" s="1608"/>
      <c r="E587" s="1002"/>
      <c r="F587" s="289"/>
      <c r="G587" s="289"/>
      <c r="H587" s="289"/>
      <c r="I587" s="289"/>
      <c r="J587" s="315"/>
      <c r="K587" s="315"/>
      <c r="L587" s="315"/>
      <c r="M587" s="315"/>
    </row>
    <row r="588" spans="3:13" ht="14.45" customHeight="1">
      <c r="C588" s="1608"/>
      <c r="E588" s="1002" t="s">
        <v>1015</v>
      </c>
      <c r="F588" s="289"/>
      <c r="G588" s="293" t="s">
        <v>1016</v>
      </c>
      <c r="J588" s="293"/>
      <c r="K588" s="293"/>
      <c r="L588" s="294"/>
      <c r="M588" s="294"/>
    </row>
    <row r="589" spans="3:13" ht="14.45" customHeight="1">
      <c r="C589" s="1608"/>
      <c r="E589" s="1002"/>
      <c r="F589" s="289"/>
      <c r="G589" s="289"/>
      <c r="H589" s="289"/>
      <c r="J589" s="289"/>
      <c r="K589" s="289"/>
      <c r="L589" s="289"/>
      <c r="M589" s="289"/>
    </row>
    <row r="590" spans="3:13" ht="14.45" customHeight="1">
      <c r="C590" s="1608"/>
      <c r="E590" s="1595" t="s">
        <v>895</v>
      </c>
      <c r="F590" s="1595"/>
      <c r="G590" s="1584" t="s">
        <v>249</v>
      </c>
      <c r="H590" s="1584"/>
      <c r="I590" s="1585" t="s">
        <v>17</v>
      </c>
      <c r="J590" s="1585"/>
      <c r="L590" s="1584" t="s">
        <v>87</v>
      </c>
      <c r="M590" s="1584"/>
    </row>
    <row r="591" spans="3:13" ht="14.45" customHeight="1">
      <c r="C591" s="1608"/>
      <c r="E591" s="1589" t="s">
        <v>847</v>
      </c>
      <c r="F591" s="1589"/>
      <c r="G591" s="1557" t="s">
        <v>13</v>
      </c>
      <c r="H591" s="1557"/>
      <c r="I591" s="1590" t="s">
        <v>18</v>
      </c>
      <c r="J591" s="1590"/>
      <c r="L591" s="1557" t="s">
        <v>971</v>
      </c>
      <c r="M591" s="1557"/>
    </row>
    <row r="592" spans="3:13" ht="14.45" customHeight="1">
      <c r="C592" s="1608"/>
      <c r="E592" s="999" t="s">
        <v>253</v>
      </c>
      <c r="F592" s="295"/>
      <c r="G592" s="295"/>
      <c r="H592" s="289"/>
      <c r="I592" s="289"/>
      <c r="J592" s="289"/>
      <c r="K592" s="296"/>
      <c r="L592" s="289"/>
      <c r="M592" s="289"/>
    </row>
    <row r="593" spans="3:13" ht="10.5" customHeight="1">
      <c r="C593" s="1608"/>
      <c r="E593" s="1018"/>
      <c r="F593" s="297"/>
      <c r="G593" s="297"/>
      <c r="H593" s="289"/>
      <c r="I593" s="289"/>
      <c r="J593" s="289"/>
      <c r="K593" s="298"/>
      <c r="L593" s="289"/>
      <c r="M593" s="289"/>
    </row>
    <row r="594" spans="3:13" ht="14.45" customHeight="1">
      <c r="C594" s="1608"/>
      <c r="E594" s="1584" t="s">
        <v>1438</v>
      </c>
      <c r="F594" s="1584"/>
      <c r="G594" s="299"/>
      <c r="H594" s="299"/>
      <c r="I594" s="299"/>
      <c r="J594" s="300"/>
      <c r="K594" s="300"/>
      <c r="L594" s="301"/>
      <c r="M594" s="297"/>
    </row>
    <row r="595" spans="3:13" ht="15.95" customHeight="1">
      <c r="C595" s="1608"/>
      <c r="E595" s="1557" t="s">
        <v>14</v>
      </c>
      <c r="F595" s="1557"/>
    </row>
    <row r="596" spans="3:13" ht="15.95" customHeight="1">
      <c r="E596" s="999"/>
      <c r="F596" s="416"/>
    </row>
    <row r="597" spans="3:13" ht="15.95" customHeight="1">
      <c r="E597" s="999"/>
      <c r="F597" s="416"/>
    </row>
    <row r="598" spans="3:13" ht="15.95" customHeight="1">
      <c r="E598" s="999"/>
      <c r="F598" s="416"/>
    </row>
    <row r="599" spans="3:13" ht="15.95" customHeight="1">
      <c r="E599" s="999"/>
      <c r="F599" s="416"/>
    </row>
    <row r="600" spans="3:13" ht="15.95" customHeight="1">
      <c r="E600" s="999"/>
      <c r="F600" s="416"/>
    </row>
    <row r="601" spans="3:13" ht="15.95" customHeight="1">
      <c r="E601" s="999"/>
      <c r="F601" s="416"/>
    </row>
    <row r="602" spans="3:13" ht="15.95" customHeight="1"/>
    <row r="603" spans="3:13" ht="14.45" customHeight="1">
      <c r="C603" s="765" t="s">
        <v>1363</v>
      </c>
      <c r="D603" s="289"/>
      <c r="F603" s="1594" t="s">
        <v>1716</v>
      </c>
      <c r="G603" s="1594"/>
      <c r="H603" s="1594"/>
      <c r="I603" s="1594"/>
      <c r="J603" s="1594"/>
      <c r="K603" s="1594"/>
      <c r="L603" s="1594"/>
      <c r="M603" s="265"/>
    </row>
    <row r="604" spans="3:13" ht="14.45" customHeight="1">
      <c r="C604" s="766"/>
      <c r="E604" s="1579" t="s">
        <v>174</v>
      </c>
      <c r="F604" s="1579"/>
      <c r="G604" s="1579"/>
      <c r="H604" s="1579"/>
      <c r="I604" s="1579"/>
      <c r="J604" s="1579"/>
      <c r="K604" s="1579"/>
      <c r="L604" s="1579"/>
      <c r="M604" s="1579"/>
    </row>
    <row r="605" spans="3:13" ht="14.45" customHeight="1">
      <c r="C605" s="766"/>
      <c r="E605" s="1000" t="s">
        <v>976</v>
      </c>
      <c r="F605" s="267" t="s">
        <v>1364</v>
      </c>
    </row>
    <row r="606" spans="3:13" ht="14.45" customHeight="1">
      <c r="C606" s="766"/>
      <c r="E606" s="1000" t="s">
        <v>978</v>
      </c>
      <c r="F606" s="268" t="s">
        <v>1365</v>
      </c>
    </row>
    <row r="607" spans="3:13" ht="14.45" customHeight="1">
      <c r="C607" s="766"/>
      <c r="E607" s="1000" t="s">
        <v>980</v>
      </c>
      <c r="F607" s="1599" t="s">
        <v>1366</v>
      </c>
      <c r="G607" s="1599"/>
      <c r="H607" s="1599"/>
      <c r="I607" s="1599"/>
      <c r="J607" s="1599"/>
      <c r="K607" s="1599"/>
      <c r="L607" s="1599"/>
      <c r="M607" s="1599"/>
    </row>
    <row r="608" spans="3:13" ht="14.45" customHeight="1">
      <c r="C608" s="766"/>
      <c r="E608" s="1000" t="s">
        <v>982</v>
      </c>
      <c r="F608" s="1599" t="s">
        <v>1367</v>
      </c>
      <c r="G608" s="1599"/>
      <c r="H608" s="1599"/>
      <c r="I608" s="1599"/>
      <c r="J608" s="1599"/>
      <c r="K608" s="1599"/>
      <c r="L608" s="1599"/>
      <c r="M608" s="1599"/>
    </row>
    <row r="609" spans="3:13" ht="14.45" customHeight="1">
      <c r="C609" s="766"/>
      <c r="E609" s="1000" t="s">
        <v>1368</v>
      </c>
      <c r="F609" s="271"/>
      <c r="G609" s="271"/>
      <c r="H609" s="271"/>
      <c r="I609" s="271"/>
      <c r="J609" s="271"/>
      <c r="K609" s="271"/>
      <c r="L609" s="271"/>
      <c r="M609" s="271"/>
    </row>
    <row r="610" spans="3:13" ht="14.45" customHeight="1">
      <c r="C610" s="766"/>
      <c r="E610" s="1577" t="s">
        <v>985</v>
      </c>
      <c r="F610" s="272" t="s">
        <v>625</v>
      </c>
      <c r="G610" s="1601" t="s">
        <v>627</v>
      </c>
      <c r="H610" s="272" t="s">
        <v>628</v>
      </c>
      <c r="I610" s="1577" t="s">
        <v>986</v>
      </c>
      <c r="J610" s="1603" t="s">
        <v>1717</v>
      </c>
      <c r="K610" s="1603"/>
      <c r="L610" s="1603"/>
      <c r="M610" s="1604"/>
    </row>
    <row r="611" spans="3:13" ht="14.45" customHeight="1">
      <c r="C611" s="766"/>
      <c r="E611" s="1609"/>
      <c r="F611" s="383" t="s">
        <v>626</v>
      </c>
      <c r="G611" s="1666"/>
      <c r="H611" s="383" t="s">
        <v>629</v>
      </c>
      <c r="I611" s="1609"/>
      <c r="J611" s="274" t="s">
        <v>270</v>
      </c>
      <c r="K611" s="275" t="s">
        <v>271</v>
      </c>
      <c r="L611" s="276" t="s">
        <v>272</v>
      </c>
      <c r="M611" s="277" t="s">
        <v>15</v>
      </c>
    </row>
    <row r="612" spans="3:13" ht="14.45" customHeight="1">
      <c r="C612" s="766"/>
      <c r="E612" s="278" t="s">
        <v>1369</v>
      </c>
      <c r="F612" s="1563" t="s">
        <v>1370</v>
      </c>
      <c r="G612" s="1563" t="s">
        <v>1499</v>
      </c>
      <c r="H612" s="1563" t="s">
        <v>1371</v>
      </c>
      <c r="I612" s="306" t="s">
        <v>1372</v>
      </c>
      <c r="J612" s="1558">
        <f>'LBP NO. 2'!M936</f>
        <v>1090842</v>
      </c>
      <c r="K612" s="1558">
        <f>'LBP NO. 2'!M945</f>
        <v>339000</v>
      </c>
      <c r="L612" s="1558">
        <f>'LBP NO. 2'!M950</f>
        <v>0</v>
      </c>
      <c r="M612" s="1558">
        <f>SUM(J612:L671)</f>
        <v>1429842</v>
      </c>
    </row>
    <row r="613" spans="3:13" ht="20.25" customHeight="1">
      <c r="C613" s="766"/>
      <c r="E613" s="279"/>
      <c r="F613" s="1561"/>
      <c r="G613" s="1561"/>
      <c r="H613" s="1561"/>
      <c r="I613" s="308"/>
      <c r="J613" s="1559"/>
      <c r="K613" s="1559"/>
      <c r="L613" s="1559"/>
      <c r="M613" s="1559"/>
    </row>
    <row r="614" spans="3:13" ht="14.45" customHeight="1">
      <c r="C614" s="766"/>
      <c r="E614" s="279"/>
      <c r="F614" s="1561"/>
      <c r="G614" s="763"/>
      <c r="H614" s="1561"/>
      <c r="I614" s="308"/>
      <c r="J614" s="1559"/>
      <c r="K614" s="1559"/>
      <c r="L614" s="1559"/>
      <c r="M614" s="1559"/>
    </row>
    <row r="615" spans="3:13" ht="14.45" customHeight="1">
      <c r="C615" s="766"/>
      <c r="E615" s="279"/>
      <c r="F615" s="308" t="s">
        <v>1373</v>
      </c>
      <c r="G615" s="1561" t="s">
        <v>1501</v>
      </c>
      <c r="H615" s="763"/>
      <c r="I615" s="308" t="s">
        <v>1372</v>
      </c>
      <c r="J615" s="1559"/>
      <c r="K615" s="1559"/>
      <c r="L615" s="1559"/>
      <c r="M615" s="1559"/>
    </row>
    <row r="616" spans="3:13" ht="22.5" customHeight="1">
      <c r="C616" s="766"/>
      <c r="E616" s="279"/>
      <c r="F616" s="763"/>
      <c r="G616" s="1561"/>
      <c r="H616" s="763"/>
      <c r="I616" s="763"/>
      <c r="J616" s="1559"/>
      <c r="K616" s="1559"/>
      <c r="L616" s="1559"/>
      <c r="M616" s="1559"/>
    </row>
    <row r="617" spans="3:13" ht="22.5" customHeight="1">
      <c r="C617" s="766"/>
      <c r="E617" s="279"/>
      <c r="F617" s="763"/>
      <c r="G617" s="760"/>
      <c r="H617" s="763"/>
      <c r="I617" s="763"/>
      <c r="J617" s="1559"/>
      <c r="K617" s="1559"/>
      <c r="L617" s="1559"/>
      <c r="M617" s="1559"/>
    </row>
    <row r="618" spans="3:13" ht="15.75" customHeight="1">
      <c r="C618" s="766"/>
      <c r="E618" s="279"/>
      <c r="F618" s="763"/>
      <c r="G618" s="1561" t="s">
        <v>1500</v>
      </c>
      <c r="H618" s="1561" t="s">
        <v>1502</v>
      </c>
      <c r="I618" s="763"/>
      <c r="J618" s="1559"/>
      <c r="K618" s="1559"/>
      <c r="L618" s="1559"/>
      <c r="M618" s="1559"/>
    </row>
    <row r="619" spans="3:13" ht="17.25" customHeight="1">
      <c r="C619" s="766"/>
      <c r="E619" s="279"/>
      <c r="F619" s="763"/>
      <c r="G619" s="1561"/>
      <c r="H619" s="1561"/>
      <c r="I619" s="763"/>
      <c r="J619" s="1559"/>
      <c r="K619" s="1559"/>
      <c r="L619" s="1559"/>
      <c r="M619" s="1559"/>
    </row>
    <row r="620" spans="3:13" ht="17.25" customHeight="1">
      <c r="C620" s="766"/>
      <c r="E620" s="279"/>
      <c r="F620" s="763"/>
      <c r="G620" s="760"/>
      <c r="H620" s="1561"/>
      <c r="I620" s="763"/>
      <c r="J620" s="1559"/>
      <c r="K620" s="1559"/>
      <c r="L620" s="1559"/>
      <c r="M620" s="1559"/>
    </row>
    <row r="621" spans="3:13" ht="17.25" customHeight="1">
      <c r="C621" s="766"/>
      <c r="E621" s="279"/>
      <c r="F621" s="763" t="s">
        <v>1498</v>
      </c>
      <c r="G621" s="760"/>
      <c r="H621" s="763"/>
      <c r="I621" s="763"/>
      <c r="J621" s="1559"/>
      <c r="K621" s="1559"/>
      <c r="L621" s="1559"/>
      <c r="M621" s="1559"/>
    </row>
    <row r="622" spans="3:13" ht="8.25" customHeight="1">
      <c r="C622" s="766"/>
      <c r="E622" s="280"/>
      <c r="F622" s="288"/>
      <c r="G622" s="764"/>
      <c r="H622" s="764"/>
      <c r="I622" s="288"/>
      <c r="J622" s="1559"/>
      <c r="K622" s="1559"/>
      <c r="L622" s="1559"/>
      <c r="M622" s="1559"/>
    </row>
    <row r="623" spans="3:13" ht="14.45" customHeight="1">
      <c r="C623" s="766"/>
      <c r="E623" s="278" t="s">
        <v>1369</v>
      </c>
      <c r="F623" s="1563" t="s">
        <v>1374</v>
      </c>
      <c r="G623" s="1667" t="s">
        <v>1375</v>
      </c>
      <c r="H623" s="1667" t="s">
        <v>1376</v>
      </c>
      <c r="I623" s="306" t="s">
        <v>1377</v>
      </c>
      <c r="J623" s="1559"/>
      <c r="K623" s="1559"/>
      <c r="L623" s="1559"/>
      <c r="M623" s="1559"/>
    </row>
    <row r="624" spans="3:13" ht="26.25" customHeight="1">
      <c r="C624" s="766"/>
      <c r="E624" s="279"/>
      <c r="F624" s="1561"/>
      <c r="G624" s="1562"/>
      <c r="H624" s="1562"/>
      <c r="I624" s="308"/>
      <c r="J624" s="1559"/>
      <c r="K624" s="1559"/>
      <c r="L624" s="1559"/>
      <c r="M624" s="1559"/>
    </row>
    <row r="625" spans="3:13" ht="14.45" customHeight="1">
      <c r="C625" s="766"/>
      <c r="E625" s="279"/>
      <c r="F625" s="308"/>
      <c r="G625" s="1562"/>
      <c r="H625" s="1562"/>
      <c r="I625" s="308"/>
      <c r="J625" s="1559"/>
      <c r="K625" s="1559"/>
      <c r="L625" s="1559"/>
      <c r="M625" s="1559"/>
    </row>
    <row r="626" spans="3:13" ht="14.45" customHeight="1">
      <c r="C626" s="766"/>
      <c r="E626" s="279"/>
      <c r="F626" s="1561" t="s">
        <v>1378</v>
      </c>
      <c r="G626" s="1562"/>
      <c r="H626" s="1562"/>
      <c r="I626" s="308" t="s">
        <v>1372</v>
      </c>
      <c r="J626" s="1559"/>
      <c r="K626" s="1559"/>
      <c r="L626" s="1559"/>
      <c r="M626" s="1559"/>
    </row>
    <row r="627" spans="3:13" ht="25.5" customHeight="1">
      <c r="C627" s="766"/>
      <c r="E627" s="279"/>
      <c r="F627" s="1561"/>
      <c r="G627" s="1562"/>
      <c r="H627" s="1562"/>
      <c r="I627" s="308"/>
      <c r="J627" s="1559"/>
      <c r="K627" s="1559"/>
      <c r="L627" s="1559"/>
      <c r="M627" s="1559"/>
    </row>
    <row r="628" spans="3:13" ht="14.45" customHeight="1">
      <c r="C628" s="766"/>
      <c r="E628" s="279"/>
      <c r="F628" s="308"/>
      <c r="G628" s="1562"/>
      <c r="H628" s="1562"/>
      <c r="I628" s="308"/>
      <c r="J628" s="1559"/>
      <c r="K628" s="1559"/>
      <c r="L628" s="1559"/>
      <c r="M628" s="1559"/>
    </row>
    <row r="629" spans="3:13" ht="14.45" customHeight="1">
      <c r="C629" s="766"/>
      <c r="E629" s="279"/>
      <c r="F629" s="1561" t="s">
        <v>1379</v>
      </c>
      <c r="G629" s="1562"/>
      <c r="H629" s="1562"/>
      <c r="I629" s="1562" t="s">
        <v>1380</v>
      </c>
      <c r="J629" s="1559"/>
      <c r="K629" s="1559"/>
      <c r="L629" s="1559"/>
      <c r="M629" s="1559"/>
    </row>
    <row r="630" spans="3:13" ht="22.5" customHeight="1">
      <c r="C630" s="1608"/>
      <c r="E630" s="279"/>
      <c r="F630" s="1561"/>
      <c r="G630" s="1562"/>
      <c r="H630" s="1562"/>
      <c r="I630" s="1562"/>
      <c r="J630" s="1559"/>
      <c r="K630" s="1559"/>
      <c r="L630" s="1559"/>
      <c r="M630" s="1559"/>
    </row>
    <row r="631" spans="3:13" ht="14.45" customHeight="1">
      <c r="C631" s="1608"/>
      <c r="E631" s="279"/>
      <c r="F631" s="287"/>
      <c r="G631" s="1562"/>
      <c r="H631" s="1562"/>
      <c r="I631" s="308"/>
      <c r="J631" s="1559"/>
      <c r="K631" s="1559"/>
      <c r="L631" s="1559"/>
      <c r="M631" s="1559"/>
    </row>
    <row r="632" spans="3:13" ht="14.45" customHeight="1">
      <c r="C632" s="1608"/>
      <c r="E632" s="279"/>
      <c r="F632" s="1561" t="s">
        <v>1381</v>
      </c>
      <c r="G632" s="1562"/>
      <c r="H632" s="1562"/>
      <c r="I632" s="1562" t="s">
        <v>1382</v>
      </c>
      <c r="J632" s="1559"/>
      <c r="K632" s="1559"/>
      <c r="L632" s="1559"/>
      <c r="M632" s="1559"/>
    </row>
    <row r="633" spans="3:13" ht="22.5" customHeight="1">
      <c r="C633" s="1608"/>
      <c r="E633" s="279"/>
      <c r="F633" s="1561"/>
      <c r="G633" s="1562"/>
      <c r="H633" s="1562"/>
      <c r="I633" s="1562"/>
      <c r="J633" s="1559"/>
      <c r="K633" s="1559"/>
      <c r="L633" s="1559"/>
      <c r="M633" s="1559"/>
    </row>
    <row r="634" spans="3:13" ht="14.45" customHeight="1">
      <c r="C634" s="1608"/>
      <c r="E634" s="279"/>
      <c r="F634" s="287"/>
      <c r="G634" s="1562"/>
      <c r="H634" s="1562"/>
      <c r="I634" s="308"/>
      <c r="J634" s="1559"/>
      <c r="K634" s="1559"/>
      <c r="L634" s="1559"/>
      <c r="M634" s="1559"/>
    </row>
    <row r="635" spans="3:13" ht="14.45" customHeight="1">
      <c r="C635" s="1608"/>
      <c r="E635" s="279"/>
      <c r="F635" s="1561" t="s">
        <v>1383</v>
      </c>
      <c r="G635" s="1562"/>
      <c r="H635" s="1562"/>
      <c r="I635" s="1562" t="s">
        <v>1384</v>
      </c>
      <c r="J635" s="1559"/>
      <c r="K635" s="1559"/>
      <c r="L635" s="1559"/>
      <c r="M635" s="1559"/>
    </row>
    <row r="636" spans="3:13" ht="22.5" customHeight="1">
      <c r="C636" s="1608"/>
      <c r="E636" s="279"/>
      <c r="F636" s="1561"/>
      <c r="G636" s="1562"/>
      <c r="H636" s="1562"/>
      <c r="I636" s="1562"/>
      <c r="J636" s="1559"/>
      <c r="K636" s="1559"/>
      <c r="L636" s="1559"/>
      <c r="M636" s="1559"/>
    </row>
    <row r="637" spans="3:13" ht="22.5" customHeight="1">
      <c r="C637" s="1608"/>
      <c r="E637" s="280"/>
      <c r="F637" s="991"/>
      <c r="G637" s="767"/>
      <c r="H637" s="767"/>
      <c r="I637" s="488"/>
      <c r="J637" s="1559"/>
      <c r="K637" s="1559"/>
      <c r="L637" s="1559"/>
      <c r="M637" s="1559"/>
    </row>
    <row r="638" spans="3:13" ht="22.5" customHeight="1">
      <c r="C638" s="1608"/>
      <c r="E638" s="279"/>
      <c r="F638" s="1561" t="s">
        <v>1503</v>
      </c>
      <c r="G638" s="1562" t="s">
        <v>1504</v>
      </c>
      <c r="H638" s="495" t="s">
        <v>1505</v>
      </c>
      <c r="I638" s="762"/>
      <c r="J638" s="1559"/>
      <c r="K638" s="1559"/>
      <c r="L638" s="1559"/>
      <c r="M638" s="1559"/>
    </row>
    <row r="639" spans="3:13" ht="22.5" customHeight="1">
      <c r="C639" s="1608"/>
      <c r="E639" s="279"/>
      <c r="F639" s="1561"/>
      <c r="G639" s="1562"/>
      <c r="H639" s="495"/>
      <c r="I639" s="762"/>
      <c r="J639" s="1559"/>
      <c r="K639" s="1559"/>
      <c r="L639" s="1559"/>
      <c r="M639" s="1559"/>
    </row>
    <row r="640" spans="3:13" ht="14.45" customHeight="1">
      <c r="C640" s="1608"/>
      <c r="E640" s="280"/>
      <c r="F640" s="314"/>
      <c r="G640" s="767"/>
      <c r="H640" s="767"/>
      <c r="I640" s="288"/>
      <c r="J640" s="1559"/>
      <c r="K640" s="1559"/>
      <c r="L640" s="1559"/>
      <c r="M640" s="1559"/>
    </row>
    <row r="641" spans="3:13" ht="14.45" customHeight="1">
      <c r="C641" s="1608"/>
      <c r="E641" s="278" t="s">
        <v>1369</v>
      </c>
      <c r="F641" s="1563" t="s">
        <v>1385</v>
      </c>
      <c r="G641" s="1563" t="s">
        <v>1386</v>
      </c>
      <c r="H641" s="1563" t="s">
        <v>1387</v>
      </c>
      <c r="I641" s="1562" t="s">
        <v>1388</v>
      </c>
      <c r="J641" s="1559"/>
      <c r="K641" s="1559"/>
      <c r="L641" s="1559"/>
      <c r="M641" s="1559"/>
    </row>
    <row r="642" spans="3:13" ht="24" customHeight="1">
      <c r="C642" s="1608"/>
      <c r="E642" s="279"/>
      <c r="F642" s="1561"/>
      <c r="G642" s="1561"/>
      <c r="H642" s="1561"/>
      <c r="I642" s="1562"/>
      <c r="J642" s="1559"/>
      <c r="K642" s="1559"/>
      <c r="L642" s="1559"/>
      <c r="M642" s="1559"/>
    </row>
    <row r="643" spans="3:13" ht="14.45" customHeight="1">
      <c r="C643" s="1608"/>
      <c r="E643" s="279"/>
      <c r="F643" s="287"/>
      <c r="G643" s="1561"/>
      <c r="H643" s="1561"/>
      <c r="I643" s="487"/>
      <c r="J643" s="1559"/>
      <c r="K643" s="1559"/>
      <c r="L643" s="1559"/>
      <c r="M643" s="1559"/>
    </row>
    <row r="644" spans="3:13" ht="14.45" customHeight="1">
      <c r="C644" s="1608"/>
      <c r="E644" s="279"/>
      <c r="F644" s="287"/>
      <c r="G644" s="1561"/>
      <c r="H644" s="1561"/>
      <c r="I644" s="487"/>
      <c r="J644" s="1559"/>
      <c r="K644" s="1559"/>
      <c r="L644" s="1559"/>
      <c r="M644" s="1559"/>
    </row>
    <row r="645" spans="3:13" ht="14.45" customHeight="1">
      <c r="C645" s="1608"/>
      <c r="E645" s="279"/>
      <c r="F645" s="760" t="s">
        <v>1506</v>
      </c>
      <c r="G645" s="760"/>
      <c r="H645" s="760"/>
      <c r="I645" s="762"/>
      <c r="J645" s="1559"/>
      <c r="K645" s="1559"/>
      <c r="L645" s="1559"/>
      <c r="M645" s="1559"/>
    </row>
    <row r="646" spans="3:13" ht="14.45" customHeight="1">
      <c r="C646" s="1608"/>
      <c r="E646" s="279"/>
      <c r="F646" s="760"/>
      <c r="G646" s="760"/>
      <c r="H646" s="760"/>
      <c r="I646" s="762"/>
      <c r="J646" s="1559"/>
      <c r="K646" s="1559"/>
      <c r="L646" s="1559"/>
      <c r="M646" s="1559"/>
    </row>
    <row r="647" spans="3:13" ht="14.45" customHeight="1">
      <c r="C647" s="1608"/>
      <c r="E647" s="279"/>
      <c r="F647" s="760" t="s">
        <v>1507</v>
      </c>
      <c r="G647" s="1561" t="s">
        <v>1508</v>
      </c>
      <c r="H647" s="1561" t="s">
        <v>1509</v>
      </c>
      <c r="I647" s="1561"/>
      <c r="J647" s="1559"/>
      <c r="K647" s="1559"/>
      <c r="L647" s="1559"/>
      <c r="M647" s="1559"/>
    </row>
    <row r="648" spans="3:13" ht="14.45" customHeight="1">
      <c r="C648" s="1608"/>
      <c r="E648" s="279"/>
      <c r="F648" s="760"/>
      <c r="G648" s="1561"/>
      <c r="H648" s="1561"/>
      <c r="I648" s="1561"/>
      <c r="J648" s="1559"/>
      <c r="K648" s="1559"/>
      <c r="L648" s="1559"/>
      <c r="M648" s="1559"/>
    </row>
    <row r="649" spans="3:13" ht="25.5" customHeight="1">
      <c r="C649" s="1608"/>
      <c r="E649" s="279"/>
      <c r="F649" s="760"/>
      <c r="G649" s="1561"/>
      <c r="H649" s="1561"/>
      <c r="I649" s="1561"/>
      <c r="J649" s="1559"/>
      <c r="K649" s="1559"/>
      <c r="L649" s="1559"/>
      <c r="M649" s="1559"/>
    </row>
    <row r="650" spans="3:13" ht="14.45" customHeight="1">
      <c r="C650" s="1608"/>
      <c r="E650" s="279"/>
      <c r="F650" s="760"/>
      <c r="G650" s="760"/>
      <c r="H650" s="760"/>
      <c r="I650" s="762"/>
      <c r="J650" s="1559"/>
      <c r="K650" s="1559"/>
      <c r="L650" s="1559"/>
      <c r="M650" s="1559"/>
    </row>
    <row r="651" spans="3:13" ht="22.5" customHeight="1">
      <c r="C651" s="1608"/>
      <c r="E651" s="279"/>
      <c r="F651" s="762" t="s">
        <v>1390</v>
      </c>
      <c r="G651" s="495" t="s">
        <v>1389</v>
      </c>
      <c r="H651" s="1561"/>
      <c r="I651" s="487"/>
      <c r="J651" s="1559"/>
      <c r="K651" s="1559"/>
      <c r="L651" s="1559"/>
      <c r="M651" s="1559"/>
    </row>
    <row r="652" spans="3:13" ht="14.45" customHeight="1">
      <c r="C652" s="1608"/>
      <c r="E652" s="279"/>
      <c r="F652" s="287" t="s">
        <v>1510</v>
      </c>
      <c r="G652" s="308" t="s">
        <v>1511</v>
      </c>
      <c r="H652" s="1561"/>
      <c r="I652" s="487"/>
      <c r="J652" s="1559"/>
      <c r="K652" s="1559"/>
      <c r="L652" s="1559"/>
      <c r="M652" s="1559"/>
    </row>
    <row r="653" spans="3:13" ht="14.45" customHeight="1">
      <c r="C653" s="1608"/>
      <c r="E653" s="280"/>
      <c r="F653" s="314"/>
      <c r="G653" s="288"/>
      <c r="H653" s="288"/>
      <c r="I653" s="288"/>
      <c r="J653" s="1559"/>
      <c r="K653" s="1559"/>
      <c r="L653" s="1559"/>
      <c r="M653" s="1559"/>
    </row>
    <row r="654" spans="3:13" ht="14.45" customHeight="1">
      <c r="C654" s="1608"/>
      <c r="E654" s="278" t="s">
        <v>1369</v>
      </c>
      <c r="F654" s="1563" t="s">
        <v>1391</v>
      </c>
      <c r="G654" s="1667" t="s">
        <v>1392</v>
      </c>
      <c r="H654" s="1563" t="s">
        <v>1393</v>
      </c>
      <c r="I654" s="306" t="s">
        <v>1372</v>
      </c>
      <c r="J654" s="1559"/>
      <c r="K654" s="1559"/>
      <c r="L654" s="1559"/>
      <c r="M654" s="1559"/>
    </row>
    <row r="655" spans="3:13" ht="14.45" customHeight="1">
      <c r="C655" s="1608"/>
      <c r="E655" s="279"/>
      <c r="F655" s="1561"/>
      <c r="G655" s="1562"/>
      <c r="H655" s="1561"/>
      <c r="I655" s="308"/>
      <c r="J655" s="1559"/>
      <c r="K655" s="1559"/>
      <c r="L655" s="1559"/>
      <c r="M655" s="1559"/>
    </row>
    <row r="656" spans="3:13" ht="14.45" customHeight="1">
      <c r="C656" s="1608"/>
      <c r="E656" s="279"/>
      <c r="F656" s="1561"/>
      <c r="G656" s="1562"/>
      <c r="H656" s="1561"/>
      <c r="I656" s="308"/>
      <c r="J656" s="1559"/>
      <c r="K656" s="1559"/>
      <c r="L656" s="1559"/>
      <c r="M656" s="1559"/>
    </row>
    <row r="657" spans="3:13" ht="14.45" customHeight="1">
      <c r="C657" s="1608"/>
      <c r="E657" s="279"/>
      <c r="F657" s="287"/>
      <c r="G657" s="1562"/>
      <c r="H657" s="1561"/>
      <c r="I657" s="308"/>
      <c r="J657" s="1559"/>
      <c r="K657" s="1559"/>
      <c r="L657" s="1559"/>
      <c r="M657" s="1559"/>
    </row>
    <row r="658" spans="3:13" ht="14.45" customHeight="1">
      <c r="C658" s="1608"/>
      <c r="E658" s="279"/>
      <c r="F658" s="287" t="s">
        <v>1394</v>
      </c>
      <c r="G658" s="1562"/>
      <c r="H658" s="1561"/>
      <c r="I658" s="308" t="s">
        <v>1395</v>
      </c>
      <c r="J658" s="1559"/>
      <c r="K658" s="1559"/>
      <c r="L658" s="1559"/>
      <c r="M658" s="1559"/>
    </row>
    <row r="659" spans="3:13" ht="15.95" customHeight="1">
      <c r="C659" s="1608"/>
      <c r="E659" s="279"/>
      <c r="F659" s="287"/>
      <c r="G659" s="1562"/>
      <c r="H659" s="1561"/>
      <c r="I659" s="308"/>
      <c r="J659" s="1559"/>
      <c r="K659" s="1559"/>
      <c r="L659" s="1559"/>
      <c r="M659" s="1559"/>
    </row>
    <row r="660" spans="3:13" ht="15.95" customHeight="1">
      <c r="C660" s="1608"/>
      <c r="E660" s="280"/>
      <c r="F660" s="314"/>
      <c r="G660" s="488"/>
      <c r="H660" s="314"/>
      <c r="I660" s="288"/>
      <c r="J660" s="1559"/>
      <c r="K660" s="1559"/>
      <c r="L660" s="1559"/>
      <c r="M660" s="1559"/>
    </row>
    <row r="661" spans="3:13" ht="14.45" customHeight="1">
      <c r="C661" s="1607" t="s">
        <v>965</v>
      </c>
      <c r="E661" s="278" t="s">
        <v>1369</v>
      </c>
      <c r="F661" s="1574" t="s">
        <v>1396</v>
      </c>
      <c r="G661" s="1563" t="s">
        <v>1397</v>
      </c>
      <c r="H661" s="1574" t="s">
        <v>1393</v>
      </c>
      <c r="I661" s="1563" t="s">
        <v>1398</v>
      </c>
      <c r="J661" s="1559"/>
      <c r="K661" s="1559"/>
      <c r="L661" s="1559"/>
      <c r="M661" s="1559"/>
    </row>
    <row r="662" spans="3:13" ht="14.45" customHeight="1">
      <c r="C662" s="1608"/>
      <c r="E662" s="281"/>
      <c r="F662" s="1575"/>
      <c r="G662" s="1561"/>
      <c r="H662" s="1575"/>
      <c r="I662" s="1561"/>
      <c r="J662" s="1559"/>
      <c r="K662" s="1559"/>
      <c r="L662" s="1559"/>
      <c r="M662" s="1559"/>
    </row>
    <row r="663" spans="3:13" ht="63" customHeight="1">
      <c r="C663" s="1608"/>
      <c r="E663" s="281"/>
      <c r="F663" s="1575"/>
      <c r="G663" s="1561"/>
      <c r="H663" s="1575"/>
      <c r="I663" s="1561"/>
      <c r="J663" s="1559"/>
      <c r="K663" s="1559"/>
      <c r="L663" s="1559"/>
      <c r="M663" s="1559"/>
    </row>
    <row r="664" spans="3:13" ht="15" customHeight="1">
      <c r="C664" s="1608"/>
      <c r="E664" s="281"/>
      <c r="F664" s="761"/>
      <c r="G664" s="760"/>
      <c r="H664" s="761"/>
      <c r="I664" s="760"/>
      <c r="J664" s="1559"/>
      <c r="K664" s="1559"/>
      <c r="L664" s="1559"/>
      <c r="M664" s="1559"/>
    </row>
    <row r="665" spans="3:13" ht="17.100000000000001" customHeight="1">
      <c r="C665" s="1608"/>
      <c r="E665" s="281"/>
      <c r="F665" s="1575" t="s">
        <v>1512</v>
      </c>
      <c r="G665" s="1561" t="s">
        <v>1513</v>
      </c>
      <c r="H665" s="1575" t="s">
        <v>1514</v>
      </c>
      <c r="I665" s="760" t="s">
        <v>1515</v>
      </c>
      <c r="J665" s="1559"/>
      <c r="K665" s="1559"/>
      <c r="L665" s="1559"/>
      <c r="M665" s="1559"/>
    </row>
    <row r="666" spans="3:13" ht="17.100000000000001" customHeight="1">
      <c r="C666" s="1608"/>
      <c r="E666" s="281"/>
      <c r="F666" s="1575"/>
      <c r="G666" s="1561"/>
      <c r="H666" s="1575"/>
      <c r="I666" s="760"/>
      <c r="J666" s="1559"/>
      <c r="K666" s="1559"/>
      <c r="L666" s="1559"/>
      <c r="M666" s="1559"/>
    </row>
    <row r="667" spans="3:13" ht="17.100000000000001" customHeight="1">
      <c r="C667" s="1608"/>
      <c r="E667" s="281"/>
      <c r="F667" s="1575"/>
      <c r="G667" s="1561"/>
      <c r="H667" s="761"/>
      <c r="I667" s="760"/>
      <c r="J667" s="1559"/>
      <c r="K667" s="1559"/>
      <c r="L667" s="1559"/>
      <c r="M667" s="1559"/>
    </row>
    <row r="668" spans="3:13" ht="15" customHeight="1">
      <c r="C668" s="1608"/>
      <c r="E668" s="421"/>
      <c r="F668" s="992"/>
      <c r="G668" s="991"/>
      <c r="H668" s="992"/>
      <c r="I668" s="991"/>
      <c r="J668" s="1559"/>
      <c r="K668" s="1559"/>
      <c r="L668" s="1559"/>
      <c r="M668" s="1559"/>
    </row>
    <row r="669" spans="3:13" ht="14.45" customHeight="1">
      <c r="C669" s="1608"/>
      <c r="E669" s="278" t="s">
        <v>1369</v>
      </c>
      <c r="F669" s="1574" t="s">
        <v>1399</v>
      </c>
      <c r="G669" s="1667" t="s">
        <v>1400</v>
      </c>
      <c r="H669" s="1667" t="s">
        <v>1401</v>
      </c>
      <c r="I669" s="306" t="s">
        <v>1402</v>
      </c>
      <c r="J669" s="1559"/>
      <c r="K669" s="1559"/>
      <c r="L669" s="1559"/>
      <c r="M669" s="1559"/>
    </row>
    <row r="670" spans="3:13" ht="30.75" customHeight="1">
      <c r="C670" s="1608"/>
      <c r="E670" s="279"/>
      <c r="F670" s="1575"/>
      <c r="G670" s="1562"/>
      <c r="H670" s="1562"/>
      <c r="I670" s="308"/>
      <c r="J670" s="1559"/>
      <c r="K670" s="1559"/>
      <c r="L670" s="1559"/>
      <c r="M670" s="1559"/>
    </row>
    <row r="671" spans="3:13" ht="14.45" customHeight="1">
      <c r="C671" s="1608"/>
      <c r="E671" s="279"/>
      <c r="F671" s="407"/>
      <c r="G671" s="1562"/>
      <c r="H671" s="1562"/>
      <c r="I671" s="1561" t="s">
        <v>1403</v>
      </c>
      <c r="J671" s="1559"/>
      <c r="K671" s="1559"/>
      <c r="L671" s="1559"/>
      <c r="M671" s="1559"/>
    </row>
    <row r="672" spans="3:13" ht="24.75" customHeight="1">
      <c r="C672" s="1608"/>
      <c r="E672" s="279"/>
      <c r="F672" s="407" t="s">
        <v>1516</v>
      </c>
      <c r="G672" s="1562"/>
      <c r="H672" s="1562"/>
      <c r="I672" s="1561"/>
      <c r="J672" s="1560"/>
      <c r="K672" s="1560"/>
      <c r="L672" s="1560"/>
      <c r="M672" s="1560"/>
    </row>
    <row r="673" spans="3:13" ht="20.100000000000001" customHeight="1" thickBot="1">
      <c r="C673" s="1608"/>
      <c r="E673" s="410"/>
      <c r="F673" s="411"/>
      <c r="G673" s="489"/>
      <c r="H673" s="489"/>
      <c r="I673" s="490"/>
      <c r="J673" s="491">
        <f>SUM(J612:J672)</f>
        <v>1090842</v>
      </c>
      <c r="K673" s="491">
        <f>SUM(K612:K672)</f>
        <v>339000</v>
      </c>
      <c r="L673" s="491">
        <f>SUM(L612:L672)</f>
        <v>0</v>
      </c>
      <c r="M673" s="492">
        <f>SUM(M612:M672)</f>
        <v>1429842</v>
      </c>
    </row>
    <row r="674" spans="3:13" ht="9" customHeight="1" thickTop="1">
      <c r="C674" s="1608"/>
      <c r="E674" s="1002"/>
      <c r="F674" s="290"/>
      <c r="G674" s="290"/>
      <c r="H674" s="290"/>
      <c r="I674" s="290"/>
      <c r="J674" s="291"/>
      <c r="K674" s="291"/>
      <c r="L674" s="291"/>
      <c r="M674" s="291"/>
    </row>
    <row r="675" spans="3:13" ht="14.45" customHeight="1">
      <c r="C675" s="1608"/>
      <c r="E675" s="1002" t="s">
        <v>1015</v>
      </c>
      <c r="F675" s="289"/>
      <c r="G675" s="292" t="s">
        <v>1016</v>
      </c>
      <c r="H675" s="292"/>
      <c r="J675" s="293"/>
      <c r="K675" s="293"/>
      <c r="L675" s="294"/>
      <c r="M675" s="294"/>
    </row>
    <row r="676" spans="3:13" ht="14.45" customHeight="1">
      <c r="C676" s="1608"/>
      <c r="E676" s="1002"/>
      <c r="F676" s="289"/>
      <c r="G676" s="289"/>
      <c r="H676" s="289"/>
      <c r="J676" s="289"/>
      <c r="K676" s="289"/>
      <c r="L676" s="289"/>
      <c r="M676" s="289"/>
    </row>
    <row r="677" spans="3:13" ht="14.45" customHeight="1">
      <c r="C677" s="1608"/>
      <c r="E677" s="1584" t="s">
        <v>894</v>
      </c>
      <c r="F677" s="1584"/>
      <c r="G677" s="1584" t="s">
        <v>249</v>
      </c>
      <c r="H677" s="1584"/>
      <c r="I677" s="1585" t="s">
        <v>17</v>
      </c>
      <c r="J677" s="1585"/>
      <c r="L677" s="1584" t="s">
        <v>87</v>
      </c>
      <c r="M677" s="1584"/>
    </row>
    <row r="678" spans="3:13" ht="14.45" customHeight="1">
      <c r="C678" s="1608"/>
      <c r="E678" s="1557" t="s">
        <v>892</v>
      </c>
      <c r="F678" s="1557"/>
      <c r="G678" s="1557" t="s">
        <v>13</v>
      </c>
      <c r="H678" s="1557"/>
      <c r="I678" s="1590" t="s">
        <v>18</v>
      </c>
      <c r="J678" s="1590"/>
      <c r="L678" s="1557" t="s">
        <v>971</v>
      </c>
      <c r="M678" s="1557"/>
    </row>
    <row r="679" spans="3:13" ht="14.45" customHeight="1">
      <c r="C679" s="1608"/>
      <c r="E679" s="999" t="s">
        <v>253</v>
      </c>
      <c r="F679" s="295"/>
      <c r="G679" s="295"/>
      <c r="H679" s="289"/>
      <c r="I679" s="289"/>
      <c r="J679" s="289"/>
      <c r="K679" s="296"/>
      <c r="L679" s="289"/>
      <c r="M679" s="289"/>
    </row>
    <row r="680" spans="3:13" ht="14.45" customHeight="1">
      <c r="C680" s="1608"/>
      <c r="E680" s="1018"/>
      <c r="F680" s="297"/>
      <c r="G680" s="297"/>
      <c r="H680" s="289"/>
      <c r="I680" s="289"/>
      <c r="J680" s="289"/>
      <c r="K680" s="298"/>
      <c r="L680" s="289"/>
      <c r="M680" s="289"/>
    </row>
    <row r="681" spans="3:13" ht="14.45" customHeight="1">
      <c r="C681" s="1608"/>
      <c r="E681" s="1584" t="s">
        <v>1438</v>
      </c>
      <c r="F681" s="1584"/>
      <c r="G681" s="299"/>
      <c r="H681" s="299"/>
      <c r="I681" s="299"/>
      <c r="J681" s="300"/>
      <c r="K681" s="300"/>
      <c r="L681" s="301"/>
      <c r="M681" s="297"/>
    </row>
    <row r="682" spans="3:13" ht="14.45" customHeight="1">
      <c r="C682" s="1608"/>
      <c r="E682" s="1557" t="s">
        <v>14</v>
      </c>
      <c r="F682" s="1557"/>
      <c r="G682" s="302"/>
      <c r="H682" s="302"/>
      <c r="I682" s="302"/>
      <c r="J682" s="303"/>
      <c r="K682" s="300"/>
      <c r="L682" s="301"/>
      <c r="M682" s="297"/>
    </row>
    <row r="683" spans="3:13" ht="14.45" customHeight="1">
      <c r="E683" s="999"/>
      <c r="F683" s="416"/>
      <c r="G683" s="302"/>
      <c r="H683" s="302"/>
      <c r="I683" s="302"/>
      <c r="J683" s="303"/>
      <c r="K683" s="300"/>
      <c r="L683" s="301"/>
      <c r="M683" s="297"/>
    </row>
    <row r="684" spans="3:13" ht="14.45" customHeight="1">
      <c r="E684" s="999"/>
      <c r="F684" s="416"/>
      <c r="G684" s="302"/>
      <c r="H684" s="302"/>
      <c r="I684" s="302"/>
      <c r="J684" s="303"/>
      <c r="K684" s="300"/>
      <c r="L684" s="301"/>
      <c r="M684" s="297"/>
    </row>
    <row r="685" spans="3:13" ht="14.45" customHeight="1">
      <c r="E685" s="999"/>
      <c r="F685" s="416"/>
      <c r="G685" s="302"/>
      <c r="H685" s="302"/>
      <c r="I685" s="302"/>
      <c r="J685" s="303"/>
      <c r="K685" s="300"/>
      <c r="L685" s="301"/>
      <c r="M685" s="297"/>
    </row>
    <row r="686" spans="3:13" ht="14.45" customHeight="1">
      <c r="E686" s="999"/>
      <c r="F686" s="416"/>
      <c r="G686" s="302"/>
      <c r="H686" s="302"/>
      <c r="I686" s="302"/>
      <c r="J686" s="303"/>
      <c r="K686" s="300"/>
      <c r="L686" s="301"/>
      <c r="M686" s="297"/>
    </row>
    <row r="687" spans="3:13" ht="14.45" customHeight="1">
      <c r="E687" s="999"/>
      <c r="F687" s="416"/>
      <c r="G687" s="302"/>
      <c r="H687" s="302"/>
      <c r="I687" s="302"/>
      <c r="J687" s="303"/>
      <c r="K687" s="300"/>
      <c r="L687" s="301"/>
      <c r="M687" s="297"/>
    </row>
    <row r="688" spans="3:13" ht="14.45" customHeight="1">
      <c r="E688" s="999"/>
      <c r="F688" s="416"/>
      <c r="G688" s="302"/>
      <c r="H688" s="302"/>
      <c r="I688" s="302"/>
      <c r="J688" s="303"/>
      <c r="K688" s="300"/>
      <c r="L688" s="301"/>
      <c r="M688" s="297"/>
    </row>
    <row r="689" spans="5:13" ht="14.45" customHeight="1">
      <c r="E689" s="999"/>
      <c r="F689" s="416"/>
      <c r="G689" s="302"/>
      <c r="H689" s="302"/>
      <c r="I689" s="302"/>
      <c r="J689" s="303"/>
      <c r="K689" s="300"/>
      <c r="L689" s="301"/>
      <c r="M689" s="297"/>
    </row>
    <row r="690" spans="5:13" ht="14.45" customHeight="1">
      <c r="E690" s="999"/>
      <c r="F690" s="416"/>
      <c r="G690" s="302"/>
      <c r="H690" s="302"/>
      <c r="I690" s="302"/>
      <c r="J690" s="303"/>
      <c r="K690" s="300"/>
      <c r="L690" s="301"/>
      <c r="M690" s="297"/>
    </row>
    <row r="691" spans="5:13" ht="14.45" customHeight="1">
      <c r="E691" s="999"/>
      <c r="F691" s="416"/>
      <c r="G691" s="302"/>
      <c r="H691" s="302"/>
      <c r="I691" s="302"/>
      <c r="J691" s="303"/>
      <c r="K691" s="300"/>
      <c r="L691" s="301"/>
      <c r="M691" s="297"/>
    </row>
    <row r="692" spans="5:13" ht="14.45" customHeight="1">
      <c r="E692" s="999"/>
      <c r="F692" s="416"/>
      <c r="G692" s="302"/>
      <c r="H692" s="302"/>
      <c r="I692" s="302"/>
      <c r="J692" s="303"/>
      <c r="K692" s="300"/>
      <c r="L692" s="301"/>
      <c r="M692" s="297"/>
    </row>
    <row r="693" spans="5:13" ht="14.45" customHeight="1">
      <c r="E693" s="999"/>
      <c r="F693" s="416"/>
      <c r="G693" s="302"/>
      <c r="H693" s="302"/>
      <c r="I693" s="302"/>
      <c r="J693" s="303"/>
      <c r="K693" s="300"/>
      <c r="L693" s="301"/>
      <c r="M693" s="297"/>
    </row>
    <row r="694" spans="5:13" ht="14.45" customHeight="1">
      <c r="E694" s="999"/>
      <c r="F694" s="416"/>
      <c r="G694" s="302"/>
      <c r="H694" s="302"/>
      <c r="I694" s="302"/>
      <c r="J694" s="303"/>
      <c r="K694" s="300"/>
      <c r="L694" s="301"/>
      <c r="M694" s="297"/>
    </row>
    <row r="695" spans="5:13" ht="14.45" customHeight="1">
      <c r="E695" s="999"/>
      <c r="F695" s="416"/>
      <c r="G695" s="302"/>
      <c r="H695" s="302"/>
      <c r="I695" s="302"/>
      <c r="J695" s="303"/>
      <c r="K695" s="300"/>
      <c r="L695" s="301"/>
      <c r="M695" s="297"/>
    </row>
    <row r="696" spans="5:13" ht="14.45" customHeight="1">
      <c r="E696" s="999"/>
      <c r="F696" s="416"/>
      <c r="G696" s="302"/>
      <c r="H696" s="302"/>
      <c r="I696" s="302"/>
      <c r="J696" s="303"/>
      <c r="K696" s="300"/>
      <c r="L696" s="301"/>
      <c r="M696" s="297"/>
    </row>
    <row r="697" spans="5:13" ht="14.45" customHeight="1">
      <c r="E697" s="999"/>
      <c r="F697" s="416"/>
      <c r="G697" s="302"/>
      <c r="H697" s="302"/>
      <c r="I697" s="302"/>
      <c r="J697" s="303"/>
      <c r="K697" s="300"/>
      <c r="L697" s="301"/>
      <c r="M697" s="297"/>
    </row>
    <row r="698" spans="5:13" ht="14.45" customHeight="1">
      <c r="E698" s="999"/>
      <c r="F698" s="416"/>
      <c r="G698" s="302"/>
      <c r="H698" s="302"/>
      <c r="I698" s="302"/>
      <c r="J698" s="303"/>
      <c r="K698" s="300"/>
      <c r="L698" s="301"/>
      <c r="M698" s="297"/>
    </row>
    <row r="699" spans="5:13" ht="14.45" customHeight="1">
      <c r="E699" s="999"/>
      <c r="F699" s="416"/>
      <c r="G699" s="302"/>
      <c r="H699" s="302"/>
      <c r="I699" s="302"/>
      <c r="J699" s="303"/>
      <c r="K699" s="300"/>
      <c r="L699" s="301"/>
      <c r="M699" s="297"/>
    </row>
    <row r="700" spans="5:13" ht="14.45" customHeight="1">
      <c r="E700" s="999"/>
      <c r="F700" s="416"/>
      <c r="G700" s="302"/>
      <c r="H700" s="302"/>
      <c r="I700" s="302"/>
      <c r="J700" s="303"/>
      <c r="K700" s="300"/>
      <c r="L700" s="301"/>
      <c r="M700" s="297"/>
    </row>
    <row r="701" spans="5:13" ht="14.45" customHeight="1">
      <c r="E701" s="999"/>
      <c r="F701" s="416"/>
      <c r="G701" s="302"/>
      <c r="H701" s="302"/>
      <c r="I701" s="302"/>
      <c r="J701" s="303"/>
      <c r="K701" s="300"/>
      <c r="L701" s="301"/>
      <c r="M701" s="297"/>
    </row>
    <row r="702" spans="5:13" ht="14.45" customHeight="1">
      <c r="E702" s="999"/>
      <c r="F702" s="416"/>
      <c r="G702" s="302"/>
      <c r="H702" s="302"/>
      <c r="I702" s="302"/>
      <c r="J702" s="303"/>
      <c r="K702" s="300"/>
      <c r="L702" s="301"/>
      <c r="M702" s="297"/>
    </row>
    <row r="703" spans="5:13" ht="14.45" customHeight="1">
      <c r="E703" s="999"/>
      <c r="F703" s="416"/>
      <c r="G703" s="302"/>
      <c r="H703" s="302"/>
      <c r="I703" s="302"/>
      <c r="J703" s="303"/>
      <c r="K703" s="300"/>
      <c r="L703" s="301"/>
      <c r="M703" s="297"/>
    </row>
    <row r="704" spans="5:13" ht="14.45" customHeight="1">
      <c r="E704" s="999"/>
      <c r="F704" s="416"/>
      <c r="G704" s="302"/>
      <c r="H704" s="302"/>
      <c r="I704" s="302"/>
      <c r="J704" s="303"/>
      <c r="K704" s="300"/>
      <c r="L704" s="301"/>
      <c r="M704" s="297"/>
    </row>
    <row r="705" spans="3:13" ht="14.45" customHeight="1">
      <c r="E705" s="999"/>
      <c r="F705" s="416"/>
      <c r="G705" s="302"/>
      <c r="H705" s="302"/>
      <c r="I705" s="302"/>
      <c r="J705" s="303"/>
      <c r="K705" s="300"/>
      <c r="L705" s="301"/>
      <c r="M705" s="297"/>
    </row>
    <row r="706" spans="3:13" ht="15.95" customHeight="1"/>
    <row r="707" spans="3:13" ht="14.45" customHeight="1">
      <c r="C707" s="765" t="s">
        <v>1404</v>
      </c>
      <c r="D707" s="289"/>
      <c r="F707" s="1594" t="s">
        <v>1716</v>
      </c>
      <c r="G707" s="1594"/>
      <c r="H707" s="1594"/>
      <c r="I707" s="1594"/>
      <c r="J707" s="1594"/>
      <c r="K707" s="1594"/>
      <c r="L707" s="1594"/>
      <c r="M707" s="265"/>
    </row>
    <row r="708" spans="3:13" ht="14.45" customHeight="1">
      <c r="C708" s="765"/>
      <c r="E708" s="1579" t="s">
        <v>174</v>
      </c>
      <c r="F708" s="1579"/>
      <c r="G708" s="1579"/>
      <c r="H708" s="1579"/>
      <c r="I708" s="1579"/>
      <c r="J708" s="1579"/>
      <c r="K708" s="1579"/>
      <c r="L708" s="1579"/>
      <c r="M708" s="1579"/>
    </row>
    <row r="709" spans="3:13" ht="14.45" customHeight="1">
      <c r="C709" s="765"/>
      <c r="E709" s="1024" t="s">
        <v>976</v>
      </c>
      <c r="F709" s="267" t="s">
        <v>1405</v>
      </c>
    </row>
    <row r="710" spans="3:13" ht="14.45" customHeight="1">
      <c r="C710" s="765"/>
      <c r="E710" s="1024" t="s">
        <v>978</v>
      </c>
      <c r="F710" s="268" t="s">
        <v>1406</v>
      </c>
    </row>
    <row r="711" spans="3:13" ht="14.45" customHeight="1">
      <c r="C711" s="765"/>
      <c r="E711" s="1024" t="s">
        <v>980</v>
      </c>
      <c r="F711" s="1651" t="s">
        <v>1407</v>
      </c>
      <c r="G711" s="1651"/>
      <c r="H711" s="1651"/>
      <c r="I711" s="1651"/>
      <c r="J711" s="1651"/>
      <c r="K711" s="1651"/>
      <c r="L711" s="1651"/>
      <c r="M711" s="1651"/>
    </row>
    <row r="712" spans="3:13" ht="20.25" customHeight="1">
      <c r="C712" s="765"/>
      <c r="F712" s="1651"/>
      <c r="G712" s="1651"/>
      <c r="H712" s="1651"/>
      <c r="I712" s="1651"/>
      <c r="J712" s="1651"/>
      <c r="K712" s="1651"/>
      <c r="L712" s="1651"/>
      <c r="M712" s="1651"/>
    </row>
    <row r="713" spans="3:13" ht="35.25" customHeight="1">
      <c r="C713" s="765"/>
      <c r="E713" s="1024" t="s">
        <v>982</v>
      </c>
      <c r="F713" s="1599" t="s">
        <v>1408</v>
      </c>
      <c r="G713" s="1599"/>
      <c r="H713" s="1599"/>
      <c r="I713" s="1599"/>
      <c r="J713" s="1599"/>
      <c r="K713" s="1599"/>
      <c r="L713" s="1599"/>
      <c r="M713" s="1599"/>
    </row>
    <row r="714" spans="3:13" ht="14.45" customHeight="1">
      <c r="C714" s="765"/>
      <c r="E714" s="1413" t="s">
        <v>1409</v>
      </c>
      <c r="F714" s="271"/>
      <c r="G714" s="271"/>
      <c r="H714" s="271"/>
      <c r="I714" s="271"/>
      <c r="J714" s="271"/>
      <c r="K714" s="271"/>
      <c r="L714" s="271"/>
      <c r="M714" s="271"/>
    </row>
    <row r="715" spans="3:13" ht="14.45" customHeight="1">
      <c r="C715" s="765"/>
      <c r="E715" s="1577" t="s">
        <v>985</v>
      </c>
      <c r="F715" s="272" t="s">
        <v>625</v>
      </c>
      <c r="G715" s="1601" t="s">
        <v>627</v>
      </c>
      <c r="H715" s="272" t="s">
        <v>628</v>
      </c>
      <c r="I715" s="1577" t="s">
        <v>986</v>
      </c>
      <c r="J715" s="1603" t="s">
        <v>1717</v>
      </c>
      <c r="K715" s="1603"/>
      <c r="L715" s="1603"/>
      <c r="M715" s="1604"/>
    </row>
    <row r="716" spans="3:13" ht="14.45" customHeight="1">
      <c r="C716" s="765"/>
      <c r="E716" s="1609"/>
      <c r="F716" s="383" t="s">
        <v>626</v>
      </c>
      <c r="G716" s="1666"/>
      <c r="H716" s="383" t="s">
        <v>629</v>
      </c>
      <c r="I716" s="1609"/>
      <c r="J716" s="274" t="s">
        <v>270</v>
      </c>
      <c r="K716" s="275" t="s">
        <v>271</v>
      </c>
      <c r="L716" s="276" t="s">
        <v>272</v>
      </c>
      <c r="M716" s="277" t="s">
        <v>15</v>
      </c>
    </row>
    <row r="717" spans="3:13" ht="33.75" customHeight="1">
      <c r="C717" s="765"/>
      <c r="E717" s="278" t="s">
        <v>1410</v>
      </c>
      <c r="F717" s="493" t="s">
        <v>1411</v>
      </c>
      <c r="G717" s="493" t="s">
        <v>1412</v>
      </c>
      <c r="H717" s="494" t="s">
        <v>1413</v>
      </c>
      <c r="I717" s="494" t="s">
        <v>1414</v>
      </c>
      <c r="J717" s="1558">
        <f>'LBP NO. 2'!M1006</f>
        <v>7607467</v>
      </c>
      <c r="K717" s="1558">
        <f>'LBP NO. 2'!M1019</f>
        <v>1138000</v>
      </c>
      <c r="L717" s="1558">
        <f>'LBP NO. 2'!M1026</f>
        <v>100000</v>
      </c>
      <c r="M717" s="1558">
        <f>SUM(J717:L738)</f>
        <v>8845467</v>
      </c>
    </row>
    <row r="718" spans="3:13" ht="14.45" customHeight="1">
      <c r="C718" s="765"/>
      <c r="E718" s="279"/>
      <c r="F718" s="308"/>
      <c r="G718" s="308"/>
      <c r="H718" s="495"/>
      <c r="I718" s="308"/>
      <c r="J718" s="1559"/>
      <c r="K718" s="1559"/>
      <c r="L718" s="1559"/>
      <c r="M718" s="1559"/>
    </row>
    <row r="719" spans="3:13" ht="27" customHeight="1">
      <c r="C719" s="765"/>
      <c r="E719" s="279" t="s">
        <v>1410</v>
      </c>
      <c r="F719" s="496" t="s">
        <v>1415</v>
      </c>
      <c r="G719" s="496" t="s">
        <v>1247</v>
      </c>
      <c r="H719" s="287" t="s">
        <v>1413</v>
      </c>
      <c r="I719" s="287" t="s">
        <v>1414</v>
      </c>
      <c r="J719" s="1559"/>
      <c r="K719" s="1559"/>
      <c r="L719" s="1559"/>
      <c r="M719" s="1559"/>
    </row>
    <row r="720" spans="3:13" ht="14.45" customHeight="1">
      <c r="C720" s="765"/>
      <c r="E720" s="279"/>
      <c r="F720" s="308"/>
      <c r="G720" s="308"/>
      <c r="H720" s="308"/>
      <c r="I720" s="308"/>
      <c r="J720" s="1559"/>
      <c r="K720" s="1559"/>
      <c r="L720" s="1559"/>
      <c r="M720" s="1559"/>
    </row>
    <row r="721" spans="3:17" ht="14.45" customHeight="1">
      <c r="C721" s="765"/>
      <c r="E721" s="279" t="s">
        <v>1410</v>
      </c>
      <c r="F721" s="1668" t="s">
        <v>1416</v>
      </c>
      <c r="G721" s="497" t="s">
        <v>1247</v>
      </c>
      <c r="H721" s="287" t="s">
        <v>1413</v>
      </c>
      <c r="I721" s="287" t="s">
        <v>1417</v>
      </c>
      <c r="J721" s="1559"/>
      <c r="K721" s="1559"/>
      <c r="L721" s="1559"/>
      <c r="M721" s="1559"/>
    </row>
    <row r="722" spans="3:17" ht="27" customHeight="1">
      <c r="C722" s="765"/>
      <c r="E722" s="279"/>
      <c r="F722" s="1668"/>
      <c r="G722" s="497"/>
      <c r="H722" s="497"/>
      <c r="I722" s="497"/>
      <c r="J722" s="1559"/>
      <c r="K722" s="1559"/>
      <c r="L722" s="1559"/>
      <c r="M722" s="1559"/>
    </row>
    <row r="723" spans="3:17" ht="14.45" customHeight="1">
      <c r="C723" s="765"/>
      <c r="E723" s="279"/>
      <c r="F723" s="308"/>
      <c r="G723" s="495"/>
      <c r="H723" s="495"/>
      <c r="I723" s="308"/>
      <c r="J723" s="1559"/>
      <c r="K723" s="1559"/>
      <c r="L723" s="1559"/>
      <c r="M723" s="1559"/>
    </row>
    <row r="724" spans="3:17" ht="14.45" customHeight="1">
      <c r="C724" s="765"/>
      <c r="E724" s="279" t="s">
        <v>1410</v>
      </c>
      <c r="F724" s="1561" t="s">
        <v>1418</v>
      </c>
      <c r="G724" s="495" t="s">
        <v>1247</v>
      </c>
      <c r="H724" s="287" t="s">
        <v>1413</v>
      </c>
      <c r="I724" s="287" t="s">
        <v>1417</v>
      </c>
      <c r="J724" s="1559"/>
      <c r="K724" s="1559"/>
      <c r="L724" s="1559"/>
      <c r="M724" s="1559"/>
    </row>
    <row r="725" spans="3:17" ht="14.45" customHeight="1">
      <c r="C725" s="765"/>
      <c r="E725" s="279"/>
      <c r="F725" s="1561"/>
      <c r="G725" s="495"/>
      <c r="H725" s="495"/>
      <c r="I725" s="308"/>
      <c r="J725" s="1559"/>
      <c r="K725" s="1559"/>
      <c r="L725" s="1559"/>
      <c r="M725" s="1559"/>
    </row>
    <row r="726" spans="3:17" ht="14.45" customHeight="1">
      <c r="C726" s="765"/>
      <c r="E726" s="279" t="s">
        <v>1410</v>
      </c>
      <c r="F726" s="1561" t="s">
        <v>1419</v>
      </c>
      <c r="G726" s="495" t="s">
        <v>1247</v>
      </c>
      <c r="H726" s="287" t="s">
        <v>1413</v>
      </c>
      <c r="I726" s="287" t="s">
        <v>1417</v>
      </c>
      <c r="J726" s="1559"/>
      <c r="K726" s="1559"/>
      <c r="L726" s="1559"/>
      <c r="M726" s="1559"/>
    </row>
    <row r="727" spans="3:17" ht="14.45" customHeight="1">
      <c r="C727" s="765"/>
      <c r="E727" s="279"/>
      <c r="F727" s="1561"/>
      <c r="G727" s="495"/>
      <c r="H727" s="495"/>
      <c r="I727" s="308"/>
      <c r="J727" s="1559"/>
      <c r="K727" s="1559"/>
      <c r="L727" s="1559"/>
      <c r="M727" s="1559"/>
    </row>
    <row r="728" spans="3:17" ht="14.45" customHeight="1">
      <c r="C728" s="765"/>
      <c r="E728" s="279" t="s">
        <v>1410</v>
      </c>
      <c r="F728" s="1561" t="s">
        <v>1420</v>
      </c>
      <c r="G728" s="495" t="s">
        <v>1247</v>
      </c>
      <c r="H728" s="287" t="s">
        <v>1413</v>
      </c>
      <c r="I728" s="287" t="s">
        <v>1417</v>
      </c>
      <c r="J728" s="1559"/>
      <c r="K728" s="1559"/>
      <c r="L728" s="1559"/>
      <c r="M728" s="1559"/>
    </row>
    <row r="729" spans="3:17" ht="21.75" customHeight="1">
      <c r="C729" s="765"/>
      <c r="E729" s="279"/>
      <c r="F729" s="1561"/>
      <c r="G729" s="495"/>
      <c r="H729" s="495"/>
      <c r="I729" s="308"/>
      <c r="J729" s="1559"/>
      <c r="K729" s="1559"/>
      <c r="L729" s="1559"/>
      <c r="M729" s="1559"/>
    </row>
    <row r="730" spans="3:17" ht="14.45" customHeight="1">
      <c r="C730" s="765"/>
      <c r="E730" s="279"/>
      <c r="F730" s="287"/>
      <c r="G730" s="495"/>
      <c r="H730" s="495"/>
      <c r="I730" s="487"/>
      <c r="J730" s="1559"/>
      <c r="K730" s="1559"/>
      <c r="L730" s="1559"/>
      <c r="M730" s="1559"/>
    </row>
    <row r="731" spans="3:17" ht="45" customHeight="1">
      <c r="C731" s="765"/>
      <c r="E731" s="406" t="s">
        <v>1410</v>
      </c>
      <c r="F731" s="287" t="s">
        <v>1421</v>
      </c>
      <c r="G731" s="287" t="s">
        <v>1247</v>
      </c>
      <c r="H731" s="287" t="s">
        <v>1422</v>
      </c>
      <c r="I731" s="287" t="s">
        <v>1423</v>
      </c>
      <c r="J731" s="1559"/>
      <c r="K731" s="1559"/>
      <c r="L731" s="1559"/>
      <c r="M731" s="1559"/>
    </row>
    <row r="732" spans="3:17" ht="14.45" customHeight="1">
      <c r="C732" s="765"/>
      <c r="E732" s="279"/>
      <c r="F732" s="287"/>
      <c r="G732" s="495"/>
      <c r="H732" s="495"/>
      <c r="I732" s="487"/>
      <c r="J732" s="1559"/>
      <c r="K732" s="1559"/>
      <c r="L732" s="1559"/>
      <c r="M732" s="1559"/>
    </row>
    <row r="733" spans="3:17" ht="39.75" customHeight="1">
      <c r="C733" s="765"/>
      <c r="E733" s="406" t="s">
        <v>1410</v>
      </c>
      <c r="F733" s="308" t="s">
        <v>1424</v>
      </c>
      <c r="G733" s="308" t="s">
        <v>1247</v>
      </c>
      <c r="H733" s="308" t="s">
        <v>1422</v>
      </c>
      <c r="I733" s="308" t="s">
        <v>1423</v>
      </c>
      <c r="J733" s="1559"/>
      <c r="K733" s="1559"/>
      <c r="L733" s="1559"/>
      <c r="M733" s="1559"/>
    </row>
    <row r="734" spans="3:17" ht="14.45" customHeight="1">
      <c r="C734" s="765"/>
      <c r="E734" s="279"/>
      <c r="F734" s="287"/>
      <c r="G734" s="495"/>
      <c r="H734" s="495"/>
      <c r="I734" s="487"/>
      <c r="J734" s="1559"/>
      <c r="K734" s="1559"/>
      <c r="L734" s="1559"/>
      <c r="M734" s="1559"/>
    </row>
    <row r="735" spans="3:17" ht="38.25" customHeight="1">
      <c r="C735" s="765"/>
      <c r="E735" s="406" t="s">
        <v>1410</v>
      </c>
      <c r="F735" s="308" t="s">
        <v>1425</v>
      </c>
      <c r="G735" s="308" t="s">
        <v>1247</v>
      </c>
      <c r="H735" s="308" t="s">
        <v>1413</v>
      </c>
      <c r="I735" s="308" t="s">
        <v>1426</v>
      </c>
      <c r="J735" s="1559"/>
      <c r="K735" s="1559"/>
      <c r="L735" s="1559"/>
      <c r="M735" s="1559"/>
    </row>
    <row r="736" spans="3:17" ht="14.45" customHeight="1">
      <c r="C736" s="765"/>
      <c r="E736" s="280"/>
      <c r="F736" s="991"/>
      <c r="G736" s="767"/>
      <c r="H736" s="767"/>
      <c r="I736" s="993"/>
      <c r="J736" s="1559"/>
      <c r="K736" s="1559"/>
      <c r="L736" s="1559"/>
      <c r="M736" s="1559"/>
      <c r="Q736" s="498"/>
    </row>
    <row r="737" spans="1:13" ht="38.25" customHeight="1">
      <c r="C737" s="765"/>
      <c r="E737" s="279" t="s">
        <v>1410</v>
      </c>
      <c r="F737" s="1669" t="s">
        <v>1427</v>
      </c>
      <c r="G737" s="308" t="s">
        <v>1247</v>
      </c>
      <c r="H737" s="308" t="s">
        <v>1428</v>
      </c>
      <c r="I737" s="1669" t="s">
        <v>1429</v>
      </c>
      <c r="J737" s="1559"/>
      <c r="K737" s="1559"/>
      <c r="L737" s="1559"/>
      <c r="M737" s="1559"/>
    </row>
    <row r="738" spans="1:13" ht="17.25" customHeight="1">
      <c r="C738" s="765"/>
      <c r="E738" s="280"/>
      <c r="F738" s="1670"/>
      <c r="G738" s="288"/>
      <c r="H738" s="288"/>
      <c r="I738" s="1670"/>
      <c r="J738" s="1560"/>
      <c r="K738" s="1560"/>
      <c r="L738" s="1560"/>
      <c r="M738" s="1560"/>
    </row>
    <row r="739" spans="1:13" ht="20.100000000000001" customHeight="1" thickBot="1">
      <c r="C739" s="765"/>
      <c r="E739" s="410"/>
      <c r="F739" s="483"/>
      <c r="G739" s="499"/>
      <c r="H739" s="499"/>
      <c r="I739" s="485"/>
      <c r="J739" s="415">
        <f>SUM(J717:J738)</f>
        <v>7607467</v>
      </c>
      <c r="K739" s="415">
        <f t="shared" ref="K739:M739" si="0">SUM(K717:K738)</f>
        <v>1138000</v>
      </c>
      <c r="L739" s="415">
        <f t="shared" si="0"/>
        <v>100000</v>
      </c>
      <c r="M739" s="415">
        <f t="shared" si="0"/>
        <v>8845467</v>
      </c>
    </row>
    <row r="740" spans="1:13" ht="15.95" customHeight="1" thickTop="1">
      <c r="E740" s="1002"/>
      <c r="F740" s="290"/>
      <c r="G740" s="290"/>
      <c r="H740" s="290"/>
      <c r="I740" s="290"/>
      <c r="J740" s="291"/>
      <c r="K740" s="291"/>
      <c r="L740" s="291"/>
      <c r="M740" s="291"/>
    </row>
    <row r="741" spans="1:13" ht="15.95" customHeight="1">
      <c r="E741" s="1002"/>
      <c r="F741" s="290"/>
      <c r="G741" s="290"/>
      <c r="H741" s="290"/>
      <c r="I741" s="290"/>
      <c r="J741" s="291"/>
      <c r="K741" s="291"/>
      <c r="L741" s="291"/>
      <c r="M741" s="291"/>
    </row>
    <row r="742" spans="1:13" ht="15.95" customHeight="1">
      <c r="E742" s="1002"/>
      <c r="F742" s="290"/>
      <c r="G742" s="290"/>
      <c r="H742" s="290"/>
      <c r="I742" s="290"/>
      <c r="J742" s="291"/>
      <c r="K742" s="291"/>
      <c r="L742" s="291"/>
      <c r="M742" s="291"/>
    </row>
    <row r="743" spans="1:13" ht="14.45" customHeight="1">
      <c r="C743" s="1607" t="s">
        <v>1430</v>
      </c>
      <c r="E743" s="1002" t="s">
        <v>1015</v>
      </c>
      <c r="F743" s="289"/>
      <c r="G743" s="292" t="s">
        <v>1016</v>
      </c>
      <c r="H743" s="292"/>
      <c r="J743" s="293"/>
      <c r="K743" s="293"/>
      <c r="L743" s="294"/>
      <c r="M743" s="294"/>
    </row>
    <row r="744" spans="1:13" ht="14.45" customHeight="1">
      <c r="A744" s="500"/>
      <c r="C744" s="1607"/>
      <c r="E744" s="1002"/>
      <c r="F744" s="289"/>
      <c r="G744" s="289"/>
      <c r="H744" s="289"/>
      <c r="J744" s="289"/>
      <c r="K744" s="289"/>
      <c r="L744" s="289"/>
      <c r="M744" s="289"/>
    </row>
    <row r="745" spans="1:13" ht="14.45" customHeight="1">
      <c r="C745" s="1607"/>
      <c r="E745" s="1584" t="s">
        <v>157</v>
      </c>
      <c r="F745" s="1584"/>
      <c r="G745" s="1584" t="s">
        <v>249</v>
      </c>
      <c r="H745" s="1584"/>
      <c r="I745" s="1585" t="s">
        <v>17</v>
      </c>
      <c r="J745" s="1585"/>
      <c r="L745" s="1584" t="s">
        <v>87</v>
      </c>
      <c r="M745" s="1584"/>
    </row>
    <row r="746" spans="1:13" ht="14.45" customHeight="1">
      <c r="C746" s="1607"/>
      <c r="E746" s="1557" t="s">
        <v>156</v>
      </c>
      <c r="F746" s="1557"/>
      <c r="G746" s="1557" t="s">
        <v>13</v>
      </c>
      <c r="H746" s="1557"/>
      <c r="I746" s="1590" t="s">
        <v>18</v>
      </c>
      <c r="J746" s="1590"/>
      <c r="L746" s="1557" t="s">
        <v>971</v>
      </c>
      <c r="M746" s="1557"/>
    </row>
    <row r="747" spans="1:13" ht="14.45" customHeight="1">
      <c r="C747" s="1607"/>
      <c r="E747" s="999" t="s">
        <v>253</v>
      </c>
      <c r="F747" s="295"/>
      <c r="G747" s="295"/>
      <c r="H747" s="289"/>
      <c r="I747" s="289"/>
      <c r="J747" s="289"/>
      <c r="K747" s="296"/>
      <c r="L747" s="289"/>
      <c r="M747" s="289"/>
    </row>
    <row r="748" spans="1:13" ht="14.45" customHeight="1">
      <c r="C748" s="1607"/>
      <c r="E748" s="1018"/>
      <c r="F748" s="297"/>
      <c r="G748" s="297"/>
      <c r="H748" s="289"/>
      <c r="I748" s="289"/>
      <c r="J748" s="289"/>
      <c r="K748" s="298"/>
      <c r="L748" s="289"/>
      <c r="M748" s="289"/>
    </row>
    <row r="749" spans="1:13" ht="14.45" customHeight="1">
      <c r="C749" s="1607"/>
      <c r="E749" s="1584" t="s">
        <v>1438</v>
      </c>
      <c r="F749" s="1584"/>
      <c r="G749" s="299"/>
      <c r="H749" s="299"/>
      <c r="I749" s="299"/>
      <c r="J749" s="300"/>
      <c r="K749" s="300"/>
      <c r="L749" s="301"/>
      <c r="M749" s="297"/>
    </row>
    <row r="750" spans="1:13" ht="14.45" customHeight="1">
      <c r="C750" s="1607"/>
      <c r="E750" s="1557" t="s">
        <v>14</v>
      </c>
      <c r="F750" s="1557"/>
      <c r="G750" s="302"/>
      <c r="H750" s="302"/>
      <c r="I750" s="302"/>
      <c r="J750" s="303"/>
      <c r="K750" s="300"/>
      <c r="L750" s="301"/>
      <c r="M750" s="297"/>
    </row>
    <row r="751" spans="1:13" ht="14.45" customHeight="1">
      <c r="C751" s="1607"/>
    </row>
    <row r="752" spans="1:13" ht="14.45" customHeight="1">
      <c r="C752" s="1607"/>
    </row>
    <row r="753" spans="3:16" ht="14.45" customHeight="1">
      <c r="C753" s="1607"/>
    </row>
    <row r="754" spans="3:16" ht="14.45" customHeight="1">
      <c r="C754" s="1607"/>
    </row>
    <row r="755" spans="3:16" ht="14.45" customHeight="1">
      <c r="C755" s="1607"/>
    </row>
    <row r="756" spans="3:16" ht="14.45" customHeight="1">
      <c r="C756" s="1607"/>
    </row>
    <row r="757" spans="3:16" ht="14.45" customHeight="1">
      <c r="C757" s="1607"/>
      <c r="M757" s="263" t="s">
        <v>1538</v>
      </c>
      <c r="O757" s="502">
        <f>SUM(M739+M673+M586+M496+M414+M345+M302+M261+M216+M185+M125+M103+M50+M11)</f>
        <v>118611618</v>
      </c>
    </row>
    <row r="758" spans="3:16" ht="14.45" customHeight="1">
      <c r="C758" s="1607"/>
      <c r="M758" s="263" t="s">
        <v>1494</v>
      </c>
      <c r="O758" s="503">
        <f>'LBP NO. 2a'!K53+'LBP NO. 2a'!K198</f>
        <v>93360201.769999996</v>
      </c>
    </row>
    <row r="759" spans="3:16" ht="14.45" customHeight="1">
      <c r="C759" s="1607"/>
      <c r="O759" s="502">
        <f>O758+O757</f>
        <v>211971819.76999998</v>
      </c>
    </row>
    <row r="760" spans="3:16" ht="14.45" customHeight="1">
      <c r="M760" s="263" t="s">
        <v>1431</v>
      </c>
      <c r="O760" s="504">
        <f>'[4]LBP NO. 2'!M1013</f>
        <v>0</v>
      </c>
    </row>
    <row r="761" spans="3:16" ht="14.45" customHeight="1" thickBot="1">
      <c r="O761" s="505">
        <f>O760+O759</f>
        <v>211971819.76999998</v>
      </c>
      <c r="P761" s="498"/>
    </row>
    <row r="762" spans="3:16" ht="14.45" customHeight="1" thickTop="1"/>
    <row r="763" spans="3:16" ht="14.45" customHeight="1">
      <c r="O763" s="498">
        <f>O761-'LBP NO. 2a'!K237</f>
        <v>0</v>
      </c>
    </row>
    <row r="791" ht="15.95" customHeight="1"/>
  </sheetData>
  <mergeCells count="538">
    <mergeCell ref="F294:M295"/>
    <mergeCell ref="F296:M297"/>
    <mergeCell ref="E749:F749"/>
    <mergeCell ref="E750:F750"/>
    <mergeCell ref="I737:I738"/>
    <mergeCell ref="C743:C759"/>
    <mergeCell ref="E745:F745"/>
    <mergeCell ref="G745:H745"/>
    <mergeCell ref="I745:J745"/>
    <mergeCell ref="L745:M745"/>
    <mergeCell ref="E746:F746"/>
    <mergeCell ref="G746:H746"/>
    <mergeCell ref="I746:J746"/>
    <mergeCell ref="L746:M746"/>
    <mergeCell ref="F707:L707"/>
    <mergeCell ref="E708:M708"/>
    <mergeCell ref="F711:M712"/>
    <mergeCell ref="F713:M713"/>
    <mergeCell ref="E715:E716"/>
    <mergeCell ref="G715:G716"/>
    <mergeCell ref="I715:I716"/>
    <mergeCell ref="J715:M715"/>
    <mergeCell ref="J717:J738"/>
    <mergeCell ref="M717:M738"/>
    <mergeCell ref="L677:M677"/>
    <mergeCell ref="E678:F678"/>
    <mergeCell ref="G678:H678"/>
    <mergeCell ref="I678:J678"/>
    <mergeCell ref="L678:M678"/>
    <mergeCell ref="K717:K738"/>
    <mergeCell ref="L717:L738"/>
    <mergeCell ref="E677:F677"/>
    <mergeCell ref="G677:H677"/>
    <mergeCell ref="E681:F681"/>
    <mergeCell ref="E682:F682"/>
    <mergeCell ref="F721:F722"/>
    <mergeCell ref="F724:F725"/>
    <mergeCell ref="F726:F727"/>
    <mergeCell ref="F728:F729"/>
    <mergeCell ref="F737:F738"/>
    <mergeCell ref="I677:J677"/>
    <mergeCell ref="C659:C660"/>
    <mergeCell ref="C661:C682"/>
    <mergeCell ref="F661:F663"/>
    <mergeCell ref="G661:G663"/>
    <mergeCell ref="H661:H663"/>
    <mergeCell ref="C630:C658"/>
    <mergeCell ref="F632:F633"/>
    <mergeCell ref="H641:H644"/>
    <mergeCell ref="I661:I663"/>
    <mergeCell ref="H669:H672"/>
    <mergeCell ref="I671:I672"/>
    <mergeCell ref="F669:F670"/>
    <mergeCell ref="G669:G672"/>
    <mergeCell ref="F665:F667"/>
    <mergeCell ref="G665:G667"/>
    <mergeCell ref="H665:H666"/>
    <mergeCell ref="H651:H652"/>
    <mergeCell ref="K612:K672"/>
    <mergeCell ref="L612:L672"/>
    <mergeCell ref="M612:M672"/>
    <mergeCell ref="F654:F656"/>
    <mergeCell ref="G654:G659"/>
    <mergeCell ref="H654:H659"/>
    <mergeCell ref="F641:F642"/>
    <mergeCell ref="G641:G644"/>
    <mergeCell ref="G612:G613"/>
    <mergeCell ref="G615:G616"/>
    <mergeCell ref="G623:G636"/>
    <mergeCell ref="G638:G639"/>
    <mergeCell ref="H623:H636"/>
    <mergeCell ref="F623:F624"/>
    <mergeCell ref="F626:F627"/>
    <mergeCell ref="F629:F630"/>
    <mergeCell ref="I629:I630"/>
    <mergeCell ref="G618:G619"/>
    <mergeCell ref="H618:H620"/>
    <mergeCell ref="F638:F639"/>
    <mergeCell ref="C573:C595"/>
    <mergeCell ref="I574:I576"/>
    <mergeCell ref="G577:G578"/>
    <mergeCell ref="H577:H578"/>
    <mergeCell ref="I577:I579"/>
    <mergeCell ref="E590:F590"/>
    <mergeCell ref="G590:H590"/>
    <mergeCell ref="I632:I633"/>
    <mergeCell ref="F635:F636"/>
    <mergeCell ref="I635:I636"/>
    <mergeCell ref="F603:L603"/>
    <mergeCell ref="E604:M604"/>
    <mergeCell ref="F607:M607"/>
    <mergeCell ref="F608:M608"/>
    <mergeCell ref="E610:E611"/>
    <mergeCell ref="G610:G611"/>
    <mergeCell ref="I610:I611"/>
    <mergeCell ref="J610:M610"/>
    <mergeCell ref="F612:F614"/>
    <mergeCell ref="H612:H614"/>
    <mergeCell ref="J612:J672"/>
    <mergeCell ref="L590:M590"/>
    <mergeCell ref="E591:F591"/>
    <mergeCell ref="G591:H591"/>
    <mergeCell ref="I591:J591"/>
    <mergeCell ref="L591:M591"/>
    <mergeCell ref="E594:F594"/>
    <mergeCell ref="I590:J590"/>
    <mergeCell ref="E595:F595"/>
    <mergeCell ref="F544:L544"/>
    <mergeCell ref="E545:M545"/>
    <mergeCell ref="F548:M548"/>
    <mergeCell ref="F549:M549"/>
    <mergeCell ref="E551:E552"/>
    <mergeCell ref="G551:G552"/>
    <mergeCell ref="I551:I552"/>
    <mergeCell ref="J551:M551"/>
    <mergeCell ref="I553:I557"/>
    <mergeCell ref="J553:J585"/>
    <mergeCell ref="K553:K585"/>
    <mergeCell ref="L553:L585"/>
    <mergeCell ref="M553:M585"/>
    <mergeCell ref="G558:G560"/>
    <mergeCell ref="I558:I560"/>
    <mergeCell ref="H570:H571"/>
    <mergeCell ref="C482:C498"/>
    <mergeCell ref="H467:H468"/>
    <mergeCell ref="I467:I468"/>
    <mergeCell ref="J467:M467"/>
    <mergeCell ref="J469:J495"/>
    <mergeCell ref="K469:K495"/>
    <mergeCell ref="L469:L495"/>
    <mergeCell ref="M469:M495"/>
    <mergeCell ref="C499:C506"/>
    <mergeCell ref="E501:F501"/>
    <mergeCell ref="G501:H501"/>
    <mergeCell ref="I501:J501"/>
    <mergeCell ref="L501:M501"/>
    <mergeCell ref="E502:F502"/>
    <mergeCell ref="G502:H502"/>
    <mergeCell ref="I502:J502"/>
    <mergeCell ref="L502:M502"/>
    <mergeCell ref="E505:F505"/>
    <mergeCell ref="E506:F506"/>
    <mergeCell ref="D467:D468"/>
    <mergeCell ref="E467:E468"/>
    <mergeCell ref="F467:F468"/>
    <mergeCell ref="G467:G468"/>
    <mergeCell ref="C414:C426"/>
    <mergeCell ref="E420:F420"/>
    <mergeCell ref="G420:H420"/>
    <mergeCell ref="I420:J420"/>
    <mergeCell ref="L420:M420"/>
    <mergeCell ref="E421:F421"/>
    <mergeCell ref="G421:H421"/>
    <mergeCell ref="I421:J421"/>
    <mergeCell ref="L421:M421"/>
    <mergeCell ref="E425:F425"/>
    <mergeCell ref="F462:N463"/>
    <mergeCell ref="E367:F367"/>
    <mergeCell ref="E368:F368"/>
    <mergeCell ref="D380:M380"/>
    <mergeCell ref="D381:M381"/>
    <mergeCell ref="F383:M384"/>
    <mergeCell ref="F385:M386"/>
    <mergeCell ref="E387:E389"/>
    <mergeCell ref="F387:M388"/>
    <mergeCell ref="E392:E393"/>
    <mergeCell ref="F392:F393"/>
    <mergeCell ref="G392:G393"/>
    <mergeCell ref="H392:H393"/>
    <mergeCell ref="I392:I393"/>
    <mergeCell ref="J392:M392"/>
    <mergeCell ref="D456:N456"/>
    <mergeCell ref="D457:N457"/>
    <mergeCell ref="F460:N461"/>
    <mergeCell ref="E426:F426"/>
    <mergeCell ref="E363:F363"/>
    <mergeCell ref="G363:H363"/>
    <mergeCell ref="I363:J363"/>
    <mergeCell ref="L363:M363"/>
    <mergeCell ref="E364:F364"/>
    <mergeCell ref="G364:H364"/>
    <mergeCell ref="I364:J364"/>
    <mergeCell ref="L364:M364"/>
    <mergeCell ref="J406:J413"/>
    <mergeCell ref="K406:K413"/>
    <mergeCell ref="L406:L413"/>
    <mergeCell ref="M406:M413"/>
    <mergeCell ref="F394:F399"/>
    <mergeCell ref="E394:E399"/>
    <mergeCell ref="E400:E402"/>
    <mergeCell ref="F400:F402"/>
    <mergeCell ref="G400:G402"/>
    <mergeCell ref="F352:F355"/>
    <mergeCell ref="G352:G355"/>
    <mergeCell ref="H352:H355"/>
    <mergeCell ref="I352:I355"/>
    <mergeCell ref="F356:F358"/>
    <mergeCell ref="G356:G358"/>
    <mergeCell ref="H356:H358"/>
    <mergeCell ref="I356:I358"/>
    <mergeCell ref="E326:F326"/>
    <mergeCell ref="E327:F327"/>
    <mergeCell ref="I349:I351"/>
    <mergeCell ref="C336:C368"/>
    <mergeCell ref="F336:L336"/>
    <mergeCell ref="E337:M337"/>
    <mergeCell ref="F339:L339"/>
    <mergeCell ref="F340:M340"/>
    <mergeCell ref="F341:M341"/>
    <mergeCell ref="E343:E344"/>
    <mergeCell ref="G343:G344"/>
    <mergeCell ref="J343:M343"/>
    <mergeCell ref="F345:F346"/>
    <mergeCell ref="G345:G346"/>
    <mergeCell ref="H345:H346"/>
    <mergeCell ref="I345:I346"/>
    <mergeCell ref="J345:J359"/>
    <mergeCell ref="K345:K359"/>
    <mergeCell ref="L345:L359"/>
    <mergeCell ref="M345:M359"/>
    <mergeCell ref="F347:F348"/>
    <mergeCell ref="G347:G348"/>
    <mergeCell ref="H347:H348"/>
    <mergeCell ref="I347:I348"/>
    <mergeCell ref="F349:F351"/>
    <mergeCell ref="G349:G351"/>
    <mergeCell ref="H349:H351"/>
    <mergeCell ref="E322:F322"/>
    <mergeCell ref="G322:H322"/>
    <mergeCell ref="I322:J322"/>
    <mergeCell ref="L322:M322"/>
    <mergeCell ref="E323:F323"/>
    <mergeCell ref="G323:H323"/>
    <mergeCell ref="I323:J323"/>
    <mergeCell ref="L323:M323"/>
    <mergeCell ref="F312:F314"/>
    <mergeCell ref="G312:G314"/>
    <mergeCell ref="H312:H314"/>
    <mergeCell ref="I312:I314"/>
    <mergeCell ref="F315:F318"/>
    <mergeCell ref="G315:G318"/>
    <mergeCell ref="H315:H318"/>
    <mergeCell ref="I315:I318"/>
    <mergeCell ref="C290:C327"/>
    <mergeCell ref="F290:L290"/>
    <mergeCell ref="E291:M291"/>
    <mergeCell ref="E298:M299"/>
    <mergeCell ref="E300:E301"/>
    <mergeCell ref="G300:G301"/>
    <mergeCell ref="I300:I301"/>
    <mergeCell ref="G306:G309"/>
    <mergeCell ref="H306:H309"/>
    <mergeCell ref="I306:I309"/>
    <mergeCell ref="F310:F311"/>
    <mergeCell ref="G310:G311"/>
    <mergeCell ref="H310:H311"/>
    <mergeCell ref="I310:I311"/>
    <mergeCell ref="J300:M300"/>
    <mergeCell ref="F302:F305"/>
    <mergeCell ref="G302:G305"/>
    <mergeCell ref="H302:H305"/>
    <mergeCell ref="I302:I305"/>
    <mergeCell ref="J302:J318"/>
    <mergeCell ref="K302:K318"/>
    <mergeCell ref="L302:L318"/>
    <mergeCell ref="M302:M318"/>
    <mergeCell ref="F306:F309"/>
    <mergeCell ref="C207:C241"/>
    <mergeCell ref="F207:L207"/>
    <mergeCell ref="E208:M208"/>
    <mergeCell ref="F211:M211"/>
    <mergeCell ref="F212:M212"/>
    <mergeCell ref="E213:M213"/>
    <mergeCell ref="E214:E215"/>
    <mergeCell ref="G214:G215"/>
    <mergeCell ref="I214:I215"/>
    <mergeCell ref="L216:L232"/>
    <mergeCell ref="M216:M232"/>
    <mergeCell ref="F220:F223"/>
    <mergeCell ref="G220:G223"/>
    <mergeCell ref="H220:H223"/>
    <mergeCell ref="I220:I223"/>
    <mergeCell ref="L236:M236"/>
    <mergeCell ref="E237:F237"/>
    <mergeCell ref="G237:H237"/>
    <mergeCell ref="I237:J237"/>
    <mergeCell ref="L237:M237"/>
    <mergeCell ref="E240:F240"/>
    <mergeCell ref="E236:F236"/>
    <mergeCell ref="G236:H236"/>
    <mergeCell ref="I236:J236"/>
    <mergeCell ref="C250:C286"/>
    <mergeCell ref="F250:L250"/>
    <mergeCell ref="E251:M251"/>
    <mergeCell ref="F254:M255"/>
    <mergeCell ref="F256:M257"/>
    <mergeCell ref="E259:E260"/>
    <mergeCell ref="G259:G260"/>
    <mergeCell ref="I259:I260"/>
    <mergeCell ref="J259:M259"/>
    <mergeCell ref="E285:F285"/>
    <mergeCell ref="F273:F276"/>
    <mergeCell ref="G273:G276"/>
    <mergeCell ref="H273:H276"/>
    <mergeCell ref="I273:I276"/>
    <mergeCell ref="E281:F281"/>
    <mergeCell ref="G281:H281"/>
    <mergeCell ref="I281:J281"/>
    <mergeCell ref="L261:L276"/>
    <mergeCell ref="F264:F266"/>
    <mergeCell ref="G264:G266"/>
    <mergeCell ref="H264:H266"/>
    <mergeCell ref="I264:I266"/>
    <mergeCell ref="F267:F269"/>
    <mergeCell ref="G267:G269"/>
    <mergeCell ref="L282:M282"/>
    <mergeCell ref="M261:M276"/>
    <mergeCell ref="E241:F241"/>
    <mergeCell ref="H267:H269"/>
    <mergeCell ref="I267:I269"/>
    <mergeCell ref="F261:F263"/>
    <mergeCell ref="K261:K276"/>
    <mergeCell ref="F270:F272"/>
    <mergeCell ref="G270:G272"/>
    <mergeCell ref="H270:H272"/>
    <mergeCell ref="I270:I272"/>
    <mergeCell ref="L281:M281"/>
    <mergeCell ref="G261:G263"/>
    <mergeCell ref="H261:H263"/>
    <mergeCell ref="I261:I263"/>
    <mergeCell ref="J261:J276"/>
    <mergeCell ref="L189:M189"/>
    <mergeCell ref="E190:F190"/>
    <mergeCell ref="G190:H190"/>
    <mergeCell ref="F224:F226"/>
    <mergeCell ref="G224:G226"/>
    <mergeCell ref="H224:H226"/>
    <mergeCell ref="I224:I226"/>
    <mergeCell ref="F216:F219"/>
    <mergeCell ref="I190:J190"/>
    <mergeCell ref="L190:M190"/>
    <mergeCell ref="G216:G219"/>
    <mergeCell ref="H216:H219"/>
    <mergeCell ref="I216:I219"/>
    <mergeCell ref="J216:J232"/>
    <mergeCell ref="K216:K232"/>
    <mergeCell ref="F227:F228"/>
    <mergeCell ref="G227:G228"/>
    <mergeCell ref="H227:H228"/>
    <mergeCell ref="I227:I228"/>
    <mergeCell ref="J214:M214"/>
    <mergeCell ref="F229:F232"/>
    <mergeCell ref="G229:G232"/>
    <mergeCell ref="H229:H232"/>
    <mergeCell ref="I229:I232"/>
    <mergeCell ref="C177:C194"/>
    <mergeCell ref="E189:F189"/>
    <mergeCell ref="G189:H189"/>
    <mergeCell ref="E193:F193"/>
    <mergeCell ref="E194:F194"/>
    <mergeCell ref="F165:F167"/>
    <mergeCell ref="G165:G167"/>
    <mergeCell ref="H165:H166"/>
    <mergeCell ref="I165:I166"/>
    <mergeCell ref="F170:F171"/>
    <mergeCell ref="H170:H171"/>
    <mergeCell ref="I189:J189"/>
    <mergeCell ref="F174:F175"/>
    <mergeCell ref="G174:G175"/>
    <mergeCell ref="H174:H175"/>
    <mergeCell ref="L141:M141"/>
    <mergeCell ref="F153:I153"/>
    <mergeCell ref="F154:I154"/>
    <mergeCell ref="E156:E157"/>
    <mergeCell ref="G156:G157"/>
    <mergeCell ref="I156:I157"/>
    <mergeCell ref="J156:M156"/>
    <mergeCell ref="K158:K184"/>
    <mergeCell ref="L158:L184"/>
    <mergeCell ref="M158:M184"/>
    <mergeCell ref="F161:F162"/>
    <mergeCell ref="G161:G162"/>
    <mergeCell ref="H161:H162"/>
    <mergeCell ref="F96:F98"/>
    <mergeCell ref="G96:G98"/>
    <mergeCell ref="H96:H98"/>
    <mergeCell ref="I96:I98"/>
    <mergeCell ref="F99:F101"/>
    <mergeCell ref="E107:F107"/>
    <mergeCell ref="C114:C146"/>
    <mergeCell ref="F114:M114"/>
    <mergeCell ref="F115:M115"/>
    <mergeCell ref="E121:L121"/>
    <mergeCell ref="E123:E124"/>
    <mergeCell ref="H123:H124"/>
    <mergeCell ref="I123:I124"/>
    <mergeCell ref="J123:M123"/>
    <mergeCell ref="E142:F142"/>
    <mergeCell ref="G142:H142"/>
    <mergeCell ref="I142:J142"/>
    <mergeCell ref="L142:M142"/>
    <mergeCell ref="E145:F145"/>
    <mergeCell ref="E146:F146"/>
    <mergeCell ref="J125:J137"/>
    <mergeCell ref="K125:K137"/>
    <mergeCell ref="L125:L137"/>
    <mergeCell ref="M125:M137"/>
    <mergeCell ref="G34:H34"/>
    <mergeCell ref="I34:J34"/>
    <mergeCell ref="G50:G53"/>
    <mergeCell ref="H50:H53"/>
    <mergeCell ref="G35:H35"/>
    <mergeCell ref="I35:J35"/>
    <mergeCell ref="C85:C112"/>
    <mergeCell ref="F85:L85"/>
    <mergeCell ref="E86:M86"/>
    <mergeCell ref="F89:M89"/>
    <mergeCell ref="F90:M90"/>
    <mergeCell ref="E92:E93"/>
    <mergeCell ref="F92:F93"/>
    <mergeCell ref="G92:G93"/>
    <mergeCell ref="H92:H93"/>
    <mergeCell ref="J92:M92"/>
    <mergeCell ref="F94:F95"/>
    <mergeCell ref="G94:G95"/>
    <mergeCell ref="H94:H95"/>
    <mergeCell ref="I94:I95"/>
    <mergeCell ref="J94:J101"/>
    <mergeCell ref="K94:K101"/>
    <mergeCell ref="L94:L101"/>
    <mergeCell ref="M94:M101"/>
    <mergeCell ref="G68:H68"/>
    <mergeCell ref="I68:J68"/>
    <mergeCell ref="L68:M68"/>
    <mergeCell ref="E71:F71"/>
    <mergeCell ref="I54:I56"/>
    <mergeCell ref="F60:F63"/>
    <mergeCell ref="G60:G63"/>
    <mergeCell ref="H60:H63"/>
    <mergeCell ref="A1:A39"/>
    <mergeCell ref="C1:C39"/>
    <mergeCell ref="F1:L1"/>
    <mergeCell ref="E2:M2"/>
    <mergeCell ref="F5:M5"/>
    <mergeCell ref="F6:M7"/>
    <mergeCell ref="E9:E10"/>
    <mergeCell ref="G9:G10"/>
    <mergeCell ref="I9:I10"/>
    <mergeCell ref="J9:M9"/>
    <mergeCell ref="E38:F38"/>
    <mergeCell ref="F27:F30"/>
    <mergeCell ref="G27:G30"/>
    <mergeCell ref="H27:H30"/>
    <mergeCell ref="I27:I30"/>
    <mergeCell ref="E34:F34"/>
    <mergeCell ref="L34:M34"/>
    <mergeCell ref="E35:F35"/>
    <mergeCell ref="E39:F39"/>
    <mergeCell ref="I60:I63"/>
    <mergeCell ref="E67:F67"/>
    <mergeCell ref="G67:H67"/>
    <mergeCell ref="I67:J67"/>
    <mergeCell ref="L107:M107"/>
    <mergeCell ref="A40:A84"/>
    <mergeCell ref="C40:C72"/>
    <mergeCell ref="F40:L40"/>
    <mergeCell ref="E41:M41"/>
    <mergeCell ref="F44:M44"/>
    <mergeCell ref="F45:M46"/>
    <mergeCell ref="E48:E49"/>
    <mergeCell ref="G48:G49"/>
    <mergeCell ref="I48:I49"/>
    <mergeCell ref="J48:M48"/>
    <mergeCell ref="F50:F53"/>
    <mergeCell ref="L50:L63"/>
    <mergeCell ref="M50:M63"/>
    <mergeCell ref="G54:G56"/>
    <mergeCell ref="L67:M67"/>
    <mergeCell ref="E68:F68"/>
    <mergeCell ref="H15:H18"/>
    <mergeCell ref="I15:I18"/>
    <mergeCell ref="F19:F21"/>
    <mergeCell ref="G19:G21"/>
    <mergeCell ref="H19:H21"/>
    <mergeCell ref="I19:I21"/>
    <mergeCell ref="F11:F14"/>
    <mergeCell ref="F22:F24"/>
    <mergeCell ref="G22:G24"/>
    <mergeCell ref="H22:H24"/>
    <mergeCell ref="I22:I24"/>
    <mergeCell ref="E72:F72"/>
    <mergeCell ref="G107:H107"/>
    <mergeCell ref="I107:J107"/>
    <mergeCell ref="E141:F141"/>
    <mergeCell ref="G141:H141"/>
    <mergeCell ref="I141:J141"/>
    <mergeCell ref="E282:F282"/>
    <mergeCell ref="G282:H282"/>
    <mergeCell ref="I282:J282"/>
    <mergeCell ref="E108:F108"/>
    <mergeCell ref="G108:H108"/>
    <mergeCell ref="I108:J108"/>
    <mergeCell ref="J102:M102"/>
    <mergeCell ref="F163:F164"/>
    <mergeCell ref="G163:G164"/>
    <mergeCell ref="H163:H164"/>
    <mergeCell ref="G158:G160"/>
    <mergeCell ref="H158:H160"/>
    <mergeCell ref="J158:J184"/>
    <mergeCell ref="F158:F160"/>
    <mergeCell ref="E111:F111"/>
    <mergeCell ref="E112:F112"/>
    <mergeCell ref="L108:M108"/>
    <mergeCell ref="F149:L149"/>
    <mergeCell ref="L35:M35"/>
    <mergeCell ref="M11:M30"/>
    <mergeCell ref="H647:H649"/>
    <mergeCell ref="I647:I649"/>
    <mergeCell ref="G647:G649"/>
    <mergeCell ref="I641:I642"/>
    <mergeCell ref="G11:G14"/>
    <mergeCell ref="H11:H14"/>
    <mergeCell ref="I11:I14"/>
    <mergeCell ref="J11:J30"/>
    <mergeCell ref="K11:K30"/>
    <mergeCell ref="I50:I53"/>
    <mergeCell ref="J50:J63"/>
    <mergeCell ref="K50:K63"/>
    <mergeCell ref="G99:G101"/>
    <mergeCell ref="H99:H101"/>
    <mergeCell ref="I99:I101"/>
    <mergeCell ref="I92:I93"/>
    <mergeCell ref="E150:M150"/>
    <mergeCell ref="E286:F286"/>
    <mergeCell ref="I343:I344"/>
    <mergeCell ref="L11:L30"/>
    <mergeCell ref="F15:F18"/>
    <mergeCell ref="G15:G18"/>
  </mergeCells>
  <printOptions horizontalCentered="1"/>
  <pageMargins left="0" right="0" top="1" bottom="0.5" header="0" footer="0"/>
  <pageSetup paperSize="14"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AO</vt:lpstr>
      <vt:lpstr>LBP NO. 1</vt:lpstr>
      <vt:lpstr>LBP NO. 1 (Market)</vt:lpstr>
      <vt:lpstr>LBP NO. 2</vt:lpstr>
      <vt:lpstr>LBP NO. 2a</vt:lpstr>
      <vt:lpstr>Summary</vt:lpstr>
      <vt:lpstr>Summary (2)</vt:lpstr>
      <vt:lpstr>LBP NO. 3a per office</vt:lpstr>
      <vt:lpstr>LBP No. 4</vt:lpstr>
      <vt:lpstr>LBP NO. 5</vt:lpstr>
      <vt:lpstr>LBP NO. 6</vt:lpstr>
      <vt:lpstr>LBP NO. 7</vt:lpstr>
      <vt:lpstr>PROPOSED BUDGET</vt:lpstr>
      <vt:lpstr>2023 Annual Budget</vt:lpstr>
      <vt:lpstr>Consolidated</vt:lpstr>
      <vt:lpstr>'2023 Annual Budget'!Print_Area</vt:lpstr>
      <vt:lpstr>AO!Print_Area</vt:lpstr>
      <vt:lpstr>Consolidated!Print_Area</vt:lpstr>
      <vt:lpstr>'LBP NO. 1'!Print_Area</vt:lpstr>
      <vt:lpstr>'LBP NO. 1 (Market)'!Print_Area</vt:lpstr>
      <vt:lpstr>'LBP NO. 2'!Print_Area</vt:lpstr>
      <vt:lpstr>'LBP NO. 2a'!Print_Area</vt:lpstr>
      <vt:lpstr>'LBP NO. 3a per office'!Print_Area</vt:lpstr>
      <vt:lpstr>'LBP No. 4'!Print_Area</vt:lpstr>
      <vt:lpstr>'LBP NO. 5'!Print_Area</vt:lpstr>
      <vt:lpstr>'LBP NO. 6'!Print_Area</vt:lpstr>
      <vt:lpstr>'LBP NO. 7'!Print_Area</vt:lpstr>
      <vt:lpstr>'PROPOSED BUDGET'!Print_Area</vt:lpstr>
      <vt:lpstr>Summary!Print_Area</vt:lpstr>
      <vt:lpstr>'Summary (2)'!Print_Area</vt:lpstr>
      <vt:lpstr>'2023 Annual Budget'!Print_Titles</vt:lpstr>
      <vt:lpstr>Consolidated!Print_Titles</vt:lpstr>
      <vt:lpstr>'LBP NO. 1'!Print_Titles</vt:lpstr>
      <vt:lpstr>'LBP No.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2022-11-22T23:24:01Z</cp:lastPrinted>
  <dcterms:created xsi:type="dcterms:W3CDTF">2006-05-18T08:42:29Z</dcterms:created>
  <dcterms:modified xsi:type="dcterms:W3CDTF">2023-01-12T08:28:40Z</dcterms:modified>
</cp:coreProperties>
</file>