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315" windowWidth="19440" windowHeight="1755" firstSheet="1" activeTab="1"/>
  </bookViews>
  <sheets>
    <sheet name="AO" sheetId="65" state="hidden" r:id="rId1"/>
    <sheet name="LBP NO. 1" sheetId="1" r:id="rId2"/>
    <sheet name="LBP NO. 1 (Market)" sheetId="67" r:id="rId3"/>
    <sheet name="LBP NO. 2" sheetId="63" r:id="rId4"/>
    <sheet name="LBP NO. 2a" sheetId="16" r:id="rId5"/>
    <sheet name="Summary" sheetId="68" state="hidden" r:id="rId6"/>
    <sheet name="Summary (2)" sheetId="69" state="hidden" r:id="rId7"/>
    <sheet name="LBP NO. 3a per office" sheetId="64" state="hidden" r:id="rId8"/>
    <sheet name="LBP No. 4" sheetId="45" state="hidden" r:id="rId9"/>
    <sheet name="LBP NO. 5" sheetId="19" state="hidden" r:id="rId10"/>
    <sheet name="LBP NO. 6" sheetId="20" state="hidden" r:id="rId11"/>
    <sheet name="LBP NO. 7" sheetId="44" state="hidden" r:id="rId12"/>
    <sheet name="PROPOSED BUDGET" sheetId="5" state="hidden" r:id="rId13"/>
    <sheet name="2022 Annual Budget" sheetId="13" state="hidden" r:id="rId14"/>
  </sheets>
  <externalReferences>
    <externalReference r:id="rId15"/>
    <externalReference r:id="rId16"/>
  </externalReferences>
  <definedNames>
    <definedName name="_xlnm._FilterDatabase" localSheetId="3" hidden="1">'LBP NO. 2'!$H$18:$M$20</definedName>
    <definedName name="_xlnm.Print_Area" localSheetId="13">'2022 Annual Budget'!$A$233:$J$281</definedName>
    <definedName name="_xlnm.Print_Area" localSheetId="0">AO!$A$1:$M$68</definedName>
    <definedName name="_xlnm.Print_Area" localSheetId="1">'LBP NO. 1'!$A$1:$N$328</definedName>
    <definedName name="_xlnm.Print_Area" localSheetId="2">'LBP NO. 1 (Market)'!$A$1:$N$58</definedName>
    <definedName name="_xlnm.Print_Area" localSheetId="3">'LBP NO. 2'!$A$969:$M$1038</definedName>
    <definedName name="_xlnm.Print_Area" localSheetId="4">'LBP NO. 2a'!$A$152:$K$208</definedName>
    <definedName name="_xlnm.Print_Area" localSheetId="7">'LBP NO. 3a per office'!$A$748:$M$810</definedName>
    <definedName name="_xlnm.Print_Area" localSheetId="8">'LBP No. 4'!$D$391:$M$436</definedName>
    <definedName name="_xlnm.Print_Area" localSheetId="9">'LBP NO. 5'!$A$4:$L$78</definedName>
    <definedName name="_xlnm.Print_Area" localSheetId="10">'LBP NO. 6'!$A$72:$I$109</definedName>
    <definedName name="_xlnm.Print_Area" localSheetId="11">'LBP NO. 7'!$N$7:$R$61</definedName>
    <definedName name="_xlnm.Print_Area" localSheetId="12">'PROPOSED BUDGET'!$A$1:$I$47</definedName>
    <definedName name="_xlnm.Print_Area" localSheetId="5">Summary!$A$1:$J$69</definedName>
    <definedName name="_xlnm.Print_Area" localSheetId="6">'Summary (2)'!$A$1:$J$71</definedName>
    <definedName name="_xlnm.Print_Titles" localSheetId="1">'LBP NO. 1'!$250:$258</definedName>
    <definedName name="_xlnm.Print_Titles" localSheetId="8">'LBP No. 4'!$404:$405</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7" i="5" l="1"/>
  <c r="I115" i="13"/>
  <c r="I258" i="13" l="1"/>
  <c r="I251" i="13"/>
  <c r="I33" i="68"/>
  <c r="I31" i="68"/>
  <c r="I30" i="68"/>
  <c r="I29" i="68"/>
  <c r="I28" i="68"/>
  <c r="I27" i="68"/>
  <c r="I26" i="68"/>
  <c r="I25" i="68"/>
  <c r="I24" i="68"/>
  <c r="I23" i="68"/>
  <c r="I22" i="68"/>
  <c r="I21" i="68"/>
  <c r="I20" i="68"/>
  <c r="I19" i="68"/>
  <c r="I18" i="68"/>
  <c r="G34" i="68"/>
  <c r="G32" i="68" s="1"/>
  <c r="J32" i="68" s="1"/>
  <c r="G33" i="68"/>
  <c r="K201" i="16"/>
  <c r="J201" i="16"/>
  <c r="G201" i="16"/>
  <c r="K199" i="16"/>
  <c r="J199" i="16"/>
  <c r="G199" i="16"/>
  <c r="K135" i="16"/>
  <c r="J135" i="16"/>
  <c r="G135" i="16"/>
  <c r="I135" i="16"/>
  <c r="H135" i="16"/>
  <c r="G31" i="68"/>
  <c r="G30" i="68"/>
  <c r="G29" i="68"/>
  <c r="G28" i="68"/>
  <c r="G27" i="68"/>
  <c r="G26" i="68"/>
  <c r="G25" i="68"/>
  <c r="G24" i="68"/>
  <c r="G23" i="68"/>
  <c r="J23" i="68" s="1"/>
  <c r="G22" i="68"/>
  <c r="G21" i="68"/>
  <c r="G20" i="68"/>
  <c r="G19" i="68"/>
  <c r="G18" i="68"/>
  <c r="F33" i="68"/>
  <c r="F31" i="68"/>
  <c r="F30" i="68"/>
  <c r="F29" i="68"/>
  <c r="F28" i="68"/>
  <c r="F27" i="68"/>
  <c r="F26" i="68"/>
  <c r="F25" i="68"/>
  <c r="F24" i="68"/>
  <c r="F23" i="68"/>
  <c r="F22" i="68"/>
  <c r="J22" i="68" s="1"/>
  <c r="F21" i="68"/>
  <c r="F20" i="68"/>
  <c r="F19" i="68"/>
  <c r="F18" i="68"/>
  <c r="H36" i="68"/>
  <c r="N44" i="67"/>
  <c r="K44" i="67"/>
  <c r="K45" i="67" s="1"/>
  <c r="J44" i="67"/>
  <c r="J45" i="67" s="1"/>
  <c r="M43" i="67"/>
  <c r="M42" i="67"/>
  <c r="M41" i="67"/>
  <c r="L40" i="67"/>
  <c r="M40" i="67" s="1"/>
  <c r="M38" i="67"/>
  <c r="M37" i="67"/>
  <c r="M36" i="67"/>
  <c r="M35" i="67"/>
  <c r="M31" i="67"/>
  <c r="M29" i="67"/>
  <c r="M28" i="67"/>
  <c r="N25" i="67"/>
  <c r="L25" i="67"/>
  <c r="K25" i="67"/>
  <c r="J25" i="67"/>
  <c r="M24" i="67"/>
  <c r="M23" i="67"/>
  <c r="M25" i="67" s="1"/>
  <c r="M18" i="67"/>
  <c r="N18" i="67" s="1"/>
  <c r="J34" i="68" l="1"/>
  <c r="J20" i="68"/>
  <c r="J33" i="68"/>
  <c r="J21" i="68"/>
  <c r="J29" i="68"/>
  <c r="J31" i="68"/>
  <c r="J18" i="68"/>
  <c r="J19" i="68"/>
  <c r="J25" i="68"/>
  <c r="J30" i="68"/>
  <c r="I36" i="68"/>
  <c r="J28" i="68"/>
  <c r="J27" i="68"/>
  <c r="J26" i="68"/>
  <c r="G36" i="68"/>
  <c r="F36" i="68"/>
  <c r="J24" i="68"/>
  <c r="N45" i="67"/>
  <c r="M44" i="67"/>
  <c r="M45" i="67" s="1"/>
  <c r="L44" i="67"/>
  <c r="L45" i="67" s="1"/>
  <c r="J36" i="68" l="1"/>
  <c r="R46" i="44" l="1"/>
  <c r="R47" i="44"/>
  <c r="R44" i="44"/>
  <c r="R43" i="44"/>
  <c r="R42" i="44"/>
  <c r="R41" i="44"/>
  <c r="R40" i="44"/>
  <c r="R39" i="44"/>
  <c r="R38" i="44"/>
  <c r="R37" i="44"/>
  <c r="R27" i="44"/>
  <c r="R34" i="44"/>
  <c r="R33" i="44"/>
  <c r="R32" i="44"/>
  <c r="R31" i="44"/>
  <c r="R30" i="44"/>
  <c r="R29" i="44"/>
  <c r="R28" i="44"/>
  <c r="R26" i="44"/>
  <c r="R25" i="44"/>
  <c r="R24" i="44"/>
  <c r="R23" i="44"/>
  <c r="R22" i="44"/>
  <c r="R21" i="44"/>
  <c r="R20" i="44"/>
  <c r="R19" i="44"/>
  <c r="R18" i="44"/>
  <c r="R17" i="44"/>
  <c r="C61" i="44"/>
  <c r="C53" i="44"/>
  <c r="C54" i="44"/>
  <c r="C55" i="44"/>
  <c r="C57" i="44"/>
  <c r="C48" i="44"/>
  <c r="C18" i="44"/>
  <c r="G8" i="44"/>
  <c r="C8" i="44" s="1"/>
  <c r="L98" i="44"/>
  <c r="L97" i="44"/>
  <c r="J32" i="44"/>
  <c r="J33" i="44"/>
  <c r="J34" i="44"/>
  <c r="J35" i="44"/>
  <c r="J36" i="44"/>
  <c r="J37" i="44"/>
  <c r="J38" i="44"/>
  <c r="J39" i="44"/>
  <c r="J40" i="44"/>
  <c r="J41" i="44"/>
  <c r="J42" i="44"/>
  <c r="J43" i="44"/>
  <c r="J44" i="44"/>
  <c r="J45" i="44"/>
  <c r="J46" i="44"/>
  <c r="J47" i="44"/>
  <c r="J48" i="44"/>
  <c r="J10" i="44"/>
  <c r="J11" i="44"/>
  <c r="J12" i="44"/>
  <c r="J13" i="44"/>
  <c r="J14" i="44"/>
  <c r="J15" i="44"/>
  <c r="J16" i="44"/>
  <c r="J17" i="44"/>
  <c r="J18" i="44"/>
  <c r="J19" i="44"/>
  <c r="J20" i="44"/>
  <c r="J21" i="44"/>
  <c r="J22" i="44"/>
  <c r="J23" i="44"/>
  <c r="J24" i="44"/>
  <c r="J25" i="44"/>
  <c r="J26" i="44"/>
  <c r="J27" i="44"/>
  <c r="G31" i="44"/>
  <c r="G32" i="44"/>
  <c r="C32" i="44" s="1"/>
  <c r="G33" i="44"/>
  <c r="G34" i="44"/>
  <c r="G35" i="44"/>
  <c r="G36" i="44"/>
  <c r="G38" i="44"/>
  <c r="G39" i="44"/>
  <c r="G40" i="44"/>
  <c r="G41" i="44"/>
  <c r="G42" i="44"/>
  <c r="G43" i="44"/>
  <c r="G44" i="44"/>
  <c r="G45" i="44"/>
  <c r="G46" i="44"/>
  <c r="G47" i="44"/>
  <c r="G48" i="44"/>
  <c r="G9" i="44"/>
  <c r="G12" i="44"/>
  <c r="G13" i="44"/>
  <c r="G14" i="44"/>
  <c r="G15" i="44"/>
  <c r="G16" i="44"/>
  <c r="G17" i="44"/>
  <c r="G18" i="44"/>
  <c r="G19" i="44"/>
  <c r="G20" i="44"/>
  <c r="G21" i="44"/>
  <c r="G22" i="44"/>
  <c r="G23" i="44"/>
  <c r="G24" i="44"/>
  <c r="G25" i="44"/>
  <c r="G26" i="44"/>
  <c r="G27" i="44"/>
  <c r="J52" i="44"/>
  <c r="J53" i="44"/>
  <c r="J54" i="44"/>
  <c r="J55" i="44"/>
  <c r="J56" i="44"/>
  <c r="J57" i="44"/>
  <c r="G52" i="44"/>
  <c r="G53" i="44"/>
  <c r="G54" i="44"/>
  <c r="G55" i="44"/>
  <c r="G56" i="44"/>
  <c r="G57" i="44"/>
  <c r="G58" i="44"/>
  <c r="G59" i="44"/>
  <c r="C26" i="44" l="1"/>
  <c r="C22" i="44"/>
  <c r="C14" i="44"/>
  <c r="R35" i="44"/>
  <c r="C39" i="44"/>
  <c r="C23" i="44"/>
  <c r="C24" i="44"/>
  <c r="C20" i="44"/>
  <c r="C12" i="44"/>
  <c r="C19" i="44"/>
  <c r="C15" i="44"/>
  <c r="C25" i="44"/>
  <c r="C21" i="44"/>
  <c r="C43" i="44"/>
  <c r="L47" i="44"/>
  <c r="L8" i="44"/>
  <c r="L52" i="44"/>
  <c r="M113" i="63"/>
  <c r="M112" i="63"/>
  <c r="M111" i="63"/>
  <c r="M110" i="63"/>
  <c r="M109" i="63"/>
  <c r="M108" i="63"/>
  <c r="M107" i="63"/>
  <c r="M103" i="63"/>
  <c r="M102" i="63"/>
  <c r="M99" i="63"/>
  <c r="M97" i="63"/>
  <c r="M42" i="63"/>
  <c r="M41" i="63"/>
  <c r="M40" i="63"/>
  <c r="M39" i="63"/>
  <c r="M38" i="63"/>
  <c r="M35" i="63"/>
  <c r="M34" i="63"/>
  <c r="M31" i="63"/>
  <c r="M30" i="63"/>
  <c r="M27" i="63"/>
  <c r="M24" i="63"/>
  <c r="R266" i="64" l="1"/>
  <c r="S266" i="64" s="1"/>
  <c r="O266" i="64"/>
  <c r="N266" i="64"/>
  <c r="M266" i="64"/>
  <c r="J68" i="64"/>
  <c r="M463" i="63"/>
  <c r="M462" i="63"/>
  <c r="M461" i="63"/>
  <c r="M460" i="63"/>
  <c r="M459" i="63"/>
  <c r="M458" i="63"/>
  <c r="M457" i="63"/>
  <c r="M452" i="63"/>
  <c r="M451" i="63"/>
  <c r="M448" i="63"/>
  <c r="M446" i="63"/>
  <c r="M395" i="63"/>
  <c r="M394" i="63"/>
  <c r="M393" i="63"/>
  <c r="M392" i="63"/>
  <c r="M391" i="63"/>
  <c r="M390" i="63"/>
  <c r="M389" i="63"/>
  <c r="M384" i="63"/>
  <c r="M383" i="63"/>
  <c r="M380" i="63"/>
  <c r="M378" i="63"/>
  <c r="M798" i="63"/>
  <c r="M793" i="63"/>
  <c r="M805" i="63"/>
  <c r="M804" i="63"/>
  <c r="M803" i="63"/>
  <c r="M802" i="63"/>
  <c r="M801" i="63"/>
  <c r="M800" i="63"/>
  <c r="M799" i="63"/>
  <c r="M794" i="63"/>
  <c r="M792" i="63"/>
  <c r="M789" i="63"/>
  <c r="M787" i="63"/>
  <c r="M662" i="63"/>
  <c r="M657" i="63"/>
  <c r="M669" i="63"/>
  <c r="M668" i="63"/>
  <c r="M667" i="63"/>
  <c r="M666" i="63"/>
  <c r="M665" i="63"/>
  <c r="M664" i="63"/>
  <c r="M663" i="63"/>
  <c r="M658" i="63"/>
  <c r="M656" i="63"/>
  <c r="M653" i="63"/>
  <c r="M651" i="63"/>
  <c r="J125" i="64"/>
  <c r="R96" i="64"/>
  <c r="L96" i="64"/>
  <c r="O96" i="64" s="1"/>
  <c r="R269" i="64"/>
  <c r="L269" i="64"/>
  <c r="O269" i="64" s="1"/>
  <c r="R93" i="64"/>
  <c r="L93" i="64"/>
  <c r="O93" i="64" s="1"/>
  <c r="R90" i="64"/>
  <c r="L90" i="64"/>
  <c r="O90" i="64" s="1"/>
  <c r="L87" i="64"/>
  <c r="O87" i="64" s="1"/>
  <c r="R87" i="64"/>
  <c r="R659" i="64"/>
  <c r="S659" i="64" s="1"/>
  <c r="O659" i="64"/>
  <c r="N659" i="64"/>
  <c r="M659" i="64"/>
  <c r="L567" i="64"/>
  <c r="M567" i="64" s="1"/>
  <c r="R65" i="64"/>
  <c r="L65" i="64"/>
  <c r="N65" i="64" s="1"/>
  <c r="L61" i="64"/>
  <c r="N61" i="64" s="1"/>
  <c r="R61" i="64"/>
  <c r="L58" i="64"/>
  <c r="O58" i="64" s="1"/>
  <c r="R58" i="64"/>
  <c r="L1025" i="64"/>
  <c r="O1025" i="64" s="1"/>
  <c r="R1025" i="64"/>
  <c r="L1022" i="64"/>
  <c r="O1022" i="64" s="1"/>
  <c r="R1022" i="64"/>
  <c r="L1019" i="64"/>
  <c r="N1019" i="64" s="1"/>
  <c r="R1019" i="64"/>
  <c r="S58" i="64" l="1"/>
  <c r="P266" i="64"/>
  <c r="J126" i="64"/>
  <c r="N567" i="64"/>
  <c r="S96" i="64"/>
  <c r="M58" i="64"/>
  <c r="P58" i="64" s="1"/>
  <c r="O567" i="64"/>
  <c r="P659" i="64"/>
  <c r="O65" i="64"/>
  <c r="N58" i="64"/>
  <c r="S269" i="64"/>
  <c r="S1022" i="64"/>
  <c r="S1025" i="64"/>
  <c r="S65" i="64"/>
  <c r="M65" i="64"/>
  <c r="S90" i="64"/>
  <c r="S87" i="64"/>
  <c r="S93" i="64"/>
  <c r="M96" i="64"/>
  <c r="P96" i="64" s="1"/>
  <c r="N96" i="64"/>
  <c r="M269" i="64"/>
  <c r="P269" i="64" s="1"/>
  <c r="N269" i="64"/>
  <c r="M93" i="64"/>
  <c r="P93" i="64" s="1"/>
  <c r="N93" i="64"/>
  <c r="M90" i="64"/>
  <c r="P90" i="64" s="1"/>
  <c r="N90" i="64"/>
  <c r="M87" i="64"/>
  <c r="N87" i="64"/>
  <c r="S61" i="64"/>
  <c r="O61" i="64"/>
  <c r="M61" i="64"/>
  <c r="M1019" i="64"/>
  <c r="O1019" i="64"/>
  <c r="M1025" i="64"/>
  <c r="P1025" i="64" s="1"/>
  <c r="N1025" i="64"/>
  <c r="M1022" i="64"/>
  <c r="P1022" i="64" s="1"/>
  <c r="N1022" i="64"/>
  <c r="S1019" i="64"/>
  <c r="R864" i="64"/>
  <c r="O864" i="64"/>
  <c r="R869" i="64"/>
  <c r="L869" i="64"/>
  <c r="O869" i="64" s="1"/>
  <c r="L859" i="64"/>
  <c r="N859" i="64" s="1"/>
  <c r="R859" i="64"/>
  <c r="R854" i="64"/>
  <c r="S854" i="64" s="1"/>
  <c r="O854" i="64"/>
  <c r="N854" i="64"/>
  <c r="M854" i="64"/>
  <c r="P65" i="64" l="1"/>
  <c r="P87" i="64"/>
  <c r="M125" i="64"/>
  <c r="M859" i="64"/>
  <c r="S859" i="64"/>
  <c r="P1019" i="64"/>
  <c r="P61" i="64"/>
  <c r="S869" i="64"/>
  <c r="P854" i="64"/>
  <c r="S864" i="64"/>
  <c r="M864" i="64"/>
  <c r="P864" i="64" s="1"/>
  <c r="N864" i="64"/>
  <c r="M869" i="64"/>
  <c r="P869" i="64" s="1"/>
  <c r="N869" i="64"/>
  <c r="O859" i="64"/>
  <c r="L385" i="63"/>
  <c r="P859" i="64" l="1"/>
  <c r="M67" i="63"/>
  <c r="J67" i="63"/>
  <c r="M121" i="63"/>
  <c r="M126" i="63"/>
  <c r="M130" i="63"/>
  <c r="J1320" i="64" l="1"/>
  <c r="O1287" i="64"/>
  <c r="N1287" i="64"/>
  <c r="M1287" i="64"/>
  <c r="R1281" i="64"/>
  <c r="S1281" i="64" s="1"/>
  <c r="O1281" i="64"/>
  <c r="N1281" i="64"/>
  <c r="M1281" i="64"/>
  <c r="J1232" i="64"/>
  <c r="N1211" i="64"/>
  <c r="M1211" i="64"/>
  <c r="R1207" i="64"/>
  <c r="S1207" i="64" s="1"/>
  <c r="N1207" i="64"/>
  <c r="R1206" i="64"/>
  <c r="S1206" i="64" s="1"/>
  <c r="O1206" i="64"/>
  <c r="N1206" i="64"/>
  <c r="M1206" i="64"/>
  <c r="R1203" i="64"/>
  <c r="S1203" i="64" s="1"/>
  <c r="N1202" i="64"/>
  <c r="R1201" i="64"/>
  <c r="S1201" i="64" s="1"/>
  <c r="O1201" i="64"/>
  <c r="N1201" i="64"/>
  <c r="M1201" i="64"/>
  <c r="J1180" i="64"/>
  <c r="R1178" i="64"/>
  <c r="S1178" i="64" s="1"/>
  <c r="O1178" i="64"/>
  <c r="N1178" i="64"/>
  <c r="M1178" i="64"/>
  <c r="R1176" i="64"/>
  <c r="S1176" i="64" s="1"/>
  <c r="O1176" i="64"/>
  <c r="N1176" i="64"/>
  <c r="M1176" i="64"/>
  <c r="R1174" i="64"/>
  <c r="S1174" i="64" s="1"/>
  <c r="O1174" i="64"/>
  <c r="N1174" i="64"/>
  <c r="M1174" i="64"/>
  <c r="R1172" i="64"/>
  <c r="S1172" i="64" s="1"/>
  <c r="O1172" i="64"/>
  <c r="N1172" i="64"/>
  <c r="M1172" i="64"/>
  <c r="R1168" i="64"/>
  <c r="S1168" i="64" s="1"/>
  <c r="O1168" i="64"/>
  <c r="N1168" i="64"/>
  <c r="M1168" i="64"/>
  <c r="N1167" i="64"/>
  <c r="R1166" i="64"/>
  <c r="S1166" i="64" s="1"/>
  <c r="O1166" i="64"/>
  <c r="N1166" i="64"/>
  <c r="M1166" i="64"/>
  <c r="R1164" i="64"/>
  <c r="S1164" i="64" s="1"/>
  <c r="O1164" i="64"/>
  <c r="N1164" i="64"/>
  <c r="M1164" i="64"/>
  <c r="N1163" i="64"/>
  <c r="R1162" i="64"/>
  <c r="S1162" i="64" s="1"/>
  <c r="O1162" i="64"/>
  <c r="N1162" i="64"/>
  <c r="M1162" i="64"/>
  <c r="R1160" i="64"/>
  <c r="S1160" i="64" s="1"/>
  <c r="O1160" i="64"/>
  <c r="N1160" i="64"/>
  <c r="M1160" i="64"/>
  <c r="R1158" i="64"/>
  <c r="S1158" i="64" s="1"/>
  <c r="O1158" i="64"/>
  <c r="N1158" i="64"/>
  <c r="M1158" i="64"/>
  <c r="N1157" i="64"/>
  <c r="R1156" i="64"/>
  <c r="S1156" i="64" s="1"/>
  <c r="O1156" i="64"/>
  <c r="N1156" i="64"/>
  <c r="M1156" i="64"/>
  <c r="R1155" i="64"/>
  <c r="S1155" i="64" s="1"/>
  <c r="R1154" i="64"/>
  <c r="S1154" i="64" s="1"/>
  <c r="O1154" i="64"/>
  <c r="N1154" i="64"/>
  <c r="M1154" i="64"/>
  <c r="R1152" i="64"/>
  <c r="S1152" i="64" s="1"/>
  <c r="O1152" i="64"/>
  <c r="N1152" i="64"/>
  <c r="M1152" i="64"/>
  <c r="R1148" i="64"/>
  <c r="S1148" i="64" s="1"/>
  <c r="O1148" i="64"/>
  <c r="N1148" i="64"/>
  <c r="M1148" i="64"/>
  <c r="R1146" i="64"/>
  <c r="S1146" i="64" s="1"/>
  <c r="O1146" i="64"/>
  <c r="N1146" i="64"/>
  <c r="M1146" i="64"/>
  <c r="N1145" i="64"/>
  <c r="R1144" i="64"/>
  <c r="S1144" i="64" s="1"/>
  <c r="O1144" i="64"/>
  <c r="N1144" i="64"/>
  <c r="M1144" i="64"/>
  <c r="R1142" i="64"/>
  <c r="S1142" i="64" s="1"/>
  <c r="O1142" i="64"/>
  <c r="N1142" i="64"/>
  <c r="M1142" i="64"/>
  <c r="R1138" i="64"/>
  <c r="S1138" i="64" s="1"/>
  <c r="O1138" i="64"/>
  <c r="N1138" i="64"/>
  <c r="M1138" i="64"/>
  <c r="R1136" i="64"/>
  <c r="S1136" i="64" s="1"/>
  <c r="O1136" i="64"/>
  <c r="N1136" i="64"/>
  <c r="M1136" i="64"/>
  <c r="R1132" i="64"/>
  <c r="S1132" i="64" s="1"/>
  <c r="O1132" i="64"/>
  <c r="N1132" i="64"/>
  <c r="M1132" i="64"/>
  <c r="N1131" i="64"/>
  <c r="R1130" i="64"/>
  <c r="S1130" i="64" s="1"/>
  <c r="O1130" i="64"/>
  <c r="N1130" i="64"/>
  <c r="M1130" i="64"/>
  <c r="L1097" i="64"/>
  <c r="J1097" i="64"/>
  <c r="R1076" i="64"/>
  <c r="S1076" i="64" s="1"/>
  <c r="O1076" i="64"/>
  <c r="N1076" i="64"/>
  <c r="M1076" i="64"/>
  <c r="R1072" i="64"/>
  <c r="S1072" i="64" s="1"/>
  <c r="O1072" i="64"/>
  <c r="N1072" i="64"/>
  <c r="M1072" i="64"/>
  <c r="R1068" i="64"/>
  <c r="S1068" i="64" s="1"/>
  <c r="O1068" i="64"/>
  <c r="N1068" i="64"/>
  <c r="M1068" i="64"/>
  <c r="R1064" i="64"/>
  <c r="S1064" i="64" s="1"/>
  <c r="O1064" i="64"/>
  <c r="N1064" i="64"/>
  <c r="M1064" i="64"/>
  <c r="R1060" i="64"/>
  <c r="S1060" i="64" s="1"/>
  <c r="O1060" i="64"/>
  <c r="N1060" i="64"/>
  <c r="M1060" i="64"/>
  <c r="R1056" i="64"/>
  <c r="S1056" i="64" s="1"/>
  <c r="O1056" i="64"/>
  <c r="N1056" i="64"/>
  <c r="M1056" i="64"/>
  <c r="J1027" i="64"/>
  <c r="R1017" i="64"/>
  <c r="S1017" i="64" s="1"/>
  <c r="O1017" i="64"/>
  <c r="N1017" i="64"/>
  <c r="M1017" i="64"/>
  <c r="R1014" i="64"/>
  <c r="S1014" i="64" s="1"/>
  <c r="O1014" i="64"/>
  <c r="N1014" i="64"/>
  <c r="M1014" i="64"/>
  <c r="R1011" i="64"/>
  <c r="S1011" i="64" s="1"/>
  <c r="O1011" i="64"/>
  <c r="N1011" i="64"/>
  <c r="M1011" i="64"/>
  <c r="R1008" i="64"/>
  <c r="S1008" i="64" s="1"/>
  <c r="O1008" i="64"/>
  <c r="N1008" i="64"/>
  <c r="M1008" i="64"/>
  <c r="N1006" i="64"/>
  <c r="R1005" i="64"/>
  <c r="S1005" i="64" s="1"/>
  <c r="O1005" i="64"/>
  <c r="N1005" i="64"/>
  <c r="M1005" i="64"/>
  <c r="R1002" i="64"/>
  <c r="S1002" i="64" s="1"/>
  <c r="O1002" i="64"/>
  <c r="N1002" i="64"/>
  <c r="M1002" i="64"/>
  <c r="R999" i="64"/>
  <c r="S999" i="64" s="1"/>
  <c r="O999" i="64"/>
  <c r="N999" i="64"/>
  <c r="M999" i="64"/>
  <c r="R996" i="64"/>
  <c r="S996" i="64" s="1"/>
  <c r="O996" i="64"/>
  <c r="N996" i="64"/>
  <c r="M996" i="64"/>
  <c r="R993" i="64"/>
  <c r="S993" i="64" s="1"/>
  <c r="O993" i="64"/>
  <c r="N993" i="64"/>
  <c r="M993" i="64"/>
  <c r="R990" i="64"/>
  <c r="S990" i="64" s="1"/>
  <c r="O990" i="64"/>
  <c r="N990" i="64"/>
  <c r="M990" i="64"/>
  <c r="R986" i="64"/>
  <c r="S986" i="64" s="1"/>
  <c r="O986" i="64"/>
  <c r="N986" i="64"/>
  <c r="M986" i="64"/>
  <c r="N984" i="64"/>
  <c r="R983" i="64"/>
  <c r="S983" i="64" s="1"/>
  <c r="O983" i="64"/>
  <c r="N983" i="64"/>
  <c r="M983" i="64"/>
  <c r="R979" i="64"/>
  <c r="S979" i="64" s="1"/>
  <c r="O979" i="64"/>
  <c r="N979" i="64"/>
  <c r="M979" i="64"/>
  <c r="J946" i="64"/>
  <c r="N940" i="64"/>
  <c r="M940" i="64"/>
  <c r="R936" i="64"/>
  <c r="S936" i="64" s="1"/>
  <c r="O936" i="64"/>
  <c r="N936" i="64"/>
  <c r="M936" i="64"/>
  <c r="R932" i="64"/>
  <c r="S932" i="64" s="1"/>
  <c r="O932" i="64"/>
  <c r="N932" i="64"/>
  <c r="M932" i="64"/>
  <c r="R928" i="64"/>
  <c r="S928" i="64" s="1"/>
  <c r="O928" i="64"/>
  <c r="N928" i="64"/>
  <c r="M928" i="64"/>
  <c r="N925" i="64"/>
  <c r="R924" i="64"/>
  <c r="S924" i="64" s="1"/>
  <c r="O924" i="64"/>
  <c r="N924" i="64"/>
  <c r="M924" i="64"/>
  <c r="N921" i="64"/>
  <c r="R920" i="64"/>
  <c r="S920" i="64" s="1"/>
  <c r="O920" i="64"/>
  <c r="N920" i="64"/>
  <c r="M920" i="64"/>
  <c r="R917" i="64"/>
  <c r="S917" i="64" s="1"/>
  <c r="N917" i="64"/>
  <c r="R916" i="64"/>
  <c r="S916" i="64" s="1"/>
  <c r="O916" i="64"/>
  <c r="N916" i="64"/>
  <c r="M916" i="64"/>
  <c r="R912" i="64"/>
  <c r="S912" i="64" s="1"/>
  <c r="O912" i="64"/>
  <c r="N912" i="64"/>
  <c r="M912" i="64"/>
  <c r="R908" i="64"/>
  <c r="S908" i="64" s="1"/>
  <c r="N908" i="64"/>
  <c r="R907" i="64"/>
  <c r="S907" i="64" s="1"/>
  <c r="O907" i="64"/>
  <c r="N907" i="64"/>
  <c r="M907" i="64"/>
  <c r="L874" i="64"/>
  <c r="J874" i="64"/>
  <c r="N850" i="64"/>
  <c r="R849" i="64"/>
  <c r="S849" i="64" s="1"/>
  <c r="O849" i="64"/>
  <c r="N849" i="64"/>
  <c r="M849" i="64"/>
  <c r="N845" i="64"/>
  <c r="R844" i="64"/>
  <c r="S844" i="64" s="1"/>
  <c r="O844" i="64"/>
  <c r="N844" i="64"/>
  <c r="M844" i="64"/>
  <c r="N840" i="64"/>
  <c r="R839" i="64"/>
  <c r="S839" i="64" s="1"/>
  <c r="O839" i="64"/>
  <c r="N839" i="64"/>
  <c r="M839" i="64"/>
  <c r="R833" i="64"/>
  <c r="S833" i="64" s="1"/>
  <c r="O833" i="64"/>
  <c r="N833" i="64"/>
  <c r="M833" i="64"/>
  <c r="L803" i="64"/>
  <c r="J803" i="64"/>
  <c r="N773" i="64"/>
  <c r="M773" i="64"/>
  <c r="N766" i="64"/>
  <c r="R765" i="64"/>
  <c r="S765" i="64" s="1"/>
  <c r="O765" i="64"/>
  <c r="N765" i="64"/>
  <c r="M765" i="64"/>
  <c r="N762" i="64"/>
  <c r="R761" i="64"/>
  <c r="S761" i="64" s="1"/>
  <c r="O761" i="64"/>
  <c r="N761" i="64"/>
  <c r="M761" i="64"/>
  <c r="J728" i="64"/>
  <c r="R715" i="64"/>
  <c r="S715" i="64" s="1"/>
  <c r="O715" i="64"/>
  <c r="N715" i="64"/>
  <c r="M715" i="64"/>
  <c r="R710" i="64"/>
  <c r="S710" i="64" s="1"/>
  <c r="O710" i="64"/>
  <c r="N710" i="64"/>
  <c r="M710" i="64"/>
  <c r="R705" i="64"/>
  <c r="S705" i="64" s="1"/>
  <c r="O705" i="64"/>
  <c r="N705" i="64"/>
  <c r="M705" i="64"/>
  <c r="R700" i="64"/>
  <c r="S700" i="64" s="1"/>
  <c r="O700" i="64"/>
  <c r="N700" i="64"/>
  <c r="M700" i="64"/>
  <c r="R693" i="64"/>
  <c r="S693" i="64" s="1"/>
  <c r="O693" i="64"/>
  <c r="N693" i="64"/>
  <c r="M693" i="64"/>
  <c r="R690" i="64"/>
  <c r="S690" i="64" s="1"/>
  <c r="N690" i="64"/>
  <c r="R689" i="64"/>
  <c r="S689" i="64" s="1"/>
  <c r="O689" i="64"/>
  <c r="N689" i="64"/>
  <c r="M689" i="64"/>
  <c r="J661" i="64"/>
  <c r="R656" i="64"/>
  <c r="S656" i="64" s="1"/>
  <c r="O656" i="64"/>
  <c r="N656" i="64"/>
  <c r="M656" i="64"/>
  <c r="R652" i="64"/>
  <c r="S652" i="64" s="1"/>
  <c r="O652" i="64"/>
  <c r="N652" i="64"/>
  <c r="M652" i="64"/>
  <c r="R648" i="64"/>
  <c r="S648" i="64" s="1"/>
  <c r="O648" i="64"/>
  <c r="N648" i="64"/>
  <c r="M648" i="64"/>
  <c r="R646" i="64"/>
  <c r="S646" i="64" s="1"/>
  <c r="O646" i="64"/>
  <c r="N646" i="64"/>
  <c r="M646" i="64"/>
  <c r="R644" i="64"/>
  <c r="S644" i="64" s="1"/>
  <c r="O644" i="64"/>
  <c r="N644" i="64"/>
  <c r="M644" i="64"/>
  <c r="R640" i="64"/>
  <c r="S640" i="64" s="1"/>
  <c r="O640" i="64"/>
  <c r="N640" i="64"/>
  <c r="M640" i="64"/>
  <c r="R636" i="64"/>
  <c r="S636" i="64" s="1"/>
  <c r="O636" i="64"/>
  <c r="N636" i="64"/>
  <c r="M636" i="64"/>
  <c r="R632" i="64"/>
  <c r="S632" i="64" s="1"/>
  <c r="O632" i="64"/>
  <c r="N632" i="64"/>
  <c r="M632" i="64"/>
  <c r="N631" i="64"/>
  <c r="R630" i="64"/>
  <c r="S630" i="64" s="1"/>
  <c r="O630" i="64"/>
  <c r="N630" i="64"/>
  <c r="M630" i="64"/>
  <c r="R626" i="64"/>
  <c r="S626" i="64" s="1"/>
  <c r="O626" i="64"/>
  <c r="N626" i="64"/>
  <c r="M626" i="64"/>
  <c r="N623" i="64"/>
  <c r="R622" i="64"/>
  <c r="S622" i="64" s="1"/>
  <c r="O622" i="64"/>
  <c r="N622" i="64"/>
  <c r="M622" i="64"/>
  <c r="N618" i="64"/>
  <c r="R617" i="64"/>
  <c r="S617" i="64" s="1"/>
  <c r="O617" i="64"/>
  <c r="N617" i="64"/>
  <c r="M617" i="64"/>
  <c r="L587" i="64"/>
  <c r="J587" i="64"/>
  <c r="O564" i="64"/>
  <c r="N564" i="64"/>
  <c r="M564" i="64"/>
  <c r="R560" i="64"/>
  <c r="S560" i="64" s="1"/>
  <c r="O560" i="64"/>
  <c r="N560" i="64"/>
  <c r="M560" i="64"/>
  <c r="R556" i="64"/>
  <c r="S556" i="64" s="1"/>
  <c r="O556" i="64"/>
  <c r="N556" i="64"/>
  <c r="M556" i="64"/>
  <c r="R552" i="64"/>
  <c r="S552" i="64" s="1"/>
  <c r="O552" i="64"/>
  <c r="N552" i="64"/>
  <c r="M552" i="64"/>
  <c r="R548" i="64"/>
  <c r="S548" i="64" s="1"/>
  <c r="N548" i="64"/>
  <c r="R547" i="64"/>
  <c r="S547" i="64" s="1"/>
  <c r="O547" i="64"/>
  <c r="N547" i="64"/>
  <c r="M547" i="64"/>
  <c r="L514" i="64"/>
  <c r="J514" i="64"/>
  <c r="R483" i="64"/>
  <c r="S483" i="64" s="1"/>
  <c r="O483" i="64"/>
  <c r="N483" i="64"/>
  <c r="M483" i="64"/>
  <c r="R479" i="64"/>
  <c r="S479" i="64" s="1"/>
  <c r="O479" i="64"/>
  <c r="N479" i="64"/>
  <c r="M479" i="64"/>
  <c r="R475" i="64"/>
  <c r="S475" i="64" s="1"/>
  <c r="O475" i="64"/>
  <c r="N475" i="64"/>
  <c r="M475" i="64"/>
  <c r="M514" i="64" s="1"/>
  <c r="L443" i="64"/>
  <c r="J443" i="64"/>
  <c r="R411" i="64"/>
  <c r="S411" i="64" s="1"/>
  <c r="O411" i="64"/>
  <c r="N411" i="64"/>
  <c r="M411" i="64"/>
  <c r="R407" i="64"/>
  <c r="S407" i="64" s="1"/>
  <c r="O407" i="64"/>
  <c r="N407" i="64"/>
  <c r="M407" i="64"/>
  <c r="R403" i="64"/>
  <c r="S403" i="64" s="1"/>
  <c r="O403" i="64"/>
  <c r="N403" i="64"/>
  <c r="M403" i="64"/>
  <c r="L368" i="64"/>
  <c r="J368" i="64"/>
  <c r="R342" i="64"/>
  <c r="S342" i="64" s="1"/>
  <c r="O342" i="64"/>
  <c r="N342" i="64"/>
  <c r="M342" i="64"/>
  <c r="R338" i="64"/>
  <c r="S338" i="64" s="1"/>
  <c r="O338" i="64"/>
  <c r="N338" i="64"/>
  <c r="M338" i="64"/>
  <c r="R334" i="64"/>
  <c r="S334" i="64" s="1"/>
  <c r="R329" i="64"/>
  <c r="S329" i="64" s="1"/>
  <c r="O329" i="64"/>
  <c r="N329" i="64"/>
  <c r="M329" i="64"/>
  <c r="J279" i="64"/>
  <c r="R263" i="64"/>
  <c r="S263" i="64" s="1"/>
  <c r="O263" i="64"/>
  <c r="N263" i="64"/>
  <c r="M263" i="64"/>
  <c r="R260" i="64"/>
  <c r="S260" i="64" s="1"/>
  <c r="O260" i="64"/>
  <c r="N260" i="64"/>
  <c r="M260" i="64"/>
  <c r="R257" i="64"/>
  <c r="S257" i="64" s="1"/>
  <c r="O257" i="64"/>
  <c r="N257" i="64"/>
  <c r="M257" i="64"/>
  <c r="R254" i="64"/>
  <c r="S254" i="64" s="1"/>
  <c r="O254" i="64"/>
  <c r="N254" i="64"/>
  <c r="M254" i="64"/>
  <c r="R251" i="64"/>
  <c r="S251" i="64" s="1"/>
  <c r="O251" i="64"/>
  <c r="N251" i="64"/>
  <c r="M251" i="64"/>
  <c r="R246" i="64"/>
  <c r="S246" i="64" s="1"/>
  <c r="O246" i="64"/>
  <c r="N246" i="64"/>
  <c r="M246" i="64"/>
  <c r="R241" i="64"/>
  <c r="S241" i="64" s="1"/>
  <c r="O241" i="64"/>
  <c r="N241" i="64"/>
  <c r="M241" i="64"/>
  <c r="J210" i="64"/>
  <c r="R206" i="64"/>
  <c r="S206" i="64" s="1"/>
  <c r="O206" i="64"/>
  <c r="N206" i="64"/>
  <c r="M206" i="64"/>
  <c r="R201" i="64"/>
  <c r="S201" i="64" s="1"/>
  <c r="O201" i="64"/>
  <c r="N201" i="64"/>
  <c r="M201" i="64"/>
  <c r="R196" i="64"/>
  <c r="S196" i="64" s="1"/>
  <c r="O196" i="64"/>
  <c r="N196" i="64"/>
  <c r="M196" i="64"/>
  <c r="R191" i="64"/>
  <c r="S191" i="64" s="1"/>
  <c r="O191" i="64"/>
  <c r="N191" i="64"/>
  <c r="M191" i="64"/>
  <c r="R188" i="64"/>
  <c r="S188" i="64" s="1"/>
  <c r="O188" i="64"/>
  <c r="N188" i="64"/>
  <c r="M188" i="64"/>
  <c r="R183" i="64"/>
  <c r="S183" i="64" s="1"/>
  <c r="O183" i="64"/>
  <c r="N183" i="64"/>
  <c r="M183" i="64"/>
  <c r="R178" i="64"/>
  <c r="S178" i="64" s="1"/>
  <c r="O178" i="64"/>
  <c r="N178" i="64"/>
  <c r="M178" i="64"/>
  <c r="R173" i="64"/>
  <c r="S173" i="64" s="1"/>
  <c r="O173" i="64"/>
  <c r="N173" i="64"/>
  <c r="M173" i="64"/>
  <c r="R168" i="64"/>
  <c r="S168" i="64" s="1"/>
  <c r="O168" i="64"/>
  <c r="N168" i="64"/>
  <c r="M168" i="64"/>
  <c r="R163" i="64"/>
  <c r="S163" i="64" s="1"/>
  <c r="O163" i="64"/>
  <c r="N163" i="64"/>
  <c r="M163" i="64"/>
  <c r="R158" i="64"/>
  <c r="S158" i="64" s="1"/>
  <c r="O158" i="64"/>
  <c r="N158" i="64"/>
  <c r="M158" i="64"/>
  <c r="M210" i="64" s="1"/>
  <c r="R55" i="64"/>
  <c r="S55" i="64" s="1"/>
  <c r="O55" i="64"/>
  <c r="N55" i="64"/>
  <c r="M55" i="64"/>
  <c r="R51" i="64"/>
  <c r="S51" i="64" s="1"/>
  <c r="O51" i="64"/>
  <c r="N51" i="64"/>
  <c r="M51" i="64"/>
  <c r="R45" i="64"/>
  <c r="S45" i="64" s="1"/>
  <c r="O45" i="64"/>
  <c r="N45" i="64"/>
  <c r="M45" i="64"/>
  <c r="R42" i="64"/>
  <c r="S42" i="64" s="1"/>
  <c r="O42" i="64"/>
  <c r="N42" i="64"/>
  <c r="M42" i="64"/>
  <c r="R38" i="64"/>
  <c r="S38" i="64" s="1"/>
  <c r="O38" i="64"/>
  <c r="N38" i="64"/>
  <c r="M38" i="64"/>
  <c r="R35" i="64"/>
  <c r="S35" i="64" s="1"/>
  <c r="O35" i="64"/>
  <c r="N35" i="64"/>
  <c r="M35" i="64"/>
  <c r="R32" i="64"/>
  <c r="S32" i="64" s="1"/>
  <c r="O32" i="64"/>
  <c r="N32" i="64"/>
  <c r="M32" i="64"/>
  <c r="R29" i="64"/>
  <c r="S29" i="64" s="1"/>
  <c r="O29" i="64"/>
  <c r="N29" i="64"/>
  <c r="M29" i="64"/>
  <c r="R24" i="64"/>
  <c r="S24" i="64" s="1"/>
  <c r="O24" i="64"/>
  <c r="N24" i="64"/>
  <c r="M24" i="64"/>
  <c r="R20" i="64"/>
  <c r="S20" i="64" s="1"/>
  <c r="O20" i="64"/>
  <c r="N20" i="64"/>
  <c r="M20" i="64"/>
  <c r="R15" i="64"/>
  <c r="S15" i="64" s="1"/>
  <c r="O15" i="64"/>
  <c r="N15" i="64"/>
  <c r="M15" i="64"/>
  <c r="M68" i="64" s="1"/>
  <c r="M126" i="64" s="1"/>
  <c r="M279" i="64" l="1"/>
  <c r="M280" i="64" s="1"/>
  <c r="J1235" i="64"/>
  <c r="M874" i="64"/>
  <c r="P849" i="64"/>
  <c r="P1206" i="64"/>
  <c r="P547" i="64"/>
  <c r="P622" i="64"/>
  <c r="P986" i="64"/>
  <c r="P1142" i="64"/>
  <c r="P1160" i="64"/>
  <c r="P617" i="64"/>
  <c r="P689" i="64"/>
  <c r="P928" i="64"/>
  <c r="P932" i="64"/>
  <c r="P1056" i="64"/>
  <c r="P1064" i="64"/>
  <c r="P636" i="64"/>
  <c r="P644" i="64"/>
  <c r="P648" i="64"/>
  <c r="P656" i="64"/>
  <c r="P761" i="64"/>
  <c r="P979" i="64"/>
  <c r="P983" i="64"/>
  <c r="P1011" i="64"/>
  <c r="P1017" i="64"/>
  <c r="P1136" i="64"/>
  <c r="P765" i="64"/>
  <c r="P1072" i="64"/>
  <c r="P411" i="64"/>
  <c r="P1174" i="64"/>
  <c r="P241" i="64"/>
  <c r="P246" i="64"/>
  <c r="P251" i="64"/>
  <c r="P254" i="64"/>
  <c r="P257" i="64"/>
  <c r="P260" i="64"/>
  <c r="P263" i="64"/>
  <c r="P403" i="64"/>
  <c r="P632" i="64"/>
  <c r="P646" i="64"/>
  <c r="P693" i="64"/>
  <c r="P700" i="64"/>
  <c r="P705" i="64"/>
  <c r="P710" i="64"/>
  <c r="P907" i="64"/>
  <c r="P1008" i="64"/>
  <c r="P1068" i="64"/>
  <c r="P1138" i="64"/>
  <c r="P1146" i="64"/>
  <c r="P1148" i="64"/>
  <c r="P1152" i="64"/>
  <c r="P1154" i="64"/>
  <c r="P1162" i="64"/>
  <c r="P1178" i="64"/>
  <c r="P920" i="64"/>
  <c r="P1130" i="64"/>
  <c r="P1156" i="64"/>
  <c r="J280" i="64"/>
  <c r="J1346" i="64" s="1"/>
  <c r="J1347" i="64" s="1"/>
  <c r="M661" i="64"/>
  <c r="P833" i="64"/>
  <c r="P839" i="64"/>
  <c r="P936" i="64"/>
  <c r="P35" i="64"/>
  <c r="P42" i="64"/>
  <c r="P407" i="64"/>
  <c r="P475" i="64"/>
  <c r="M587" i="64"/>
  <c r="P163" i="64"/>
  <c r="P173" i="64"/>
  <c r="P183" i="64"/>
  <c r="P191" i="64"/>
  <c r="P201" i="64"/>
  <c r="P338" i="64"/>
  <c r="P342" i="64"/>
  <c r="M443" i="64"/>
  <c r="P552" i="64"/>
  <c r="P556" i="64"/>
  <c r="P560" i="64"/>
  <c r="P626" i="64"/>
  <c r="P630" i="64"/>
  <c r="M728" i="64"/>
  <c r="P844" i="64"/>
  <c r="P912" i="64"/>
  <c r="P916" i="64"/>
  <c r="P924" i="64"/>
  <c r="M1097" i="64"/>
  <c r="M1180" i="64"/>
  <c r="P1168" i="64"/>
  <c r="P1176" i="64"/>
  <c r="P1201" i="64"/>
  <c r="M1320" i="64"/>
  <c r="P715" i="64"/>
  <c r="M1232" i="64"/>
  <c r="P1281" i="64"/>
  <c r="M368" i="64"/>
  <c r="M946" i="64"/>
  <c r="M1027" i="64"/>
  <c r="P20" i="64"/>
  <c r="P29" i="64"/>
  <c r="P51" i="64"/>
  <c r="P329" i="64"/>
  <c r="P479" i="64"/>
  <c r="P483" i="64"/>
  <c r="P640" i="64"/>
  <c r="P652" i="64"/>
  <c r="M803" i="64"/>
  <c r="P990" i="64"/>
  <c r="P993" i="64"/>
  <c r="P996" i="64"/>
  <c r="P999" i="64"/>
  <c r="P1002" i="64"/>
  <c r="P1005" i="64"/>
  <c r="P1014" i="64"/>
  <c r="P1060" i="64"/>
  <c r="P1076" i="64"/>
  <c r="P1132" i="64"/>
  <c r="P1144" i="64"/>
  <c r="P1158" i="64"/>
  <c r="P1164" i="64"/>
  <c r="P1166" i="64"/>
  <c r="P1172" i="64"/>
  <c r="P15" i="64"/>
  <c r="P24" i="64"/>
  <c r="P32" i="64"/>
  <c r="P38" i="64"/>
  <c r="P45" i="64"/>
  <c r="P55" i="64"/>
  <c r="P158" i="64"/>
  <c r="P168" i="64"/>
  <c r="P178" i="64"/>
  <c r="P188" i="64"/>
  <c r="P196" i="64"/>
  <c r="P206" i="64"/>
  <c r="P1287" i="64"/>
  <c r="M1235" i="64" l="1"/>
  <c r="M1346" i="64" s="1"/>
  <c r="M1347" i="64" s="1"/>
  <c r="K139" i="1" l="1"/>
  <c r="L139" i="1"/>
  <c r="M139" i="1"/>
  <c r="N139" i="1"/>
  <c r="J139" i="1"/>
  <c r="K107" i="1"/>
  <c r="N107" i="1"/>
  <c r="J107" i="1"/>
  <c r="J106" i="1"/>
  <c r="N105" i="1"/>
  <c r="J105" i="1"/>
  <c r="K142" i="1"/>
  <c r="N142" i="1"/>
  <c r="J142" i="1"/>
  <c r="K270" i="1"/>
  <c r="N270" i="1"/>
  <c r="J270" i="1"/>
  <c r="H270" i="1"/>
  <c r="K269" i="1"/>
  <c r="N269" i="1"/>
  <c r="J269" i="1"/>
  <c r="K303" i="1"/>
  <c r="N303" i="1"/>
  <c r="J303" i="1"/>
  <c r="K302" i="1"/>
  <c r="N302" i="1"/>
  <c r="J302" i="1"/>
  <c r="K301" i="1"/>
  <c r="N301" i="1"/>
  <c r="J301" i="1"/>
  <c r="K300" i="1"/>
  <c r="N300" i="1"/>
  <c r="J300" i="1"/>
  <c r="K299" i="1"/>
  <c r="N299" i="1"/>
  <c r="J299" i="1"/>
  <c r="K295" i="1"/>
  <c r="N295" i="1"/>
  <c r="J295" i="1"/>
  <c r="K294" i="1"/>
  <c r="N294" i="1"/>
  <c r="J294" i="1"/>
  <c r="J293" i="1"/>
  <c r="K293" i="1"/>
  <c r="N293" i="1"/>
  <c r="K292" i="1"/>
  <c r="N292" i="1"/>
  <c r="J292" i="1"/>
  <c r="K291" i="1"/>
  <c r="N291" i="1"/>
  <c r="J291" i="1"/>
  <c r="K290" i="1"/>
  <c r="N290" i="1"/>
  <c r="J290" i="1"/>
  <c r="K289" i="1"/>
  <c r="N289" i="1"/>
  <c r="J289" i="1"/>
  <c r="K288" i="1"/>
  <c r="N288" i="1"/>
  <c r="J288" i="1"/>
  <c r="K287" i="1"/>
  <c r="N287" i="1"/>
  <c r="J287" i="1"/>
  <c r="K286" i="1"/>
  <c r="J286" i="1"/>
  <c r="K283" i="1"/>
  <c r="L283" i="1"/>
  <c r="N283" i="1"/>
  <c r="J283" i="1"/>
  <c r="K282" i="1"/>
  <c r="N282" i="1"/>
  <c r="K281" i="1"/>
  <c r="N281" i="1"/>
  <c r="J281" i="1"/>
  <c r="K280" i="1"/>
  <c r="N280" i="1"/>
  <c r="I84" i="20" s="1"/>
  <c r="K279" i="1"/>
  <c r="N279" i="1"/>
  <c r="I85" i="20" s="1"/>
  <c r="J279" i="1"/>
  <c r="K278" i="1"/>
  <c r="N278" i="1"/>
  <c r="I86" i="20" s="1"/>
  <c r="J278" i="1"/>
  <c r="K277" i="1"/>
  <c r="N277" i="1"/>
  <c r="I87" i="20" s="1"/>
  <c r="K276" i="1"/>
  <c r="N276" i="1"/>
  <c r="J276" i="1"/>
  <c r="K275" i="1"/>
  <c r="L275" i="1"/>
  <c r="N275" i="1"/>
  <c r="J275" i="1"/>
  <c r="K274" i="1"/>
  <c r="N274" i="1"/>
  <c r="J274" i="1"/>
  <c r="K273" i="1"/>
  <c r="N273" i="1"/>
  <c r="J273" i="1"/>
  <c r="K272" i="1"/>
  <c r="N272" i="1"/>
  <c r="J272" i="1"/>
  <c r="K271" i="1"/>
  <c r="N271" i="1"/>
  <c r="J271" i="1"/>
  <c r="K268" i="1"/>
  <c r="N268" i="1"/>
  <c r="J268" i="1"/>
  <c r="K267" i="1"/>
  <c r="N267" i="1"/>
  <c r="J267" i="1"/>
  <c r="K266" i="1"/>
  <c r="N266" i="1"/>
  <c r="J266" i="1"/>
  <c r="K265" i="1"/>
  <c r="N265" i="1"/>
  <c r="J265" i="1"/>
  <c r="K263" i="1"/>
  <c r="N263" i="1"/>
  <c r="N262" i="1"/>
  <c r="J263" i="1"/>
  <c r="J262" i="1"/>
  <c r="K151" i="1"/>
  <c r="N151" i="1"/>
  <c r="J151" i="1"/>
  <c r="N150" i="1"/>
  <c r="J150" i="1"/>
  <c r="N149" i="1"/>
  <c r="N152" i="1" s="1"/>
  <c r="N140" i="1"/>
  <c r="J140" i="1"/>
  <c r="K138" i="1"/>
  <c r="N138" i="1"/>
  <c r="J138" i="1"/>
  <c r="K137" i="1"/>
  <c r="J137" i="1"/>
  <c r="K136" i="1"/>
  <c r="N136" i="1"/>
  <c r="J136" i="1"/>
  <c r="K134" i="1"/>
  <c r="N134" i="1"/>
  <c r="K133" i="1"/>
  <c r="N133" i="1"/>
  <c r="K132" i="1"/>
  <c r="N132" i="1"/>
  <c r="K130" i="1"/>
  <c r="N130" i="1"/>
  <c r="K129" i="1"/>
  <c r="K128" i="1"/>
  <c r="N128" i="1"/>
  <c r="K127" i="1"/>
  <c r="N127" i="1"/>
  <c r="J127" i="1"/>
  <c r="K126" i="1"/>
  <c r="N126" i="1"/>
  <c r="N125" i="1"/>
  <c r="J125" i="1"/>
  <c r="K123" i="1"/>
  <c r="K118" i="1"/>
  <c r="N118" i="1"/>
  <c r="N117" i="1"/>
  <c r="K116" i="1"/>
  <c r="N116" i="1"/>
  <c r="J116" i="1"/>
  <c r="K115" i="1"/>
  <c r="N115" i="1"/>
  <c r="K110" i="1"/>
  <c r="K109" i="1"/>
  <c r="N108" i="1"/>
  <c r="K106" i="1"/>
  <c r="N106" i="1"/>
  <c r="K104" i="1"/>
  <c r="N104" i="1"/>
  <c r="K102" i="1"/>
  <c r="K101" i="1"/>
  <c r="K100" i="1"/>
  <c r="N100" i="1"/>
  <c r="J100" i="1"/>
  <c r="K94" i="1"/>
  <c r="J94" i="1"/>
  <c r="J304" i="1" l="1"/>
  <c r="N304" i="1"/>
  <c r="K304" i="1"/>
  <c r="N284" i="1"/>
  <c r="L12" i="45"/>
  <c r="K46" i="16" l="1"/>
  <c r="J140" i="63"/>
  <c r="M140" i="63"/>
  <c r="L52" i="45" l="1"/>
  <c r="M32" i="1"/>
  <c r="L28" i="1"/>
  <c r="L72" i="1"/>
  <c r="M72" i="1" s="1"/>
  <c r="L55" i="1"/>
  <c r="L66" i="1"/>
  <c r="L65" i="1"/>
  <c r="L51" i="1"/>
  <c r="L49" i="1"/>
  <c r="L47" i="1"/>
  <c r="L45" i="1"/>
  <c r="L44" i="1"/>
  <c r="L42" i="1"/>
  <c r="L37" i="1"/>
  <c r="L34" i="1"/>
  <c r="L26" i="1"/>
  <c r="J177" i="16" l="1"/>
  <c r="J178" i="16"/>
  <c r="J179" i="16"/>
  <c r="J180" i="16"/>
  <c r="J181" i="16"/>
  <c r="J182" i="16"/>
  <c r="J183" i="16"/>
  <c r="J184" i="16"/>
  <c r="J185" i="16"/>
  <c r="J186" i="16"/>
  <c r="J187" i="16"/>
  <c r="J188" i="16"/>
  <c r="J189" i="16"/>
  <c r="J190" i="16"/>
  <c r="J191" i="16"/>
  <c r="J192" i="16"/>
  <c r="J193" i="16"/>
  <c r="J194" i="16"/>
  <c r="J195" i="16"/>
  <c r="J196" i="16"/>
  <c r="J197" i="16"/>
  <c r="J176" i="16"/>
  <c r="I175" i="16" l="1"/>
  <c r="I174" i="16"/>
  <c r="I173" i="16"/>
  <c r="I172" i="16"/>
  <c r="I171" i="16"/>
  <c r="I170" i="16"/>
  <c r="I169" i="16"/>
  <c r="I168" i="16"/>
  <c r="I134" i="16"/>
  <c r="I133" i="16"/>
  <c r="I132" i="16"/>
  <c r="I131" i="16"/>
  <c r="I130" i="16"/>
  <c r="I129" i="16"/>
  <c r="I128" i="16"/>
  <c r="I127" i="16"/>
  <c r="I126" i="16"/>
  <c r="I125" i="16"/>
  <c r="I123" i="16"/>
  <c r="I122" i="16"/>
  <c r="I121" i="16"/>
  <c r="I120" i="16"/>
  <c r="I118" i="16"/>
  <c r="I117" i="16"/>
  <c r="I116" i="16"/>
  <c r="I115" i="16"/>
  <c r="I114" i="16"/>
  <c r="I113" i="16"/>
  <c r="I112" i="16"/>
  <c r="I111" i="16"/>
  <c r="I110" i="16"/>
  <c r="I109" i="16"/>
  <c r="I107" i="16"/>
  <c r="I106" i="16"/>
  <c r="I105" i="16"/>
  <c r="I104" i="16"/>
  <c r="I103" i="16"/>
  <c r="I102" i="16"/>
  <c r="I101" i="16"/>
  <c r="I100" i="16"/>
  <c r="I97" i="16"/>
  <c r="L151" i="1" s="1"/>
  <c r="I50" i="16"/>
  <c r="J50" i="16" s="1"/>
  <c r="I49" i="16"/>
  <c r="I48" i="16"/>
  <c r="I47" i="16"/>
  <c r="I46" i="16"/>
  <c r="I45" i="16"/>
  <c r="I44" i="16"/>
  <c r="I43" i="16"/>
  <c r="I42" i="16"/>
  <c r="I41" i="16"/>
  <c r="I40" i="16"/>
  <c r="I39" i="16"/>
  <c r="I38" i="16"/>
  <c r="I37" i="16"/>
  <c r="I36" i="16"/>
  <c r="I35" i="16"/>
  <c r="I34" i="16"/>
  <c r="I32" i="16"/>
  <c r="I31" i="16"/>
  <c r="I30" i="16"/>
  <c r="I27" i="16"/>
  <c r="I26" i="16"/>
  <c r="I24" i="16"/>
  <c r="I23" i="16"/>
  <c r="I22" i="16"/>
  <c r="H95" i="16"/>
  <c r="K149" i="1" s="1"/>
  <c r="H96" i="16"/>
  <c r="H124" i="16"/>
  <c r="I124" i="16" s="1"/>
  <c r="H119" i="16"/>
  <c r="I119" i="16" s="1"/>
  <c r="H98" i="16"/>
  <c r="I98" i="16" s="1"/>
  <c r="H33" i="16"/>
  <c r="I33" i="16" s="1"/>
  <c r="H29" i="16"/>
  <c r="I29" i="16" s="1"/>
  <c r="H28" i="16"/>
  <c r="I28" i="16" s="1"/>
  <c r="H25" i="16"/>
  <c r="K1030" i="63"/>
  <c r="L303" i="1" s="1"/>
  <c r="K1029" i="63"/>
  <c r="L302" i="1" s="1"/>
  <c r="K1028" i="63"/>
  <c r="L301" i="1" s="1"/>
  <c r="K1027" i="63"/>
  <c r="L300" i="1" s="1"/>
  <c r="K1026" i="63"/>
  <c r="L299" i="1" s="1"/>
  <c r="K1023" i="63"/>
  <c r="L295" i="1" s="1"/>
  <c r="K1022" i="63"/>
  <c r="L294" i="1" s="1"/>
  <c r="K1021" i="63"/>
  <c r="L292" i="1" s="1"/>
  <c r="K1020" i="63"/>
  <c r="L293" i="1" s="1"/>
  <c r="K1019" i="63"/>
  <c r="L291" i="1" s="1"/>
  <c r="K1018" i="63"/>
  <c r="L290" i="1" s="1"/>
  <c r="K1017" i="63"/>
  <c r="L289" i="1" s="1"/>
  <c r="K1016" i="63"/>
  <c r="L288" i="1" s="1"/>
  <c r="K1015" i="63"/>
  <c r="L287" i="1" s="1"/>
  <c r="K1014" i="63"/>
  <c r="L286" i="1" s="1"/>
  <c r="K1010" i="63"/>
  <c r="L282" i="1" s="1"/>
  <c r="K1008" i="63"/>
  <c r="L280" i="1" s="1"/>
  <c r="K1007" i="63"/>
  <c r="L279" i="1" s="1"/>
  <c r="K1006" i="63"/>
  <c r="L278" i="1" s="1"/>
  <c r="K1005" i="63"/>
  <c r="L277" i="1" s="1"/>
  <c r="K1004" i="63"/>
  <c r="L276" i="1" s="1"/>
  <c r="K1003" i="63"/>
  <c r="L274" i="1" s="1"/>
  <c r="K1002" i="63"/>
  <c r="L273" i="1" s="1"/>
  <c r="K1001" i="63"/>
  <c r="L272" i="1" s="1"/>
  <c r="K1000" i="63"/>
  <c r="L271" i="1" s="1"/>
  <c r="K998" i="63"/>
  <c r="K997" i="63"/>
  <c r="L269" i="1" s="1"/>
  <c r="K996" i="63"/>
  <c r="L268" i="1" s="1"/>
  <c r="K995" i="63"/>
  <c r="L267" i="1" s="1"/>
  <c r="K994" i="63"/>
  <c r="L266" i="1" s="1"/>
  <c r="K993" i="63"/>
  <c r="L265" i="1" s="1"/>
  <c r="K991" i="63"/>
  <c r="L263" i="1" s="1"/>
  <c r="J990" i="63"/>
  <c r="K951" i="63"/>
  <c r="K950" i="63"/>
  <c r="K949" i="63"/>
  <c r="K946" i="63"/>
  <c r="K945" i="63"/>
  <c r="K944" i="63"/>
  <c r="K943" i="63"/>
  <c r="K942" i="63"/>
  <c r="K941" i="63"/>
  <c r="K933" i="63"/>
  <c r="K934" i="63"/>
  <c r="I96" i="16" l="1"/>
  <c r="L150" i="1" s="1"/>
  <c r="K150" i="1"/>
  <c r="K152" i="1" s="1"/>
  <c r="L304" i="1"/>
  <c r="L998" i="63"/>
  <c r="M270" i="1" s="1"/>
  <c r="L270" i="1"/>
  <c r="K990" i="63"/>
  <c r="L262" i="1" s="1"/>
  <c r="K262" i="1"/>
  <c r="H199" i="16"/>
  <c r="H52" i="16"/>
  <c r="I95" i="16"/>
  <c r="L149" i="1" s="1"/>
  <c r="L152" i="1" s="1"/>
  <c r="I25" i="16"/>
  <c r="I52" i="16" s="1"/>
  <c r="K937" i="63" l="1"/>
  <c r="K936" i="63"/>
  <c r="K935" i="63"/>
  <c r="K932" i="63"/>
  <c r="K930" i="63"/>
  <c r="L930" i="63" s="1"/>
  <c r="K929" i="63"/>
  <c r="K928" i="63"/>
  <c r="K927" i="63"/>
  <c r="K926" i="63"/>
  <c r="K925" i="63"/>
  <c r="K923" i="63"/>
  <c r="M886" i="63"/>
  <c r="J886" i="63"/>
  <c r="I886" i="63"/>
  <c r="L885" i="63"/>
  <c r="K884" i="63"/>
  <c r="K883" i="63"/>
  <c r="K880" i="63"/>
  <c r="K879" i="63"/>
  <c r="K878" i="63"/>
  <c r="K877" i="63"/>
  <c r="K876" i="63"/>
  <c r="K875" i="63"/>
  <c r="K857" i="63"/>
  <c r="K871" i="63"/>
  <c r="K870" i="63"/>
  <c r="K869" i="63"/>
  <c r="K868" i="63"/>
  <c r="K867" i="63"/>
  <c r="K866" i="63"/>
  <c r="K865" i="63"/>
  <c r="K864" i="63"/>
  <c r="K863" i="63"/>
  <c r="K862" i="63"/>
  <c r="L862" i="63" s="1"/>
  <c r="K861" i="63"/>
  <c r="K855" i="63"/>
  <c r="K824" i="63"/>
  <c r="K823" i="63"/>
  <c r="K819" i="63"/>
  <c r="K818" i="63"/>
  <c r="K817" i="63"/>
  <c r="K815" i="63"/>
  <c r="L127" i="1" s="1"/>
  <c r="K814" i="63"/>
  <c r="K813" i="63"/>
  <c r="K812" i="63"/>
  <c r="K811" i="63"/>
  <c r="K806" i="63"/>
  <c r="K805" i="63"/>
  <c r="K804" i="63"/>
  <c r="K803" i="63"/>
  <c r="K802" i="63"/>
  <c r="K801" i="63"/>
  <c r="K800" i="63"/>
  <c r="K798" i="63"/>
  <c r="K796" i="63"/>
  <c r="L796" i="63" s="1"/>
  <c r="K795" i="63"/>
  <c r="K794" i="63"/>
  <c r="K789" i="63"/>
  <c r="K787" i="63"/>
  <c r="K755" i="63"/>
  <c r="K754" i="63"/>
  <c r="K752" i="63"/>
  <c r="K747" i="63"/>
  <c r="K746" i="63"/>
  <c r="K745" i="63"/>
  <c r="K744" i="63"/>
  <c r="K742" i="63"/>
  <c r="K741" i="63"/>
  <c r="L737" i="63"/>
  <c r="K735" i="63"/>
  <c r="K734" i="63"/>
  <c r="K733" i="63"/>
  <c r="K732" i="63"/>
  <c r="K731" i="63"/>
  <c r="K727" i="63"/>
  <c r="L727" i="63" s="1"/>
  <c r="K730" i="63"/>
  <c r="K729" i="63"/>
  <c r="K726" i="63"/>
  <c r="K725" i="63"/>
  <c r="K724" i="63"/>
  <c r="K723" i="63"/>
  <c r="K722" i="63"/>
  <c r="K721" i="63"/>
  <c r="K719" i="63"/>
  <c r="J743" i="63"/>
  <c r="K743" i="63" s="1"/>
  <c r="K687" i="63"/>
  <c r="K688" i="63"/>
  <c r="K685" i="63"/>
  <c r="K682" i="63"/>
  <c r="K680" i="63"/>
  <c r="K679" i="63"/>
  <c r="K678" i="63"/>
  <c r="K677" i="63"/>
  <c r="K676" i="63"/>
  <c r="K675" i="63"/>
  <c r="K674" i="63"/>
  <c r="K670" i="63"/>
  <c r="K669" i="63"/>
  <c r="K668" i="63"/>
  <c r="K667" i="63"/>
  <c r="K666" i="63"/>
  <c r="K665" i="63"/>
  <c r="K664" i="63"/>
  <c r="K663" i="63"/>
  <c r="K662" i="63"/>
  <c r="K660" i="63"/>
  <c r="L660" i="63" s="1"/>
  <c r="K659" i="63"/>
  <c r="K658" i="63"/>
  <c r="K657" i="63"/>
  <c r="K656" i="63"/>
  <c r="K653" i="63"/>
  <c r="J651" i="63"/>
  <c r="K651" i="63" s="1"/>
  <c r="K613" i="63"/>
  <c r="K614" i="63"/>
  <c r="K616" i="63"/>
  <c r="K610" i="63"/>
  <c r="K609" i="63"/>
  <c r="K608" i="63"/>
  <c r="K606" i="63"/>
  <c r="K605" i="63"/>
  <c r="K604" i="63"/>
  <c r="K594" i="63"/>
  <c r="K600" i="63"/>
  <c r="L600" i="63" s="1"/>
  <c r="K598" i="63"/>
  <c r="K597" i="63"/>
  <c r="K596" i="63"/>
  <c r="K595" i="63"/>
  <c r="K590" i="63"/>
  <c r="L590" i="63" s="1"/>
  <c r="K592" i="63"/>
  <c r="K588" i="63"/>
  <c r="K587" i="63"/>
  <c r="K584" i="63"/>
  <c r="J593" i="63"/>
  <c r="K593" i="63" s="1"/>
  <c r="J582" i="63"/>
  <c r="K582" i="63" s="1"/>
  <c r="K545" i="63"/>
  <c r="K547" i="63"/>
  <c r="K544" i="63"/>
  <c r="K541" i="63"/>
  <c r="K540" i="63"/>
  <c r="K539" i="63"/>
  <c r="K538" i="63"/>
  <c r="K536" i="63"/>
  <c r="K531" i="63"/>
  <c r="K530" i="63"/>
  <c r="K529" i="63"/>
  <c r="K528" i="63"/>
  <c r="K527" i="63"/>
  <c r="K526" i="63"/>
  <c r="K525" i="63"/>
  <c r="K524" i="63"/>
  <c r="K522" i="63"/>
  <c r="L522" i="63" s="1"/>
  <c r="K520" i="63"/>
  <c r="K519" i="63"/>
  <c r="K518" i="63"/>
  <c r="K517" i="63"/>
  <c r="J546" i="63"/>
  <c r="K546" i="63" s="1"/>
  <c r="J537" i="63"/>
  <c r="K537" i="63" s="1"/>
  <c r="J535" i="63"/>
  <c r="K535" i="63" s="1"/>
  <c r="J516" i="63"/>
  <c r="K516" i="63" s="1"/>
  <c r="J514" i="63"/>
  <c r="K514" i="63" s="1"/>
  <c r="L481" i="63"/>
  <c r="K479" i="63"/>
  <c r="K472" i="63"/>
  <c r="K469" i="63"/>
  <c r="K459" i="63"/>
  <c r="K457" i="63"/>
  <c r="K456" i="63"/>
  <c r="K453" i="63"/>
  <c r="K452" i="63"/>
  <c r="J480" i="63"/>
  <c r="K480" i="63" s="1"/>
  <c r="L480" i="63" s="1"/>
  <c r="J476" i="63"/>
  <c r="J475" i="63"/>
  <c r="J474" i="63"/>
  <c r="K474" i="63" s="1"/>
  <c r="J473" i="63"/>
  <c r="K473" i="63" s="1"/>
  <c r="J471" i="63"/>
  <c r="J470" i="63"/>
  <c r="K470" i="63" s="1"/>
  <c r="J468" i="63"/>
  <c r="J464" i="63"/>
  <c r="K464" i="63" s="1"/>
  <c r="J463" i="63"/>
  <c r="K463" i="63" s="1"/>
  <c r="J462" i="63"/>
  <c r="K462" i="63" s="1"/>
  <c r="J461" i="63"/>
  <c r="K461" i="63" s="1"/>
  <c r="J460" i="63"/>
  <c r="K460" i="63" s="1"/>
  <c r="J458" i="63"/>
  <c r="K458" i="63" s="1"/>
  <c r="J454" i="63"/>
  <c r="K454" i="63" s="1"/>
  <c r="L454" i="63" s="1"/>
  <c r="J451" i="63"/>
  <c r="K451" i="63" s="1"/>
  <c r="J450" i="63"/>
  <c r="K450" i="63" s="1"/>
  <c r="J449" i="63"/>
  <c r="K449" i="63" s="1"/>
  <c r="J448" i="63"/>
  <c r="K448" i="63" s="1"/>
  <c r="J446" i="63"/>
  <c r="K446" i="63" s="1"/>
  <c r="K409" i="63"/>
  <c r="K401" i="63"/>
  <c r="K400" i="63"/>
  <c r="K389" i="63"/>
  <c r="L389" i="63" s="1"/>
  <c r="K391" i="63"/>
  <c r="L391" i="63" s="1"/>
  <c r="K384" i="63"/>
  <c r="L384" i="63" s="1"/>
  <c r="L387" i="63"/>
  <c r="J411" i="63"/>
  <c r="K411" i="63" s="1"/>
  <c r="J410" i="63"/>
  <c r="K410" i="63" s="1"/>
  <c r="J408" i="63"/>
  <c r="K408" i="63" s="1"/>
  <c r="J404" i="63"/>
  <c r="J403" i="63"/>
  <c r="J402" i="63"/>
  <c r="J396" i="63"/>
  <c r="J395" i="63"/>
  <c r="J394" i="63"/>
  <c r="J393" i="63"/>
  <c r="J392" i="63"/>
  <c r="J390" i="63"/>
  <c r="J388" i="63"/>
  <c r="J386" i="63"/>
  <c r="J383" i="63"/>
  <c r="J382" i="63"/>
  <c r="J381" i="63"/>
  <c r="J380" i="63"/>
  <c r="J378" i="63"/>
  <c r="K378" i="63" s="1"/>
  <c r="L378" i="63" s="1"/>
  <c r="M272" i="63"/>
  <c r="M258" i="63"/>
  <c r="M257" i="63"/>
  <c r="M256" i="63"/>
  <c r="M255" i="63"/>
  <c r="M254" i="63"/>
  <c r="M253" i="63"/>
  <c r="M252" i="63"/>
  <c r="M242" i="63"/>
  <c r="M202" i="63"/>
  <c r="M199" i="63"/>
  <c r="M198" i="63"/>
  <c r="M197" i="63"/>
  <c r="M196" i="63"/>
  <c r="M195" i="63"/>
  <c r="M194" i="63"/>
  <c r="M189" i="63"/>
  <c r="M188" i="63"/>
  <c r="M187" i="63"/>
  <c r="M186" i="63"/>
  <c r="M185" i="63"/>
  <c r="M184" i="63"/>
  <c r="M183" i="63"/>
  <c r="M179" i="63"/>
  <c r="M178" i="63"/>
  <c r="M177" i="63"/>
  <c r="M176" i="63"/>
  <c r="M175" i="63"/>
  <c r="M173" i="63"/>
  <c r="M125" i="63"/>
  <c r="M132" i="63" s="1"/>
  <c r="K52" i="45" s="1"/>
  <c r="M104" i="63"/>
  <c r="N102" i="1" s="1"/>
  <c r="M101" i="63"/>
  <c r="M100" i="63"/>
  <c r="M55" i="63"/>
  <c r="M54" i="63"/>
  <c r="N137" i="1" s="1"/>
  <c r="M53" i="63"/>
  <c r="M52" i="63"/>
  <c r="M51" i="63"/>
  <c r="N129" i="1" s="1"/>
  <c r="M50" i="63"/>
  <c r="M49" i="63"/>
  <c r="M48" i="63"/>
  <c r="M29" i="63"/>
  <c r="M28" i="63"/>
  <c r="M25" i="63"/>
  <c r="K341" i="63"/>
  <c r="K335" i="63"/>
  <c r="K334" i="63"/>
  <c r="K333" i="63"/>
  <c r="K332" i="63"/>
  <c r="K331" i="63"/>
  <c r="K317" i="63"/>
  <c r="L317" i="63" s="1"/>
  <c r="K327" i="63"/>
  <c r="K325" i="63"/>
  <c r="K324" i="63"/>
  <c r="K323" i="63"/>
  <c r="K322" i="63"/>
  <c r="K321" i="63"/>
  <c r="K320" i="63"/>
  <c r="K319" i="63"/>
  <c r="K316" i="63"/>
  <c r="K315" i="63"/>
  <c r="K314" i="63"/>
  <c r="K313" i="63"/>
  <c r="K312" i="63"/>
  <c r="K311" i="63"/>
  <c r="K309" i="63"/>
  <c r="L126" i="1" l="1"/>
  <c r="N141" i="1"/>
  <c r="L138" i="1"/>
  <c r="N123" i="1"/>
  <c r="L106" i="1"/>
  <c r="N135" i="1"/>
  <c r="M261" i="63"/>
  <c r="J129" i="45" s="1"/>
  <c r="N93" i="1"/>
  <c r="N96" i="1"/>
  <c r="N103" i="1"/>
  <c r="N113" i="1"/>
  <c r="K381" i="63"/>
  <c r="L381" i="63" s="1"/>
  <c r="K97" i="1"/>
  <c r="K388" i="63"/>
  <c r="L388" i="63" s="1"/>
  <c r="K108" i="1"/>
  <c r="K394" i="63"/>
  <c r="L394" i="63" s="1"/>
  <c r="K113" i="1"/>
  <c r="K403" i="63"/>
  <c r="K131" i="1"/>
  <c r="K468" i="63"/>
  <c r="K122" i="1"/>
  <c r="N99" i="1"/>
  <c r="N110" i="1"/>
  <c r="N114" i="1"/>
  <c r="K382" i="63"/>
  <c r="L382" i="63" s="1"/>
  <c r="K98" i="1"/>
  <c r="K390" i="63"/>
  <c r="L390" i="63" s="1"/>
  <c r="K103" i="1"/>
  <c r="K395" i="63"/>
  <c r="L395" i="63" s="1"/>
  <c r="K114" i="1"/>
  <c r="K404" i="63"/>
  <c r="K135" i="1"/>
  <c r="K475" i="63"/>
  <c r="L140" i="1" s="1"/>
  <c r="K140" i="1"/>
  <c r="N94" i="1"/>
  <c r="N97" i="1"/>
  <c r="N101" i="1"/>
  <c r="N111" i="1"/>
  <c r="K383" i="63"/>
  <c r="L383" i="63" s="1"/>
  <c r="K99" i="1"/>
  <c r="K392" i="63"/>
  <c r="L392" i="63" s="1"/>
  <c r="K111" i="1"/>
  <c r="K396" i="63"/>
  <c r="L396" i="63" s="1"/>
  <c r="K117" i="1"/>
  <c r="K471" i="63"/>
  <c r="L125" i="1" s="1"/>
  <c r="K125" i="1"/>
  <c r="K476" i="63"/>
  <c r="K141" i="1"/>
  <c r="N98" i="1"/>
  <c r="N109" i="1"/>
  <c r="N112" i="1"/>
  <c r="K380" i="63"/>
  <c r="L380" i="63" s="1"/>
  <c r="K96" i="1"/>
  <c r="K386" i="63"/>
  <c r="L386" i="63" s="1"/>
  <c r="K105" i="1"/>
  <c r="K393" i="63"/>
  <c r="L393" i="63" s="1"/>
  <c r="K112" i="1"/>
  <c r="K402" i="63"/>
  <c r="K124" i="1"/>
  <c r="K886" i="63"/>
  <c r="L884" i="63"/>
  <c r="K689" i="63"/>
  <c r="K274" i="63"/>
  <c r="K273" i="63"/>
  <c r="L273" i="63" s="1"/>
  <c r="K272" i="63"/>
  <c r="K269" i="63"/>
  <c r="K268" i="63"/>
  <c r="K267" i="63"/>
  <c r="K266" i="63"/>
  <c r="K265" i="63"/>
  <c r="K264" i="63"/>
  <c r="K263" i="63"/>
  <c r="K259" i="63"/>
  <c r="K258" i="63"/>
  <c r="K257" i="63"/>
  <c r="K256" i="63"/>
  <c r="K255" i="63"/>
  <c r="K253" i="63"/>
  <c r="K252" i="63"/>
  <c r="K250" i="63"/>
  <c r="L250" i="63" s="1"/>
  <c r="K254" i="63"/>
  <c r="K248" i="63"/>
  <c r="K247" i="63"/>
  <c r="K244" i="63"/>
  <c r="K242" i="63"/>
  <c r="K204" i="63"/>
  <c r="K203" i="63"/>
  <c r="K202" i="63"/>
  <c r="K199" i="63"/>
  <c r="K198" i="63"/>
  <c r="K197" i="63"/>
  <c r="K196" i="63"/>
  <c r="K195" i="63"/>
  <c r="K194" i="63"/>
  <c r="K190" i="63"/>
  <c r="K189" i="63"/>
  <c r="K188" i="63"/>
  <c r="K187" i="63"/>
  <c r="K186" i="63"/>
  <c r="K184" i="63"/>
  <c r="K185" i="63"/>
  <c r="K183" i="63"/>
  <c r="L183" i="63" s="1"/>
  <c r="L182" i="63"/>
  <c r="K181" i="63"/>
  <c r="L181" i="63" s="1"/>
  <c r="K180" i="63"/>
  <c r="L180" i="63" s="1"/>
  <c r="K179" i="63"/>
  <c r="L179" i="63" s="1"/>
  <c r="K178" i="63"/>
  <c r="L178" i="63" s="1"/>
  <c r="K177" i="63"/>
  <c r="L177" i="63" s="1"/>
  <c r="K176" i="63"/>
  <c r="L176" i="63" s="1"/>
  <c r="K175" i="63"/>
  <c r="J173" i="63"/>
  <c r="K111" i="63"/>
  <c r="K139" i="63"/>
  <c r="K135" i="63"/>
  <c r="K138" i="63"/>
  <c r="K134" i="63"/>
  <c r="K130" i="63"/>
  <c r="L136" i="1" s="1"/>
  <c r="K129" i="63"/>
  <c r="K128" i="63"/>
  <c r="L134" i="1" s="1"/>
  <c r="K127" i="63"/>
  <c r="L133" i="1" s="1"/>
  <c r="K126" i="63"/>
  <c r="L132" i="1" s="1"/>
  <c r="K125" i="63"/>
  <c r="K124" i="63"/>
  <c r="L130" i="1" s="1"/>
  <c r="K123" i="63"/>
  <c r="K122" i="63"/>
  <c r="L128" i="1" s="1"/>
  <c r="K121" i="63"/>
  <c r="K120" i="63"/>
  <c r="K119" i="63"/>
  <c r="K115" i="63"/>
  <c r="K114" i="63"/>
  <c r="K113" i="63"/>
  <c r="K112" i="63"/>
  <c r="K110" i="63"/>
  <c r="K109" i="63"/>
  <c r="K108" i="63"/>
  <c r="K107" i="63"/>
  <c r="K105" i="63"/>
  <c r="L105" i="63" s="1"/>
  <c r="K103" i="63"/>
  <c r="K102" i="63"/>
  <c r="K101" i="63"/>
  <c r="K100" i="63"/>
  <c r="K99" i="63"/>
  <c r="K97" i="63"/>
  <c r="G119" i="16"/>
  <c r="I736" i="63"/>
  <c r="K173" i="63" l="1"/>
  <c r="K93" i="1"/>
  <c r="J115" i="1"/>
  <c r="L108" i="1"/>
  <c r="G95" i="16"/>
  <c r="J149" i="1" l="1"/>
  <c r="J152" i="1" s="1"/>
  <c r="G124" i="16"/>
  <c r="G122" i="16"/>
  <c r="G118" i="16"/>
  <c r="G116" i="16"/>
  <c r="G110" i="16"/>
  <c r="G107" i="16"/>
  <c r="G105" i="16"/>
  <c r="G104" i="16"/>
  <c r="G103" i="16"/>
  <c r="G98" i="16"/>
  <c r="G49" i="16"/>
  <c r="G29" i="16"/>
  <c r="G28" i="16"/>
  <c r="G22" i="16"/>
  <c r="I1010" i="63"/>
  <c r="J282" i="1" s="1"/>
  <c r="I1008" i="63"/>
  <c r="J280" i="1" s="1"/>
  <c r="I1005" i="63"/>
  <c r="J277" i="1" s="1"/>
  <c r="I933" i="63"/>
  <c r="I878" i="63"/>
  <c r="I867" i="63"/>
  <c r="I824" i="63"/>
  <c r="I819" i="63"/>
  <c r="I814" i="63"/>
  <c r="I811" i="63"/>
  <c r="I802" i="63"/>
  <c r="I753" i="63"/>
  <c r="I743" i="63"/>
  <c r="I750" i="63" s="1"/>
  <c r="I732" i="63"/>
  <c r="I676" i="63"/>
  <c r="I666" i="63"/>
  <c r="I604" i="63"/>
  <c r="I595" i="63"/>
  <c r="I540" i="63"/>
  <c r="I537" i="63"/>
  <c r="I527" i="63"/>
  <c r="I468" i="63"/>
  <c r="I460" i="63"/>
  <c r="I456" i="63"/>
  <c r="I402" i="63"/>
  <c r="G52" i="16" l="1"/>
  <c r="I820" i="63"/>
  <c r="J126" i="1"/>
  <c r="I392" i="63"/>
  <c r="I388" i="63"/>
  <c r="I331" i="63"/>
  <c r="I328" i="63"/>
  <c r="I327" i="63"/>
  <c r="I326" i="63"/>
  <c r="I325" i="63"/>
  <c r="I324" i="63"/>
  <c r="I323" i="63"/>
  <c r="I322" i="63"/>
  <c r="I321" i="63"/>
  <c r="I320" i="63"/>
  <c r="I319" i="63"/>
  <c r="I311" i="63"/>
  <c r="I309" i="63"/>
  <c r="I274" i="63"/>
  <c r="I269" i="63"/>
  <c r="I268" i="63"/>
  <c r="I265" i="63"/>
  <c r="I264" i="63"/>
  <c r="I263" i="63"/>
  <c r="I259" i="63"/>
  <c r="I258" i="63"/>
  <c r="I257" i="63"/>
  <c r="I256" i="63"/>
  <c r="I255" i="63"/>
  <c r="I254" i="63"/>
  <c r="I253" i="63"/>
  <c r="I252" i="63"/>
  <c r="I251" i="63"/>
  <c r="I249" i="63"/>
  <c r="I242" i="63"/>
  <c r="I182" i="63"/>
  <c r="I200" i="63"/>
  <c r="J108" i="1" l="1"/>
  <c r="I191" i="63"/>
  <c r="I190" i="63"/>
  <c r="I189" i="63"/>
  <c r="I188" i="63"/>
  <c r="I186" i="63"/>
  <c r="I184" i="63"/>
  <c r="I183" i="63"/>
  <c r="I180" i="63"/>
  <c r="I175" i="63"/>
  <c r="I173" i="63"/>
  <c r="I139" i="63"/>
  <c r="I140" i="63" s="1"/>
  <c r="I131" i="63"/>
  <c r="J141" i="1" s="1"/>
  <c r="I129" i="63"/>
  <c r="J135" i="1" s="1"/>
  <c r="I128" i="63"/>
  <c r="J134" i="1" s="1"/>
  <c r="I127" i="63"/>
  <c r="J133" i="1" s="1"/>
  <c r="I126" i="63"/>
  <c r="J132" i="1" s="1"/>
  <c r="I125" i="63"/>
  <c r="J131" i="1" s="1"/>
  <c r="I124" i="63"/>
  <c r="J130" i="1" s="1"/>
  <c r="I123" i="63"/>
  <c r="J129" i="1" s="1"/>
  <c r="I122" i="63"/>
  <c r="J128" i="1" s="1"/>
  <c r="I121" i="63"/>
  <c r="J124" i="1" s="1"/>
  <c r="I120" i="63"/>
  <c r="J123" i="1" s="1"/>
  <c r="I119" i="63"/>
  <c r="J122" i="1" s="1"/>
  <c r="I116" i="63"/>
  <c r="I115" i="63"/>
  <c r="I113" i="63"/>
  <c r="I112" i="63"/>
  <c r="I111" i="63"/>
  <c r="I110" i="63"/>
  <c r="I109" i="63"/>
  <c r="I108" i="63"/>
  <c r="I107" i="63"/>
  <c r="I106" i="63"/>
  <c r="I103" i="63"/>
  <c r="I102" i="63"/>
  <c r="I101" i="63"/>
  <c r="I100" i="63"/>
  <c r="I99" i="63"/>
  <c r="I97" i="63"/>
  <c r="K66" i="63"/>
  <c r="K64" i="63"/>
  <c r="K63" i="63"/>
  <c r="K62" i="63"/>
  <c r="K61" i="63"/>
  <c r="K60" i="63"/>
  <c r="K59" i="63"/>
  <c r="K56" i="63"/>
  <c r="K55" i="63"/>
  <c r="K54" i="63"/>
  <c r="L137" i="1" s="1"/>
  <c r="K53" i="63"/>
  <c r="L135" i="1" s="1"/>
  <c r="K52" i="63"/>
  <c r="L131" i="1" s="1"/>
  <c r="K51" i="63"/>
  <c r="L129" i="1" s="1"/>
  <c r="K50" i="63"/>
  <c r="L124" i="1" s="1"/>
  <c r="K49" i="63"/>
  <c r="L123" i="1" s="1"/>
  <c r="K48" i="63"/>
  <c r="L122" i="1" s="1"/>
  <c r="K45" i="63"/>
  <c r="K44" i="63"/>
  <c r="K43" i="63"/>
  <c r="K42" i="63"/>
  <c r="K41" i="63"/>
  <c r="K40" i="63"/>
  <c r="K39" i="63"/>
  <c r="K38" i="63"/>
  <c r="K37" i="63"/>
  <c r="K36" i="63"/>
  <c r="K35" i="63"/>
  <c r="K34" i="63"/>
  <c r="K33" i="63"/>
  <c r="K32" i="63"/>
  <c r="K31" i="63"/>
  <c r="K30" i="63"/>
  <c r="K29" i="63"/>
  <c r="K28" i="63"/>
  <c r="K27" i="63"/>
  <c r="K25" i="63"/>
  <c r="K24" i="63"/>
  <c r="I62" i="63"/>
  <c r="I67" i="63" s="1"/>
  <c r="M57" i="63"/>
  <c r="K12" i="45" s="1"/>
  <c r="J57" i="63"/>
  <c r="I57" i="63"/>
  <c r="J143" i="1" l="1"/>
  <c r="L25" i="63"/>
  <c r="L94" i="1"/>
  <c r="L93" i="1"/>
  <c r="L104" i="1"/>
  <c r="L107" i="1"/>
  <c r="L113" i="1"/>
  <c r="J98" i="1"/>
  <c r="J109" i="1"/>
  <c r="J112" i="1"/>
  <c r="J118" i="1"/>
  <c r="J102" i="1"/>
  <c r="L56" i="63"/>
  <c r="M142" i="1" s="1"/>
  <c r="L142" i="1"/>
  <c r="J93" i="1"/>
  <c r="J99" i="1"/>
  <c r="J103" i="1"/>
  <c r="J113" i="1"/>
  <c r="L96" i="1"/>
  <c r="L103" i="1"/>
  <c r="L111" i="1"/>
  <c r="L115" i="1"/>
  <c r="J96" i="1"/>
  <c r="J101" i="1"/>
  <c r="J110" i="1"/>
  <c r="J114" i="1"/>
  <c r="L110" i="1"/>
  <c r="L36" i="63"/>
  <c r="L105" i="1"/>
  <c r="L112" i="1"/>
  <c r="L117" i="1"/>
  <c r="J97" i="1"/>
  <c r="J104" i="1"/>
  <c r="J111" i="1"/>
  <c r="J117" i="1"/>
  <c r="I269" i="13"/>
  <c r="I268" i="13"/>
  <c r="I267" i="13"/>
  <c r="I266" i="13"/>
  <c r="I265" i="13"/>
  <c r="I264" i="13"/>
  <c r="I257" i="13"/>
  <c r="I256" i="13"/>
  <c r="I255" i="13"/>
  <c r="I254" i="13"/>
  <c r="I253" i="13"/>
  <c r="I252" i="13"/>
  <c r="I250" i="13"/>
  <c r="I249" i="13"/>
  <c r="I248" i="13"/>
  <c r="I247" i="13"/>
  <c r="I246" i="13"/>
  <c r="I245" i="13"/>
  <c r="I244" i="13"/>
  <c r="I243" i="13"/>
  <c r="I242" i="13"/>
  <c r="I241" i="13"/>
  <c r="I259" i="13" s="1"/>
  <c r="I104" i="13"/>
  <c r="I28" i="13"/>
  <c r="H95" i="5"/>
  <c r="H65" i="5"/>
  <c r="K1033" i="63"/>
  <c r="L1033" i="63" s="1"/>
  <c r="K1031" i="63"/>
  <c r="J1031" i="63"/>
  <c r="I1031" i="63"/>
  <c r="L1030" i="63"/>
  <c r="M303" i="1" s="1"/>
  <c r="L1029" i="63"/>
  <c r="M302" i="1" s="1"/>
  <c r="L1028" i="63"/>
  <c r="M301" i="1" s="1"/>
  <c r="M1031" i="63"/>
  <c r="L1027" i="63"/>
  <c r="M300" i="1" s="1"/>
  <c r="L1026" i="63"/>
  <c r="M299" i="1" s="1"/>
  <c r="J1024" i="63"/>
  <c r="I1024" i="63"/>
  <c r="L1023" i="63"/>
  <c r="M295" i="1" s="1"/>
  <c r="L1022" i="63"/>
  <c r="M294" i="1" s="1"/>
  <c r="L1021" i="63"/>
  <c r="M292" i="1" s="1"/>
  <c r="L1020" i="63"/>
  <c r="M293" i="1" s="1"/>
  <c r="L1019" i="63"/>
  <c r="M291" i="1" s="1"/>
  <c r="L1018" i="63"/>
  <c r="M290" i="1" s="1"/>
  <c r="L1017" i="63"/>
  <c r="M289" i="1" s="1"/>
  <c r="L1016" i="63"/>
  <c r="M288" i="1" s="1"/>
  <c r="L1015" i="63"/>
  <c r="M287" i="1" s="1"/>
  <c r="M1014" i="63"/>
  <c r="R36" i="44" s="1"/>
  <c r="L1014" i="63"/>
  <c r="M286" i="1" s="1"/>
  <c r="M1012" i="63"/>
  <c r="J1012" i="63"/>
  <c r="I1012" i="63"/>
  <c r="L1011" i="63"/>
  <c r="M283" i="1" s="1"/>
  <c r="L1010" i="63"/>
  <c r="M282" i="1" s="1"/>
  <c r="K1009" i="63"/>
  <c r="L1008" i="63"/>
  <c r="M280" i="1" s="1"/>
  <c r="L1007" i="63"/>
  <c r="M279" i="1" s="1"/>
  <c r="L1006" i="63"/>
  <c r="M278" i="1" s="1"/>
  <c r="L1005" i="63"/>
  <c r="M277" i="1" s="1"/>
  <c r="L1004" i="63"/>
  <c r="M276" i="1" s="1"/>
  <c r="L1003" i="63"/>
  <c r="M274" i="1" s="1"/>
  <c r="L1002" i="63"/>
  <c r="M273" i="1" s="1"/>
  <c r="L1001" i="63"/>
  <c r="M272" i="1" s="1"/>
  <c r="L1000" i="63"/>
  <c r="M271" i="1" s="1"/>
  <c r="L999" i="63"/>
  <c r="M275" i="1" s="1"/>
  <c r="L997" i="63"/>
  <c r="M269" i="1" s="1"/>
  <c r="L996" i="63"/>
  <c r="M268" i="1" s="1"/>
  <c r="L995" i="63"/>
  <c r="M267" i="1" s="1"/>
  <c r="L994" i="63"/>
  <c r="M266" i="1" s="1"/>
  <c r="L993" i="63"/>
  <c r="M265" i="1" s="1"/>
  <c r="L991" i="63"/>
  <c r="M263" i="1" s="1"/>
  <c r="J952" i="63"/>
  <c r="I952" i="63"/>
  <c r="L951" i="63"/>
  <c r="M952" i="63"/>
  <c r="L950" i="63"/>
  <c r="L949" i="63"/>
  <c r="J947" i="63"/>
  <c r="I947" i="63"/>
  <c r="L946" i="63"/>
  <c r="L945" i="63"/>
  <c r="M944" i="63"/>
  <c r="L944" i="63"/>
  <c r="L943" i="63"/>
  <c r="L942" i="63"/>
  <c r="M941" i="63"/>
  <c r="K947" i="63"/>
  <c r="M939" i="63"/>
  <c r="I939" i="63"/>
  <c r="L938" i="63"/>
  <c r="J939" i="63"/>
  <c r="L936" i="63"/>
  <c r="L935" i="63"/>
  <c r="L934" i="63"/>
  <c r="L933" i="63"/>
  <c r="L932" i="63"/>
  <c r="L931" i="63"/>
  <c r="L929" i="63"/>
  <c r="L928" i="63"/>
  <c r="L927" i="63"/>
  <c r="L926" i="63"/>
  <c r="L925" i="63"/>
  <c r="L883" i="63"/>
  <c r="L886" i="63" s="1"/>
  <c r="M881" i="63"/>
  <c r="I103" i="13" s="1"/>
  <c r="J881" i="63"/>
  <c r="I881" i="63"/>
  <c r="L880" i="63"/>
  <c r="L879" i="63"/>
  <c r="L878" i="63"/>
  <c r="L877" i="63"/>
  <c r="L876" i="63"/>
  <c r="L875" i="63"/>
  <c r="K881" i="63"/>
  <c r="M873" i="63"/>
  <c r="L872" i="63"/>
  <c r="L871" i="63"/>
  <c r="L870" i="63"/>
  <c r="L869" i="63"/>
  <c r="L868" i="63"/>
  <c r="L867" i="63"/>
  <c r="I873" i="63"/>
  <c r="L866" i="63"/>
  <c r="L865" i="63"/>
  <c r="L864" i="63"/>
  <c r="L863" i="63"/>
  <c r="L861" i="63"/>
  <c r="K860" i="63"/>
  <c r="L860" i="63" s="1"/>
  <c r="K859" i="63"/>
  <c r="L859" i="63" s="1"/>
  <c r="K858" i="63"/>
  <c r="L858" i="63" s="1"/>
  <c r="L857" i="63"/>
  <c r="J825" i="63"/>
  <c r="I825" i="63"/>
  <c r="L824" i="63"/>
  <c r="M825" i="63"/>
  <c r="L823" i="63"/>
  <c r="K822" i="63"/>
  <c r="K825" i="63" s="1"/>
  <c r="J820" i="63"/>
  <c r="L819" i="63"/>
  <c r="L818" i="63"/>
  <c r="L817" i="63"/>
  <c r="L815" i="63"/>
  <c r="M127" i="1" s="1"/>
  <c r="L814" i="63"/>
  <c r="L813" i="63"/>
  <c r="L812" i="63"/>
  <c r="M820" i="63"/>
  <c r="L811" i="63"/>
  <c r="M809" i="63"/>
  <c r="I96" i="13" s="1"/>
  <c r="K808" i="63"/>
  <c r="L807" i="63"/>
  <c r="L806" i="63"/>
  <c r="L805" i="63"/>
  <c r="L804" i="63"/>
  <c r="L803" i="63"/>
  <c r="L802" i="63"/>
  <c r="I809" i="63"/>
  <c r="L801" i="63"/>
  <c r="K799" i="63"/>
  <c r="L798" i="63"/>
  <c r="L797" i="63"/>
  <c r="L795" i="63"/>
  <c r="L794" i="63"/>
  <c r="K793" i="63"/>
  <c r="K792" i="63"/>
  <c r="L792" i="63" s="1"/>
  <c r="K791" i="63"/>
  <c r="L791" i="63" s="1"/>
  <c r="K790" i="63"/>
  <c r="L790" i="63" s="1"/>
  <c r="L789" i="63"/>
  <c r="L787" i="63"/>
  <c r="M756" i="63"/>
  <c r="J756" i="63"/>
  <c r="I756" i="63"/>
  <c r="L755" i="63"/>
  <c r="L754" i="63"/>
  <c r="L752" i="63"/>
  <c r="J750" i="63"/>
  <c r="K749" i="63"/>
  <c r="L749" i="63" s="1"/>
  <c r="L747" i="63"/>
  <c r="L746" i="63"/>
  <c r="M745" i="63"/>
  <c r="L745" i="63"/>
  <c r="L744" i="63"/>
  <c r="M743" i="63"/>
  <c r="L743" i="63"/>
  <c r="L742" i="63"/>
  <c r="M739" i="63"/>
  <c r="J739" i="63"/>
  <c r="I739" i="63"/>
  <c r="L738" i="63"/>
  <c r="L736" i="63"/>
  <c r="L735" i="63"/>
  <c r="L734" i="63"/>
  <c r="L733" i="63"/>
  <c r="L732" i="63"/>
  <c r="L731" i="63"/>
  <c r="L730" i="63"/>
  <c r="L729" i="63"/>
  <c r="L728" i="63"/>
  <c r="L726" i="63"/>
  <c r="L725" i="63"/>
  <c r="L724" i="63"/>
  <c r="L723" i="63"/>
  <c r="L722" i="63"/>
  <c r="L721" i="63"/>
  <c r="J689" i="63"/>
  <c r="I689" i="63"/>
  <c r="L688" i="63"/>
  <c r="L687" i="63"/>
  <c r="L686" i="63"/>
  <c r="M689" i="63"/>
  <c r="L685" i="63"/>
  <c r="J683" i="63"/>
  <c r="I683" i="63"/>
  <c r="L682" i="63"/>
  <c r="L680" i="63"/>
  <c r="L679" i="63"/>
  <c r="M678" i="63"/>
  <c r="L678" i="63"/>
  <c r="L677" i="63"/>
  <c r="L676" i="63"/>
  <c r="M674" i="63"/>
  <c r="L674" i="63"/>
  <c r="M672" i="63"/>
  <c r="J672" i="63"/>
  <c r="I672" i="63"/>
  <c r="L671" i="63"/>
  <c r="L670" i="63"/>
  <c r="L669" i="63"/>
  <c r="L668" i="63"/>
  <c r="L667" i="63"/>
  <c r="L666" i="63"/>
  <c r="L665" i="63"/>
  <c r="L664" i="63"/>
  <c r="L663" i="63"/>
  <c r="L662" i="63"/>
  <c r="L661" i="63"/>
  <c r="L659" i="63"/>
  <c r="L658" i="63"/>
  <c r="L657" i="63"/>
  <c r="L656" i="63"/>
  <c r="K655" i="63"/>
  <c r="L655" i="63" s="1"/>
  <c r="K654" i="63"/>
  <c r="L654" i="63" s="1"/>
  <c r="L653" i="63"/>
  <c r="M617" i="63"/>
  <c r="J617" i="63"/>
  <c r="I617" i="63"/>
  <c r="L616" i="63"/>
  <c r="L615" i="63"/>
  <c r="L614" i="63"/>
  <c r="L613" i="63"/>
  <c r="K617" i="63"/>
  <c r="J611" i="63"/>
  <c r="I611" i="63"/>
  <c r="L610" i="63"/>
  <c r="L609" i="63"/>
  <c r="M608" i="63"/>
  <c r="L608" i="63"/>
  <c r="L607" i="63"/>
  <c r="M606" i="63"/>
  <c r="N124" i="1" s="1"/>
  <c r="L606" i="63"/>
  <c r="L605" i="63"/>
  <c r="M604" i="63"/>
  <c r="L604" i="63"/>
  <c r="M602" i="63"/>
  <c r="J602" i="63"/>
  <c r="I602" i="63"/>
  <c r="K601" i="63"/>
  <c r="L601" i="63" s="1"/>
  <c r="L599" i="63"/>
  <c r="L598" i="63"/>
  <c r="L597" i="63"/>
  <c r="L596" i="63"/>
  <c r="L595" i="63"/>
  <c r="L594" i="63"/>
  <c r="L593" i="63"/>
  <c r="L592" i="63"/>
  <c r="L591" i="63"/>
  <c r="L589" i="63"/>
  <c r="L588" i="63"/>
  <c r="L587" i="63"/>
  <c r="K586" i="63"/>
  <c r="L586" i="63" s="1"/>
  <c r="K585" i="63"/>
  <c r="L585" i="63" s="1"/>
  <c r="L584" i="63"/>
  <c r="J548" i="63"/>
  <c r="I548" i="63"/>
  <c r="L547" i="63"/>
  <c r="M548" i="63"/>
  <c r="L546" i="63"/>
  <c r="L545" i="63"/>
  <c r="L544" i="63"/>
  <c r="J542" i="63"/>
  <c r="I542" i="63"/>
  <c r="L541" i="63"/>
  <c r="L540" i="63"/>
  <c r="M542" i="63"/>
  <c r="L539" i="63"/>
  <c r="L538" i="63"/>
  <c r="L537" i="63"/>
  <c r="L536" i="63"/>
  <c r="M533" i="63"/>
  <c r="J533" i="63"/>
  <c r="K532" i="63"/>
  <c r="L532" i="63" s="1"/>
  <c r="L531" i="63"/>
  <c r="L530" i="63"/>
  <c r="L529" i="63"/>
  <c r="L528" i="63"/>
  <c r="L527" i="63"/>
  <c r="I533" i="63"/>
  <c r="L526" i="63"/>
  <c r="L525" i="63"/>
  <c r="L524" i="63"/>
  <c r="L523" i="63"/>
  <c r="L521" i="63"/>
  <c r="L520" i="63"/>
  <c r="L519" i="63"/>
  <c r="L518" i="63"/>
  <c r="L517" i="63"/>
  <c r="L514" i="63"/>
  <c r="M483" i="63"/>
  <c r="J483" i="63"/>
  <c r="I483" i="63"/>
  <c r="L482" i="63"/>
  <c r="L479" i="63"/>
  <c r="K483" i="63"/>
  <c r="J477" i="63"/>
  <c r="L476" i="63"/>
  <c r="L475" i="63"/>
  <c r="M140" i="1" s="1"/>
  <c r="L474" i="63"/>
  <c r="M473" i="63"/>
  <c r="L473" i="63"/>
  <c r="L472" i="63"/>
  <c r="L471" i="63"/>
  <c r="M125" i="1" s="1"/>
  <c r="L470" i="63"/>
  <c r="L469" i="63"/>
  <c r="L468" i="63"/>
  <c r="I477" i="63"/>
  <c r="M466" i="63"/>
  <c r="J466" i="63"/>
  <c r="K465" i="63"/>
  <c r="L465" i="63" s="1"/>
  <c r="L464" i="63"/>
  <c r="L463" i="63"/>
  <c r="L462" i="63"/>
  <c r="L461" i="63"/>
  <c r="L460" i="63"/>
  <c r="I466" i="63"/>
  <c r="L459" i="63"/>
  <c r="L458" i="63"/>
  <c r="L457" i="63"/>
  <c r="L456" i="63"/>
  <c r="L455" i="63"/>
  <c r="L453" i="63"/>
  <c r="L452" i="63"/>
  <c r="L451" i="63"/>
  <c r="L450" i="63"/>
  <c r="L449" i="63"/>
  <c r="L448" i="63"/>
  <c r="L446" i="63"/>
  <c r="M412" i="63"/>
  <c r="J412" i="63"/>
  <c r="I412" i="63"/>
  <c r="L411" i="63"/>
  <c r="L410" i="63"/>
  <c r="L409" i="63"/>
  <c r="L408" i="63"/>
  <c r="J406" i="63"/>
  <c r="I406" i="63"/>
  <c r="K405" i="63"/>
  <c r="L405" i="63" s="1"/>
  <c r="L404" i="63"/>
  <c r="L403" i="63"/>
  <c r="L402" i="63"/>
  <c r="L401" i="63"/>
  <c r="M406" i="63"/>
  <c r="L400" i="63"/>
  <c r="M398" i="63"/>
  <c r="J398" i="63"/>
  <c r="K397" i="63"/>
  <c r="L397" i="63" s="1"/>
  <c r="I398" i="63"/>
  <c r="J342" i="63"/>
  <c r="I342" i="63"/>
  <c r="M342" i="63"/>
  <c r="L341" i="63"/>
  <c r="L340" i="63"/>
  <c r="K339" i="63"/>
  <c r="L339" i="63" s="1"/>
  <c r="J337" i="63"/>
  <c r="I337" i="63"/>
  <c r="K336" i="63"/>
  <c r="L336" i="63" s="1"/>
  <c r="L335" i="63"/>
  <c r="L334" i="63"/>
  <c r="L333" i="63"/>
  <c r="L332" i="63"/>
  <c r="M337" i="63"/>
  <c r="L331" i="63"/>
  <c r="M329" i="63"/>
  <c r="J329" i="63"/>
  <c r="K328" i="63"/>
  <c r="L328" i="63" s="1"/>
  <c r="L327" i="63"/>
  <c r="K326" i="63"/>
  <c r="L326" i="63" s="1"/>
  <c r="L325" i="63"/>
  <c r="L324" i="63"/>
  <c r="L323" i="63"/>
  <c r="L322" i="63"/>
  <c r="L321" i="63"/>
  <c r="L320" i="63"/>
  <c r="L319" i="63"/>
  <c r="I329" i="63"/>
  <c r="L318" i="63"/>
  <c r="L316" i="63"/>
  <c r="L315" i="63"/>
  <c r="L314" i="63"/>
  <c r="L313" i="63"/>
  <c r="L312" i="63"/>
  <c r="L311" i="63"/>
  <c r="L309" i="63"/>
  <c r="M275" i="63"/>
  <c r="J275" i="63"/>
  <c r="I275" i="63"/>
  <c r="L274" i="63"/>
  <c r="K275" i="63"/>
  <c r="L272" i="63"/>
  <c r="J270" i="63"/>
  <c r="I270" i="63"/>
  <c r="L269" i="63"/>
  <c r="L268" i="63"/>
  <c r="L267" i="63"/>
  <c r="L266" i="63"/>
  <c r="L265" i="63"/>
  <c r="L264" i="63"/>
  <c r="M270" i="63"/>
  <c r="L263" i="63"/>
  <c r="I45" i="13"/>
  <c r="J261" i="63"/>
  <c r="L260" i="63"/>
  <c r="L259" i="63"/>
  <c r="L258" i="63"/>
  <c r="L257" i="63"/>
  <c r="L256" i="63"/>
  <c r="L255" i="63"/>
  <c r="L254" i="63"/>
  <c r="L253" i="63"/>
  <c r="L252" i="63"/>
  <c r="L251" i="63"/>
  <c r="L249" i="63"/>
  <c r="L248" i="63"/>
  <c r="L247" i="63"/>
  <c r="K246" i="63"/>
  <c r="L246" i="63" s="1"/>
  <c r="K245" i="63"/>
  <c r="L245" i="63" s="1"/>
  <c r="L244" i="63"/>
  <c r="L242" i="63"/>
  <c r="J205" i="63"/>
  <c r="I205" i="63"/>
  <c r="M205" i="63"/>
  <c r="L204" i="63"/>
  <c r="L203" i="63"/>
  <c r="L202" i="63"/>
  <c r="J200" i="63"/>
  <c r="L199" i="63"/>
  <c r="L198" i="63"/>
  <c r="L197" i="63"/>
  <c r="L196" i="63"/>
  <c r="L195" i="63"/>
  <c r="M200" i="63"/>
  <c r="L194" i="63"/>
  <c r="M192" i="63"/>
  <c r="J192" i="63"/>
  <c r="L191" i="63"/>
  <c r="L190" i="63"/>
  <c r="L189" i="63"/>
  <c r="L188" i="63"/>
  <c r="L186" i="63"/>
  <c r="I192" i="63"/>
  <c r="L185" i="63"/>
  <c r="L184" i="63"/>
  <c r="L175" i="63"/>
  <c r="L173" i="63"/>
  <c r="L139" i="63"/>
  <c r="L138" i="63"/>
  <c r="K137" i="63"/>
  <c r="K140" i="63" s="1"/>
  <c r="L135" i="63"/>
  <c r="L134" i="63"/>
  <c r="J132" i="63"/>
  <c r="I132" i="63"/>
  <c r="K131" i="63"/>
  <c r="L130" i="63"/>
  <c r="M136" i="1" s="1"/>
  <c r="L129" i="63"/>
  <c r="L128" i="63"/>
  <c r="M134" i="1" s="1"/>
  <c r="L127" i="63"/>
  <c r="M133" i="1" s="1"/>
  <c r="L126" i="63"/>
  <c r="M132" i="1" s="1"/>
  <c r="I33" i="13"/>
  <c r="L125" i="63"/>
  <c r="L124" i="63"/>
  <c r="M130" i="1" s="1"/>
  <c r="L123" i="63"/>
  <c r="L122" i="63"/>
  <c r="M128" i="1" s="1"/>
  <c r="L121" i="63"/>
  <c r="L120" i="63"/>
  <c r="M117" i="63"/>
  <c r="K116" i="63"/>
  <c r="L116" i="63" s="1"/>
  <c r="L115" i="63"/>
  <c r="L114" i="63"/>
  <c r="L113" i="63"/>
  <c r="L112" i="63"/>
  <c r="L111" i="63"/>
  <c r="L110" i="63"/>
  <c r="I117" i="63"/>
  <c r="L109" i="63"/>
  <c r="L108" i="63"/>
  <c r="L107" i="63"/>
  <c r="L106" i="63"/>
  <c r="K104" i="63"/>
  <c r="L104" i="63" s="1"/>
  <c r="L103" i="63"/>
  <c r="L102" i="63"/>
  <c r="L101" i="63"/>
  <c r="L100" i="63"/>
  <c r="L97" i="63"/>
  <c r="L66" i="63"/>
  <c r="I29" i="13"/>
  <c r="L64" i="63"/>
  <c r="L63" i="63"/>
  <c r="K67" i="63"/>
  <c r="L62" i="63"/>
  <c r="L61" i="63"/>
  <c r="L60" i="63"/>
  <c r="L59" i="63"/>
  <c r="L55" i="63"/>
  <c r="L54" i="63"/>
  <c r="M137" i="1" s="1"/>
  <c r="L53" i="63"/>
  <c r="L52" i="63"/>
  <c r="L51" i="63"/>
  <c r="L50" i="63"/>
  <c r="L49" i="63"/>
  <c r="M46" i="63"/>
  <c r="J46" i="63"/>
  <c r="L45" i="63"/>
  <c r="L44" i="63"/>
  <c r="L43" i="63"/>
  <c r="L42" i="63"/>
  <c r="L41" i="63"/>
  <c r="L40" i="63"/>
  <c r="L39" i="63"/>
  <c r="I46" i="63"/>
  <c r="L38" i="63"/>
  <c r="L37" i="63"/>
  <c r="L35" i="63"/>
  <c r="L34" i="63"/>
  <c r="L33" i="63"/>
  <c r="L32" i="63"/>
  <c r="L31" i="63"/>
  <c r="L30" i="63"/>
  <c r="L29" i="63"/>
  <c r="L28" i="63"/>
  <c r="L27" i="63"/>
  <c r="M105" i="1" l="1"/>
  <c r="N122" i="1"/>
  <c r="L799" i="63"/>
  <c r="M109" i="1" s="1"/>
  <c r="L141" i="1"/>
  <c r="L131" i="63"/>
  <c r="M141" i="1" s="1"/>
  <c r="L114" i="1"/>
  <c r="M124" i="1"/>
  <c r="M108" i="1"/>
  <c r="I59" i="13"/>
  <c r="L224" i="45"/>
  <c r="I86" i="13"/>
  <c r="L424" i="45"/>
  <c r="L411" i="45"/>
  <c r="I90" i="13"/>
  <c r="J480" i="45"/>
  <c r="J146" i="1"/>
  <c r="M129" i="1"/>
  <c r="I40" i="13"/>
  <c r="K97" i="45"/>
  <c r="K146" i="1"/>
  <c r="I50" i="13"/>
  <c r="J164" i="45"/>
  <c r="I63" i="13"/>
  <c r="J270" i="45"/>
  <c r="M477" i="63"/>
  <c r="M485" i="63" s="1"/>
  <c r="N131" i="1"/>
  <c r="I78" i="13"/>
  <c r="J356" i="45"/>
  <c r="H91" i="5"/>
  <c r="L356" i="45"/>
  <c r="L808" i="63"/>
  <c r="M116" i="1" s="1"/>
  <c r="L116" i="1"/>
  <c r="I108" i="13"/>
  <c r="J627" i="45"/>
  <c r="M1024" i="63"/>
  <c r="M1034" i="63" s="1"/>
  <c r="N286" i="1"/>
  <c r="M304" i="1"/>
  <c r="I92" i="13"/>
  <c r="L480" i="45"/>
  <c r="L118" i="1"/>
  <c r="M131" i="1"/>
  <c r="I32" i="13"/>
  <c r="J52" i="45"/>
  <c r="H68" i="5"/>
  <c r="K129" i="45"/>
  <c r="I52" i="13"/>
  <c r="L164" i="45"/>
  <c r="I58" i="13"/>
  <c r="K224" i="45"/>
  <c r="I72" i="13"/>
  <c r="J312" i="45"/>
  <c r="L793" i="63"/>
  <c r="M100" i="1" s="1"/>
  <c r="L100" i="1"/>
  <c r="I110" i="13"/>
  <c r="L627" i="45"/>
  <c r="L1009" i="63"/>
  <c r="M281" i="1" s="1"/>
  <c r="L281" i="1"/>
  <c r="L97" i="1"/>
  <c r="L99" i="1"/>
  <c r="J119" i="1"/>
  <c r="J153" i="1" s="1"/>
  <c r="L109" i="1"/>
  <c r="H86" i="5"/>
  <c r="L129" i="45"/>
  <c r="I57" i="13"/>
  <c r="J224" i="45"/>
  <c r="I27" i="13"/>
  <c r="J12" i="45"/>
  <c r="L67" i="63"/>
  <c r="M135" i="1"/>
  <c r="H34" i="5"/>
  <c r="J97" i="45"/>
  <c r="I41" i="13"/>
  <c r="L97" i="45"/>
  <c r="N146" i="1"/>
  <c r="I51" i="13"/>
  <c r="K164" i="45"/>
  <c r="I65" i="13"/>
  <c r="L270" i="45"/>
  <c r="H72" i="5"/>
  <c r="K312" i="45"/>
  <c r="H90" i="5"/>
  <c r="L312" i="45"/>
  <c r="M106" i="1"/>
  <c r="H41" i="5"/>
  <c r="J411" i="45"/>
  <c r="M138" i="1"/>
  <c r="M126" i="1"/>
  <c r="I98" i="13"/>
  <c r="L567" i="45"/>
  <c r="H156" i="5"/>
  <c r="J733" i="45"/>
  <c r="I272" i="13"/>
  <c r="L733" i="45"/>
  <c r="L102" i="1"/>
  <c r="L98" i="1"/>
  <c r="L101" i="1"/>
  <c r="M94" i="1"/>
  <c r="M101" i="1"/>
  <c r="M111" i="1"/>
  <c r="M115" i="1"/>
  <c r="M97" i="1"/>
  <c r="M107" i="1"/>
  <c r="M98" i="1"/>
  <c r="M104" i="1"/>
  <c r="M110" i="1"/>
  <c r="M113" i="1"/>
  <c r="M118" i="1"/>
  <c r="M102" i="1"/>
  <c r="M99" i="1"/>
  <c r="M114" i="1"/>
  <c r="I102" i="13"/>
  <c r="J567" i="45"/>
  <c r="I97" i="13"/>
  <c r="K567" i="45"/>
  <c r="M683" i="63"/>
  <c r="M691" i="63" s="1"/>
  <c r="M750" i="63"/>
  <c r="I91" i="13" s="1"/>
  <c r="M947" i="63"/>
  <c r="M954" i="63" s="1"/>
  <c r="L137" i="63"/>
  <c r="L140" i="63" s="1"/>
  <c r="K342" i="63"/>
  <c r="L822" i="63"/>
  <c r="L825" i="63" s="1"/>
  <c r="I263" i="13"/>
  <c r="M611" i="63"/>
  <c r="K356" i="45" s="1"/>
  <c r="H87" i="5"/>
  <c r="H158" i="5"/>
  <c r="I145" i="13"/>
  <c r="I143" i="13"/>
  <c r="L1031" i="63"/>
  <c r="K1012" i="63"/>
  <c r="J1034" i="63"/>
  <c r="H96" i="5"/>
  <c r="H45" i="5"/>
  <c r="H77" i="5"/>
  <c r="M888" i="63"/>
  <c r="H44" i="5"/>
  <c r="L881" i="63"/>
  <c r="K873" i="63"/>
  <c r="K888" i="63" s="1"/>
  <c r="H94" i="5"/>
  <c r="H76" i="5"/>
  <c r="H43" i="5"/>
  <c r="H93" i="5"/>
  <c r="H42" i="5"/>
  <c r="K756" i="63"/>
  <c r="L753" i="63"/>
  <c r="L756" i="63" s="1"/>
  <c r="H92" i="5"/>
  <c r="I84" i="13"/>
  <c r="J691" i="63"/>
  <c r="K672" i="63"/>
  <c r="L651" i="63"/>
  <c r="L672" i="63" s="1"/>
  <c r="I80" i="13"/>
  <c r="H40" i="5"/>
  <c r="L617" i="63"/>
  <c r="J619" i="63"/>
  <c r="I74" i="13"/>
  <c r="I73" i="13"/>
  <c r="H39" i="5"/>
  <c r="L548" i="63"/>
  <c r="K542" i="63"/>
  <c r="K533" i="63"/>
  <c r="J550" i="63"/>
  <c r="H89" i="5"/>
  <c r="H71" i="5"/>
  <c r="H38" i="5"/>
  <c r="L483" i="63"/>
  <c r="L477" i="63"/>
  <c r="H70" i="5"/>
  <c r="H88" i="5"/>
  <c r="M414" i="63"/>
  <c r="H37" i="5"/>
  <c r="L412" i="63"/>
  <c r="L406" i="63"/>
  <c r="K406" i="63"/>
  <c r="J414" i="63"/>
  <c r="H83" i="5"/>
  <c r="H69" i="5"/>
  <c r="M344" i="63"/>
  <c r="H36" i="5"/>
  <c r="L342" i="63"/>
  <c r="K337" i="63"/>
  <c r="L337" i="63"/>
  <c r="J344" i="63"/>
  <c r="I47" i="13"/>
  <c r="I46" i="13"/>
  <c r="H35" i="5"/>
  <c r="L275" i="63"/>
  <c r="L270" i="63"/>
  <c r="J277" i="63"/>
  <c r="L261" i="63"/>
  <c r="H85" i="5"/>
  <c r="H67" i="5"/>
  <c r="M207" i="63"/>
  <c r="I39" i="13"/>
  <c r="L205" i="63"/>
  <c r="J207" i="63"/>
  <c r="K192" i="63"/>
  <c r="H33" i="5"/>
  <c r="H66" i="5"/>
  <c r="M142" i="63"/>
  <c r="H84" i="5"/>
  <c r="I34" i="13"/>
  <c r="K132" i="63"/>
  <c r="K117" i="63"/>
  <c r="I1034" i="63"/>
  <c r="G237" i="16" s="1"/>
  <c r="I954" i="63"/>
  <c r="I888" i="63"/>
  <c r="I758" i="63"/>
  <c r="I691" i="63"/>
  <c r="I619" i="63"/>
  <c r="I550" i="63"/>
  <c r="I485" i="63"/>
  <c r="I142" i="63"/>
  <c r="M69" i="63"/>
  <c r="H32" i="5"/>
  <c r="K57" i="63"/>
  <c r="L48" i="63"/>
  <c r="K46" i="63"/>
  <c r="J69" i="63"/>
  <c r="I69" i="63"/>
  <c r="I414" i="63"/>
  <c r="L200" i="63"/>
  <c r="L329" i="63"/>
  <c r="L24" i="63"/>
  <c r="L99" i="63"/>
  <c r="L117" i="63" s="1"/>
  <c r="L187" i="63"/>
  <c r="L192" i="63" s="1"/>
  <c r="K205" i="63"/>
  <c r="K261" i="63"/>
  <c r="K329" i="63"/>
  <c r="L398" i="63"/>
  <c r="J485" i="63"/>
  <c r="M550" i="63"/>
  <c r="K548" i="63"/>
  <c r="L582" i="63"/>
  <c r="L602" i="63" s="1"/>
  <c r="K602" i="63"/>
  <c r="L611" i="63"/>
  <c r="L689" i="63"/>
  <c r="K412" i="63"/>
  <c r="L675" i="63"/>
  <c r="L683" i="63" s="1"/>
  <c r="K683" i="63"/>
  <c r="L820" i="63"/>
  <c r="I827" i="63"/>
  <c r="J117" i="63"/>
  <c r="J142" i="63" s="1"/>
  <c r="K200" i="63"/>
  <c r="K398" i="63"/>
  <c r="K477" i="63"/>
  <c r="L535" i="63"/>
  <c r="L542" i="63" s="1"/>
  <c r="J873" i="63"/>
  <c r="J888" i="63" s="1"/>
  <c r="L119" i="63"/>
  <c r="I207" i="63"/>
  <c r="M277" i="63"/>
  <c r="L516" i="63"/>
  <c r="L533" i="63" s="1"/>
  <c r="I261" i="63"/>
  <c r="I277" i="63" s="1"/>
  <c r="K270" i="63"/>
  <c r="I344" i="63"/>
  <c r="L466" i="63"/>
  <c r="K466" i="63"/>
  <c r="K611" i="63"/>
  <c r="K739" i="63"/>
  <c r="L719" i="63"/>
  <c r="L739" i="63" s="1"/>
  <c r="J809" i="63"/>
  <c r="J827" i="63" s="1"/>
  <c r="L800" i="63"/>
  <c r="L855" i="63"/>
  <c r="L873" i="63" s="1"/>
  <c r="J954" i="63"/>
  <c r="K750" i="63"/>
  <c r="L741" i="63"/>
  <c r="L750" i="63" s="1"/>
  <c r="J758" i="63"/>
  <c r="K820" i="63"/>
  <c r="M827" i="63"/>
  <c r="L1024" i="63"/>
  <c r="L952" i="63"/>
  <c r="K1024" i="63"/>
  <c r="L937" i="63"/>
  <c r="K952" i="63"/>
  <c r="L923" i="63"/>
  <c r="L941" i="63"/>
  <c r="L947" i="63" s="1"/>
  <c r="L990" i="63"/>
  <c r="H157" i="5" l="1"/>
  <c r="L132" i="63"/>
  <c r="L142" i="63" s="1"/>
  <c r="L414" i="63"/>
  <c r="L809" i="63"/>
  <c r="M758" i="63"/>
  <c r="L146" i="1"/>
  <c r="L888" i="63"/>
  <c r="I85" i="13"/>
  <c r="K411" i="45"/>
  <c r="M123" i="1"/>
  <c r="I144" i="13"/>
  <c r="K733" i="45"/>
  <c r="M96" i="1"/>
  <c r="M117" i="1"/>
  <c r="M103" i="1"/>
  <c r="M146" i="1"/>
  <c r="L1012" i="63"/>
  <c r="L1034" i="63" s="1"/>
  <c r="M262" i="1"/>
  <c r="H74" i="5"/>
  <c r="I109" i="13"/>
  <c r="K627" i="45"/>
  <c r="I64" i="13"/>
  <c r="K270" i="45"/>
  <c r="L46" i="63"/>
  <c r="M93" i="1"/>
  <c r="M619" i="63"/>
  <c r="H75" i="5"/>
  <c r="K480" i="45"/>
  <c r="M112" i="1"/>
  <c r="L57" i="63"/>
  <c r="M122" i="1"/>
  <c r="H78" i="5"/>
  <c r="I79" i="13"/>
  <c r="H73" i="5"/>
  <c r="H234" i="16"/>
  <c r="H201" i="16"/>
  <c r="G234" i="16"/>
  <c r="K1034" i="63"/>
  <c r="L485" i="63"/>
  <c r="L827" i="63"/>
  <c r="K758" i="63"/>
  <c r="L619" i="63"/>
  <c r="K619" i="63"/>
  <c r="K550" i="63"/>
  <c r="L550" i="63"/>
  <c r="K485" i="63"/>
  <c r="K414" i="63"/>
  <c r="K344" i="63"/>
  <c r="L344" i="63"/>
  <c r="L277" i="63"/>
  <c r="K277" i="63"/>
  <c r="L207" i="63"/>
  <c r="K142" i="63"/>
  <c r="K69" i="63"/>
  <c r="I1040" i="63"/>
  <c r="J1040" i="63"/>
  <c r="L758" i="63"/>
  <c r="K809" i="63"/>
  <c r="K827" i="63" s="1"/>
  <c r="K207" i="63"/>
  <c r="K691" i="63"/>
  <c r="L939" i="63"/>
  <c r="L954" i="63" s="1"/>
  <c r="K939" i="63"/>
  <c r="K954" i="63" s="1"/>
  <c r="L691" i="63"/>
  <c r="M1040" i="63" l="1"/>
  <c r="L69" i="63"/>
  <c r="L1040" i="63" s="1"/>
  <c r="G235" i="16"/>
  <c r="H235" i="16"/>
  <c r="K1040" i="63"/>
  <c r="O424" i="45"/>
  <c r="L60" i="44" l="1"/>
  <c r="E29" i="44"/>
  <c r="F29" i="44"/>
  <c r="H29" i="44"/>
  <c r="I29" i="44"/>
  <c r="K29" i="44"/>
  <c r="L57" i="44"/>
  <c r="R49" i="44"/>
  <c r="L92" i="44"/>
  <c r="L93" i="44"/>
  <c r="L94" i="44"/>
  <c r="L95" i="44"/>
  <c r="L96" i="44"/>
  <c r="E130" i="44" l="1"/>
  <c r="F130" i="44"/>
  <c r="G130" i="44"/>
  <c r="H130" i="44"/>
  <c r="I130" i="44"/>
  <c r="J130" i="44"/>
  <c r="D130" i="44"/>
  <c r="K49" i="16" l="1"/>
  <c r="K33" i="16"/>
  <c r="K52" i="16" l="1"/>
  <c r="K234" i="16" l="1"/>
  <c r="O774" i="45"/>
  <c r="K235" i="16" l="1"/>
  <c r="I228" i="13" l="1"/>
  <c r="I246" i="16" l="1"/>
  <c r="J126" i="16" l="1"/>
  <c r="J127" i="16"/>
  <c r="J128" i="16"/>
  <c r="J129" i="16"/>
  <c r="J130" i="16"/>
  <c r="J131" i="16"/>
  <c r="J132" i="16"/>
  <c r="J133" i="16"/>
  <c r="J134" i="16"/>
  <c r="J168" i="16"/>
  <c r="J169" i="16"/>
  <c r="J175" i="16" l="1"/>
  <c r="J174" i="16"/>
  <c r="J172" i="16"/>
  <c r="J173" i="16"/>
  <c r="J171" i="16"/>
  <c r="J170" i="16"/>
  <c r="I108" i="16"/>
  <c r="I199" i="16" s="1"/>
  <c r="J49" i="16"/>
  <c r="J48" i="16"/>
  <c r="J47" i="16"/>
  <c r="J46" i="16"/>
  <c r="I201" i="16" l="1"/>
  <c r="I234" i="16"/>
  <c r="I235" i="16" l="1"/>
  <c r="M225" i="1"/>
  <c r="M226" i="1"/>
  <c r="L63" i="1"/>
  <c r="L62" i="1"/>
  <c r="L59" i="1"/>
  <c r="L57" i="1"/>
  <c r="L54" i="1"/>
  <c r="L43" i="1"/>
  <c r="L36" i="1"/>
  <c r="L33" i="1"/>
  <c r="K242" i="16" l="1"/>
  <c r="I83" i="20" l="1"/>
  <c r="I88" i="20" s="1"/>
  <c r="K307" i="1" l="1"/>
  <c r="M307" i="1" s="1"/>
  <c r="J242" i="16" l="1"/>
  <c r="H242" i="16"/>
  <c r="G242" i="16"/>
  <c r="I12" i="20" l="1"/>
  <c r="I227" i="13"/>
  <c r="J45" i="16" l="1"/>
  <c r="L242" i="1" l="1"/>
  <c r="L53" i="1" l="1"/>
  <c r="O776" i="45" l="1"/>
  <c r="L755" i="45"/>
  <c r="J755" i="45"/>
  <c r="L688" i="45"/>
  <c r="J688" i="45"/>
  <c r="J509" i="45"/>
  <c r="J424" i="45"/>
  <c r="L192" i="45"/>
  <c r="J192" i="45"/>
  <c r="L106" i="45"/>
  <c r="J106" i="45"/>
  <c r="C130" i="44" l="1"/>
  <c r="L129" i="44"/>
  <c r="L128" i="44"/>
  <c r="L127" i="44"/>
  <c r="L126" i="44"/>
  <c r="L125" i="44"/>
  <c r="L124" i="44"/>
  <c r="L123" i="44"/>
  <c r="L122" i="44"/>
  <c r="L121" i="44"/>
  <c r="L120" i="44"/>
  <c r="L119" i="44"/>
  <c r="L118" i="44"/>
  <c r="L117" i="44"/>
  <c r="L116" i="44"/>
  <c r="L115" i="44"/>
  <c r="L114" i="44"/>
  <c r="L113" i="44"/>
  <c r="L112" i="44"/>
  <c r="L111" i="44"/>
  <c r="L110" i="44"/>
  <c r="L109" i="44"/>
  <c r="L108" i="44"/>
  <c r="L107" i="44"/>
  <c r="L106" i="44"/>
  <c r="L105" i="44"/>
  <c r="L104" i="44"/>
  <c r="L103" i="44"/>
  <c r="L102" i="44"/>
  <c r="L101" i="44"/>
  <c r="L100" i="44"/>
  <c r="L99" i="44"/>
  <c r="L90" i="44"/>
  <c r="L89" i="44"/>
  <c r="L88" i="44"/>
  <c r="L87" i="44"/>
  <c r="L86" i="44"/>
  <c r="L85" i="44"/>
  <c r="L84" i="44"/>
  <c r="L83" i="44"/>
  <c r="L82" i="44"/>
  <c r="L91" i="44"/>
  <c r="L80" i="44"/>
  <c r="L79" i="44"/>
  <c r="L78" i="44"/>
  <c r="L77" i="44"/>
  <c r="L70" i="44"/>
  <c r="L69" i="44"/>
  <c r="L68" i="44"/>
  <c r="L67" i="44"/>
  <c r="L66" i="44"/>
  <c r="L65" i="44"/>
  <c r="L64" i="44"/>
  <c r="L63" i="44"/>
  <c r="K62" i="44"/>
  <c r="I62" i="44"/>
  <c r="H62" i="44"/>
  <c r="F62" i="44"/>
  <c r="E62" i="44"/>
  <c r="D62" i="44"/>
  <c r="J61" i="44"/>
  <c r="G61" i="44"/>
  <c r="J59" i="44"/>
  <c r="L59" i="44" s="1"/>
  <c r="J58" i="44"/>
  <c r="L56" i="44"/>
  <c r="L55" i="44"/>
  <c r="L54" i="44"/>
  <c r="J51" i="44"/>
  <c r="G51" i="44"/>
  <c r="K50" i="44"/>
  <c r="I50" i="44"/>
  <c r="H50" i="44"/>
  <c r="F50" i="44"/>
  <c r="E50" i="44"/>
  <c r="J49" i="44"/>
  <c r="G49" i="44"/>
  <c r="R45" i="44"/>
  <c r="L44" i="44"/>
  <c r="L42" i="44"/>
  <c r="D37" i="44"/>
  <c r="G37" i="44" s="1"/>
  <c r="C37" i="44" s="1"/>
  <c r="C36" i="44"/>
  <c r="J31" i="44"/>
  <c r="C31" i="44" s="1"/>
  <c r="J30" i="44"/>
  <c r="G30" i="44"/>
  <c r="J28" i="44"/>
  <c r="G28" i="44"/>
  <c r="L26" i="44"/>
  <c r="L24" i="44"/>
  <c r="L22" i="44"/>
  <c r="L20" i="44"/>
  <c r="L18" i="44"/>
  <c r="L16" i="44"/>
  <c r="L14" i="44"/>
  <c r="L12" i="44"/>
  <c r="D11" i="44"/>
  <c r="G11" i="44" s="1"/>
  <c r="D10" i="44"/>
  <c r="G10" i="44" s="1"/>
  <c r="C10" i="44" s="1"/>
  <c r="J9" i="44"/>
  <c r="C9" i="44" s="1"/>
  <c r="L9" i="44" s="1"/>
  <c r="J7" i="44"/>
  <c r="G7" i="44"/>
  <c r="L28" i="44" l="1"/>
  <c r="C49" i="44"/>
  <c r="C7" i="44"/>
  <c r="C30" i="44"/>
  <c r="L30" i="44" s="1"/>
  <c r="L61" i="44"/>
  <c r="L13" i="44"/>
  <c r="L15" i="44"/>
  <c r="L17" i="44"/>
  <c r="L19" i="44"/>
  <c r="L21" i="44"/>
  <c r="L23" i="44"/>
  <c r="L25" i="44"/>
  <c r="L32" i="44"/>
  <c r="L39" i="44"/>
  <c r="D50" i="44"/>
  <c r="J29" i="44"/>
  <c r="R50" i="44"/>
  <c r="D29" i="44"/>
  <c r="L49" i="44"/>
  <c r="L27" i="44"/>
  <c r="L58" i="44"/>
  <c r="L43" i="44"/>
  <c r="C62" i="44"/>
  <c r="L31" i="44"/>
  <c r="L45" i="44"/>
  <c r="L36" i="44"/>
  <c r="K130" i="44"/>
  <c r="K131" i="44" s="1"/>
  <c r="L33" i="44"/>
  <c r="L35" i="44"/>
  <c r="L48" i="44"/>
  <c r="C11" i="44"/>
  <c r="L11" i="44" s="1"/>
  <c r="L34" i="44"/>
  <c r="L37" i="44"/>
  <c r="L41" i="44"/>
  <c r="L46" i="44"/>
  <c r="L38" i="44"/>
  <c r="L40" i="44"/>
  <c r="I131" i="44"/>
  <c r="J62" i="44"/>
  <c r="J50" i="44"/>
  <c r="H131" i="44"/>
  <c r="F131" i="44"/>
  <c r="E131" i="44"/>
  <c r="L53" i="44"/>
  <c r="G62" i="44"/>
  <c r="G29" i="44"/>
  <c r="G50" i="44"/>
  <c r="L81" i="44"/>
  <c r="L130" i="44" s="1"/>
  <c r="L51" i="44"/>
  <c r="D131" i="44" l="1"/>
  <c r="C50" i="44"/>
  <c r="L50" i="44" s="1"/>
  <c r="J131" i="44"/>
  <c r="L62" i="44"/>
  <c r="G131" i="44"/>
  <c r="L7" i="44"/>
  <c r="J124" i="16"/>
  <c r="C29" i="44" l="1"/>
  <c r="C131" i="44" s="1"/>
  <c r="L10" i="44"/>
  <c r="L29" i="44" s="1"/>
  <c r="L131" i="44" l="1"/>
  <c r="L140" i="44" s="1"/>
  <c r="J29" i="16" l="1"/>
  <c r="J44" i="16"/>
  <c r="J43" i="16"/>
  <c r="J42" i="16"/>
  <c r="J39" i="16"/>
  <c r="J38" i="16"/>
  <c r="J37" i="16"/>
  <c r="J36" i="16"/>
  <c r="J32" i="16"/>
  <c r="J33" i="16"/>
  <c r="J27" i="16"/>
  <c r="J26" i="16"/>
  <c r="J31" i="16" l="1"/>
  <c r="J23" i="16"/>
  <c r="I116" i="13" l="1"/>
  <c r="H148" i="5" l="1"/>
  <c r="N143" i="1" l="1"/>
  <c r="N119" i="1" l="1"/>
  <c r="N153" i="1" s="1"/>
  <c r="J125" i="16" l="1"/>
  <c r="J123" i="16"/>
  <c r="J122" i="16"/>
  <c r="J121" i="16"/>
  <c r="J119" i="16"/>
  <c r="J118" i="16"/>
  <c r="J117" i="16"/>
  <c r="J116" i="16"/>
  <c r="J115" i="16"/>
  <c r="J114" i="16"/>
  <c r="J113" i="16"/>
  <c r="J111" i="16"/>
  <c r="J110" i="16"/>
  <c r="J109" i="16"/>
  <c r="J108" i="16"/>
  <c r="J107" i="16"/>
  <c r="J106" i="16"/>
  <c r="J105" i="16"/>
  <c r="J104" i="16"/>
  <c r="J103" i="16"/>
  <c r="J101" i="16"/>
  <c r="J100" i="16"/>
  <c r="J98" i="16"/>
  <c r="J41" i="16"/>
  <c r="J40" i="16"/>
  <c r="J35" i="16"/>
  <c r="J34" i="16"/>
  <c r="J30" i="16"/>
  <c r="J28" i="16"/>
  <c r="J25" i="16"/>
  <c r="J22" i="16"/>
  <c r="M52" i="45"/>
  <c r="K284" i="1"/>
  <c r="J284" i="1"/>
  <c r="M245" i="1"/>
  <c r="M244" i="1"/>
  <c r="M242" i="1"/>
  <c r="M239" i="1"/>
  <c r="M238" i="1"/>
  <c r="M58" i="1"/>
  <c r="M67" i="1"/>
  <c r="M66" i="1"/>
  <c r="M65" i="1"/>
  <c r="M64" i="1"/>
  <c r="M63" i="1"/>
  <c r="M62" i="1"/>
  <c r="M59" i="1"/>
  <c r="M54" i="1"/>
  <c r="M53" i="1"/>
  <c r="M52" i="1"/>
  <c r="M51" i="1"/>
  <c r="M49" i="1"/>
  <c r="M48" i="1"/>
  <c r="M47" i="1"/>
  <c r="M45" i="1"/>
  <c r="M44" i="1"/>
  <c r="M43" i="1"/>
  <c r="M37" i="1"/>
  <c r="M36" i="1"/>
  <c r="M28" i="1"/>
  <c r="M34" i="1"/>
  <c r="M33" i="1"/>
  <c r="M26" i="1"/>
  <c r="J69" i="1"/>
  <c r="I24" i="20"/>
  <c r="I23" i="20"/>
  <c r="I16" i="20"/>
  <c r="I15" i="20"/>
  <c r="I14" i="20"/>
  <c r="I13" i="20"/>
  <c r="I91" i="20"/>
  <c r="I92" i="20" s="1"/>
  <c r="I22" i="20"/>
  <c r="I21" i="20"/>
  <c r="L509" i="45"/>
  <c r="I146" i="13"/>
  <c r="I14" i="13"/>
  <c r="H159" i="5"/>
  <c r="H200" i="5" s="1"/>
  <c r="H20" i="5"/>
  <c r="J112" i="16"/>
  <c r="J102" i="16"/>
  <c r="J96" i="16"/>
  <c r="M150" i="1" s="1"/>
  <c r="N69" i="1"/>
  <c r="N38" i="1"/>
  <c r="H18" i="5" s="1"/>
  <c r="N21" i="1"/>
  <c r="N74" i="1"/>
  <c r="K21" i="1"/>
  <c r="L21" i="1"/>
  <c r="K424" i="45"/>
  <c r="M356" i="45"/>
  <c r="M270" i="45"/>
  <c r="M224" i="45"/>
  <c r="M164" i="45"/>
  <c r="M192" i="45" s="1"/>
  <c r="M129" i="45"/>
  <c r="N246" i="1"/>
  <c r="H24" i="5" s="1"/>
  <c r="N227" i="1"/>
  <c r="H23" i="5" s="1"/>
  <c r="M220" i="1"/>
  <c r="N220" i="1" s="1"/>
  <c r="K296" i="1"/>
  <c r="K308" i="1" s="1"/>
  <c r="K227" i="1"/>
  <c r="L227" i="1"/>
  <c r="J296" i="1"/>
  <c r="N296" i="1"/>
  <c r="N308" i="1" s="1"/>
  <c r="M243" i="1"/>
  <c r="M240" i="1"/>
  <c r="M237" i="1"/>
  <c r="M233" i="1"/>
  <c r="M231" i="1"/>
  <c r="M230" i="1"/>
  <c r="K246" i="1"/>
  <c r="M73" i="1"/>
  <c r="M74" i="1" s="1"/>
  <c r="M68" i="1"/>
  <c r="J21" i="1"/>
  <c r="J74" i="1"/>
  <c r="J38" i="1"/>
  <c r="J246" i="1"/>
  <c r="J227" i="1"/>
  <c r="N75" i="1" l="1"/>
  <c r="N154" i="1" s="1"/>
  <c r="J308" i="1"/>
  <c r="M312" i="45"/>
  <c r="L600" i="45"/>
  <c r="J600" i="45"/>
  <c r="K755" i="45"/>
  <c r="M733" i="45"/>
  <c r="M755" i="45" s="1"/>
  <c r="K509" i="45"/>
  <c r="M480" i="45"/>
  <c r="M509" i="45" s="1"/>
  <c r="K600" i="45"/>
  <c r="M627" i="45"/>
  <c r="M688" i="45" s="1"/>
  <c r="K688" i="45"/>
  <c r="M97" i="45"/>
  <c r="M106" i="45" s="1"/>
  <c r="K106" i="45"/>
  <c r="M411" i="45"/>
  <c r="M424" i="45" s="1"/>
  <c r="J120" i="16"/>
  <c r="J24" i="16"/>
  <c r="J52" i="16" s="1"/>
  <c r="I20" i="13"/>
  <c r="I216" i="13"/>
  <c r="I218" i="13" s="1"/>
  <c r="H232" i="16"/>
  <c r="J97" i="16"/>
  <c r="M151" i="1" s="1"/>
  <c r="H237" i="16"/>
  <c r="L74" i="1"/>
  <c r="J95" i="16"/>
  <c r="M149" i="1" s="1"/>
  <c r="M152" i="1" s="1"/>
  <c r="H146" i="5"/>
  <c r="K74" i="1"/>
  <c r="L246" i="1"/>
  <c r="L247" i="1" s="1"/>
  <c r="L296" i="1"/>
  <c r="I13" i="13"/>
  <c r="K247" i="1"/>
  <c r="K309" i="1" s="1"/>
  <c r="M55" i="1"/>
  <c r="I114" i="13"/>
  <c r="H193" i="5"/>
  <c r="I270" i="13"/>
  <c r="M12" i="45"/>
  <c r="I12" i="13"/>
  <c r="N70" i="1"/>
  <c r="K143" i="1"/>
  <c r="M227" i="1"/>
  <c r="I19" i="13"/>
  <c r="N247" i="1"/>
  <c r="H198" i="5" s="1"/>
  <c r="H19" i="5"/>
  <c r="H21" i="5" s="1"/>
  <c r="J247" i="1"/>
  <c r="M21" i="1"/>
  <c r="M296" i="1"/>
  <c r="M57" i="1"/>
  <c r="J70" i="1"/>
  <c r="M246" i="1"/>
  <c r="I17" i="20"/>
  <c r="I25" i="20"/>
  <c r="I95" i="20"/>
  <c r="L38" i="1"/>
  <c r="M27" i="1"/>
  <c r="M38" i="1" s="1"/>
  <c r="M119" i="1"/>
  <c r="L143" i="1"/>
  <c r="L69" i="1"/>
  <c r="M42" i="1"/>
  <c r="M143" i="1"/>
  <c r="M284" i="1"/>
  <c r="J75" i="1"/>
  <c r="J154" i="1" s="1"/>
  <c r="K69" i="1"/>
  <c r="L284" i="1"/>
  <c r="K38" i="1"/>
  <c r="L119" i="1"/>
  <c r="K119" i="1"/>
  <c r="H25" i="5"/>
  <c r="L153" i="1" l="1"/>
  <c r="L154" i="1" s="1"/>
  <c r="K153" i="1"/>
  <c r="M153" i="1"/>
  <c r="J309" i="1"/>
  <c r="L75" i="1"/>
  <c r="N309" i="1"/>
  <c r="K75" i="1"/>
  <c r="M308" i="1"/>
  <c r="L308" i="1"/>
  <c r="L309" i="1" s="1"/>
  <c r="I21" i="13"/>
  <c r="I155" i="13" s="1"/>
  <c r="M567" i="45"/>
  <c r="M600" i="45" s="1"/>
  <c r="J381" i="1"/>
  <c r="J384" i="1" s="1"/>
  <c r="I66" i="13"/>
  <c r="H199" i="5"/>
  <c r="H201" i="5" s="1"/>
  <c r="K237" i="16"/>
  <c r="I117" i="13"/>
  <c r="K232" i="16"/>
  <c r="I232" i="16"/>
  <c r="J237" i="16"/>
  <c r="I30" i="13"/>
  <c r="H149" i="5"/>
  <c r="H169" i="5"/>
  <c r="H46" i="5"/>
  <c r="J46" i="5" s="1"/>
  <c r="I15" i="13"/>
  <c r="I208" i="13" s="1"/>
  <c r="H174" i="5"/>
  <c r="M247" i="1"/>
  <c r="I147" i="13"/>
  <c r="J280" i="13" s="1"/>
  <c r="I81" i="13"/>
  <c r="I105" i="13"/>
  <c r="I87" i="13"/>
  <c r="I42" i="13"/>
  <c r="H161" i="5"/>
  <c r="H162" i="5" s="1"/>
  <c r="H179" i="5" s="1"/>
  <c r="I60" i="13"/>
  <c r="I75" i="13"/>
  <c r="I53" i="13"/>
  <c r="I35" i="13"/>
  <c r="J272" i="13"/>
  <c r="J274" i="13" s="1"/>
  <c r="J275" i="13" s="1"/>
  <c r="H97" i="5"/>
  <c r="J97" i="5" s="1"/>
  <c r="I93" i="13"/>
  <c r="I99" i="13"/>
  <c r="H79" i="5"/>
  <c r="J79" i="5" s="1"/>
  <c r="I48" i="13"/>
  <c r="I111" i="13"/>
  <c r="M69" i="1"/>
  <c r="M75" i="1" s="1"/>
  <c r="I29" i="20"/>
  <c r="H168" i="5"/>
  <c r="H191" i="5"/>
  <c r="K70" i="1"/>
  <c r="L70" i="1"/>
  <c r="H27" i="5"/>
  <c r="K154" i="1" l="1"/>
  <c r="M154" i="1"/>
  <c r="M309" i="1"/>
  <c r="J279" i="13"/>
  <c r="J281" i="13" s="1"/>
  <c r="J234" i="16"/>
  <c r="J235" i="16" s="1"/>
  <c r="K247" i="16"/>
  <c r="O773" i="45"/>
  <c r="O775" i="45" s="1"/>
  <c r="O777" i="45" s="1"/>
  <c r="O779" i="45" s="1"/>
  <c r="K381" i="1"/>
  <c r="K384" i="1" s="1"/>
  <c r="J232" i="16"/>
  <c r="H170" i="5"/>
  <c r="I226" i="13"/>
  <c r="I154" i="13"/>
  <c r="I156" i="13" s="1"/>
  <c r="I23" i="13"/>
  <c r="M70" i="1"/>
  <c r="I148" i="13"/>
  <c r="I167" i="13" s="1"/>
  <c r="H192" i="5"/>
  <c r="H194" i="5" s="1"/>
  <c r="N381" i="1"/>
  <c r="H173" i="5"/>
  <c r="H175" i="5" s="1"/>
  <c r="I161" i="13"/>
  <c r="I120" i="13"/>
  <c r="I210" i="13" s="1"/>
  <c r="I212" i="13" s="1"/>
  <c r="H151" i="5"/>
  <c r="H152" i="5" s="1"/>
  <c r="H178" i="5" s="1"/>
  <c r="H180" i="5" s="1"/>
  <c r="L381" i="1"/>
  <c r="L384" i="1" s="1"/>
  <c r="M381" i="1" l="1"/>
  <c r="M384" i="1" s="1"/>
  <c r="I230" i="13"/>
  <c r="I219" i="13" s="1"/>
  <c r="I220" i="13" s="1"/>
  <c r="J243" i="16"/>
  <c r="M380" i="1"/>
  <c r="J247" i="16"/>
  <c r="H243" i="16"/>
  <c r="K380" i="1"/>
  <c r="K379" i="1" s="1"/>
  <c r="H247" i="16"/>
  <c r="K243" i="16"/>
  <c r="N380" i="1"/>
  <c r="N379" i="1" s="1"/>
  <c r="N384" i="1"/>
  <c r="K239" i="16"/>
  <c r="H181" i="5"/>
  <c r="I121" i="13"/>
  <c r="I166" i="13" s="1"/>
  <c r="I168" i="13" s="1"/>
  <c r="I160" i="13"/>
  <c r="I162" i="13" s="1"/>
  <c r="M379" i="1" l="1"/>
  <c r="I170" i="13"/>
  <c r="I237" i="16" l="1"/>
  <c r="L380" i="1" l="1"/>
  <c r="L379" i="1" s="1"/>
  <c r="I247" i="16"/>
  <c r="I243" i="16"/>
  <c r="G232" i="16"/>
  <c r="G243" i="16"/>
  <c r="G239" i="16" l="1"/>
  <c r="G247" i="16"/>
  <c r="J380" i="1"/>
  <c r="J379" i="1" s="1"/>
</calcChain>
</file>

<file path=xl/sharedStrings.xml><?xml version="1.0" encoding="utf-8"?>
<sst xmlns="http://schemas.openxmlformats.org/spreadsheetml/2006/main" count="6237" uniqueCount="1908">
  <si>
    <t>GENERAL FUND</t>
  </si>
  <si>
    <t>ACCOUNT</t>
  </si>
  <si>
    <t xml:space="preserve">INCOME </t>
  </si>
  <si>
    <t>PARTICULARS</t>
  </si>
  <si>
    <t>CODE</t>
  </si>
  <si>
    <t>CLASSIFICATION</t>
  </si>
  <si>
    <t>PAST YEAR</t>
  </si>
  <si>
    <t>BUDGET YEAR</t>
  </si>
  <si>
    <t>TOTAL NON-TAX REVENUE</t>
  </si>
  <si>
    <t>TOTAL RECEIPTS</t>
  </si>
  <si>
    <t>MARKET</t>
  </si>
  <si>
    <t>LOCAL FINANCE COMMITTEE:</t>
  </si>
  <si>
    <t>MELBA B. BAGOOD</t>
  </si>
  <si>
    <t>M.P.D.C.</t>
  </si>
  <si>
    <t>Municipal Mayor</t>
  </si>
  <si>
    <t>TOTAL</t>
  </si>
  <si>
    <t>Certified Correct:</t>
  </si>
  <si>
    <t>EMELY S. BADUA</t>
  </si>
  <si>
    <t>Municipal Budget Officer</t>
  </si>
  <si>
    <t>TOTAL EXPENDITURES</t>
  </si>
  <si>
    <t>Unappropriated Balance</t>
  </si>
  <si>
    <t>OBJECT OF EXPENDITURE</t>
  </si>
  <si>
    <t>Municipal Vice Mayor</t>
  </si>
  <si>
    <t>SALUD D. PANIDA</t>
  </si>
  <si>
    <t>EDNA C. PADAYAO</t>
  </si>
  <si>
    <t>JESUS V. PICO</t>
  </si>
  <si>
    <t>TERESA O. MAMALIO</t>
  </si>
  <si>
    <t>1141-2</t>
  </si>
  <si>
    <t>9993-1</t>
  </si>
  <si>
    <t>9993-2</t>
  </si>
  <si>
    <t>9993-3</t>
  </si>
  <si>
    <t>9993-4</t>
  </si>
  <si>
    <t>9993-5</t>
  </si>
  <si>
    <t>1011-1</t>
  </si>
  <si>
    <t>1011-2</t>
  </si>
  <si>
    <t>1011-3</t>
  </si>
  <si>
    <t>1011-5</t>
  </si>
  <si>
    <t>1011-6</t>
  </si>
  <si>
    <t>1011-7</t>
  </si>
  <si>
    <t>1011-8</t>
  </si>
  <si>
    <t>1011-9</t>
  </si>
  <si>
    <t>1011-10</t>
  </si>
  <si>
    <t>GRAND TOTAL</t>
  </si>
  <si>
    <t>Current Year</t>
  </si>
  <si>
    <t>POSITION TITLE</t>
  </si>
  <si>
    <t>NAME OF</t>
  </si>
  <si>
    <t>Increase/</t>
  </si>
  <si>
    <t>INCUMBENT</t>
  </si>
  <si>
    <t>Decrease</t>
  </si>
  <si>
    <t>AMOUNT</t>
  </si>
  <si>
    <t>HEIDEE GANIGAN-CHUA</t>
  </si>
  <si>
    <t>PERSONAL STAFF</t>
  </si>
  <si>
    <t>EMETERIO E. LAROYA</t>
  </si>
  <si>
    <t>15/1</t>
  </si>
  <si>
    <t>Administrative Aide IV</t>
  </si>
  <si>
    <t>ANA D. FRONDA</t>
  </si>
  <si>
    <t>4/1</t>
  </si>
  <si>
    <t>GENERAL SERVICES</t>
  </si>
  <si>
    <t>Administrative Aide III</t>
  </si>
  <si>
    <t>GERARDO M. VELASCO</t>
  </si>
  <si>
    <t>JULIAN M. ILUMIN</t>
  </si>
  <si>
    <t>PRINCESS C. POON</t>
  </si>
  <si>
    <t xml:space="preserve">HUMAN RESOURCE </t>
  </si>
  <si>
    <t>MANAGEMENT OFFICE</t>
  </si>
  <si>
    <t>Administrative Officer II</t>
  </si>
  <si>
    <t>RIZALINA C. AYING</t>
  </si>
  <si>
    <t>11/8</t>
  </si>
  <si>
    <t>24/1</t>
  </si>
  <si>
    <t>ABC PRESIDENT</t>
  </si>
  <si>
    <t>PPSK President</t>
  </si>
  <si>
    <t>Secretary to Sangguniang</t>
  </si>
  <si>
    <t>DIOSDADO C. BALANGA</t>
  </si>
  <si>
    <t>Bayan</t>
  </si>
  <si>
    <t>Librarian I</t>
  </si>
  <si>
    <t>ANALIE D. SOLORIA</t>
  </si>
  <si>
    <t>Administrative Aide VI</t>
  </si>
  <si>
    <t>OLIVIA MARIE B. SALES</t>
  </si>
  <si>
    <t>Municipal Government</t>
  </si>
  <si>
    <t>24/8</t>
  </si>
  <si>
    <t>Draftsman I</t>
  </si>
  <si>
    <t>6/8</t>
  </si>
  <si>
    <t>AMELIA D. DE GUZMAN</t>
  </si>
  <si>
    <t>Assistant Registration</t>
  </si>
  <si>
    <t>BENJAMIN B. GINES, JR.</t>
  </si>
  <si>
    <t>Officer I</t>
  </si>
  <si>
    <t>Statistician Aide</t>
  </si>
  <si>
    <t>GEMMA  P. PERALTA</t>
  </si>
  <si>
    <t>Administrative Assistant II</t>
  </si>
  <si>
    <t>IMELDA T. SISON</t>
  </si>
  <si>
    <t>8/8</t>
  </si>
  <si>
    <t>ROSALIE A. JOVER</t>
  </si>
  <si>
    <t>MICHAEL C. SOLIVEN</t>
  </si>
  <si>
    <t>CASHIERING</t>
  </si>
  <si>
    <t>Administrative Officer III</t>
  </si>
  <si>
    <t>ELMA A. ESPEDIDO</t>
  </si>
  <si>
    <t>TREASURY SERVICES</t>
  </si>
  <si>
    <t>Local Revenue Collection</t>
  </si>
  <si>
    <t>Revenue Collection Clerk II</t>
  </si>
  <si>
    <t>GLORIA C. RANICO</t>
  </si>
  <si>
    <t>BOBBY C. VELASCO</t>
  </si>
  <si>
    <t>Revenue Collection Clerk I</t>
  </si>
  <si>
    <t>CRISMAN O. OLIVAS</t>
  </si>
  <si>
    <t>ROBERT P. MALAYO</t>
  </si>
  <si>
    <t>Local Assessment Operations</t>
  </si>
  <si>
    <t>VACANT</t>
  </si>
  <si>
    <t>Assessment Clerk II</t>
  </si>
  <si>
    <t>Assessment Clerk I</t>
  </si>
  <si>
    <t>Tax Mapping Aide</t>
  </si>
  <si>
    <t>NELSON P. SARMIENTO</t>
  </si>
  <si>
    <t>4/2</t>
  </si>
  <si>
    <t>ROGELIO P. LOPEZ</t>
  </si>
  <si>
    <t>24/6</t>
  </si>
  <si>
    <t>Social Welfare Assistant</t>
  </si>
  <si>
    <t>Agricultural Technologist</t>
  </si>
  <si>
    <t>MINERVA L. ROSAS</t>
  </si>
  <si>
    <t>NENA P. BAUTISTA</t>
  </si>
  <si>
    <t>ANTONIO S. SOLIVEN, JR.</t>
  </si>
  <si>
    <t>RONNIE S. TOMAS</t>
  </si>
  <si>
    <t>Dentist II</t>
  </si>
  <si>
    <t>AURELIA D. VELASCO</t>
  </si>
  <si>
    <t>Nurse III</t>
  </si>
  <si>
    <t>NITA L. ROMERO</t>
  </si>
  <si>
    <t>CLEOFE A. GANTE</t>
  </si>
  <si>
    <t>4/8</t>
  </si>
  <si>
    <t>Midwife III</t>
  </si>
  <si>
    <t>MARILOU O. TORIO</t>
  </si>
  <si>
    <t>JULIE A. PERALTA</t>
  </si>
  <si>
    <t>Midwife II</t>
  </si>
  <si>
    <t>CLARITA P. OGANIZA</t>
  </si>
  <si>
    <t>VICTORIA G. BALANGA</t>
  </si>
  <si>
    <t>Nursemaid I</t>
  </si>
  <si>
    <t>SHARON M. BUGARIN</t>
  </si>
  <si>
    <t>Medical Technologist</t>
  </si>
  <si>
    <t>KAREN KAROLYNE V. GARCIA</t>
  </si>
  <si>
    <t>11/2</t>
  </si>
  <si>
    <t>Nurse II</t>
  </si>
  <si>
    <t>ZENAIDA G. GAMEZ</t>
  </si>
  <si>
    <t>LOURDES R. PADILLA</t>
  </si>
  <si>
    <t>11/3</t>
  </si>
  <si>
    <t>MERCEDITA R. LOPEZ</t>
  </si>
  <si>
    <t>Market Supervisor I</t>
  </si>
  <si>
    <t>10/1</t>
  </si>
  <si>
    <t>Market Inspector II</t>
  </si>
  <si>
    <t>VALENTINO E. GARCIA</t>
  </si>
  <si>
    <t>License Inspector I</t>
  </si>
  <si>
    <t>Meat Inspector I</t>
  </si>
  <si>
    <t>Administrative Aide I</t>
  </si>
  <si>
    <t>ORLANDO C. ANGELO</t>
  </si>
  <si>
    <t>ARNOLD C. BUSTILLOS</t>
  </si>
  <si>
    <t>1/3</t>
  </si>
  <si>
    <t>Laborer I</t>
  </si>
  <si>
    <t>1/2</t>
  </si>
  <si>
    <t>ESTELA L. PASCUA</t>
  </si>
  <si>
    <t>ROMMEL M. PISO</t>
  </si>
  <si>
    <t>1/1</t>
  </si>
  <si>
    <t>LANIE R. CARDENAS</t>
  </si>
  <si>
    <t>Cemetery Caretaker</t>
  </si>
  <si>
    <t>EDUARDO E. RIPA</t>
  </si>
  <si>
    <t>2/8</t>
  </si>
  <si>
    <t>Sub-Total</t>
  </si>
  <si>
    <t>Market Supervisor III</t>
  </si>
  <si>
    <t>ALEJANDRO S. TORIO</t>
  </si>
  <si>
    <t>JOHN Q. SOLIVEN</t>
  </si>
  <si>
    <t>EDGAR M. PEREZ</t>
  </si>
  <si>
    <t>8/1</t>
  </si>
  <si>
    <t>Sub-Total (Market)</t>
  </si>
  <si>
    <t>Amount Due</t>
  </si>
  <si>
    <t>Creditor</t>
  </si>
  <si>
    <t>Term</t>
  </si>
  <si>
    <t>Principal</t>
  </si>
  <si>
    <t>(Budget Year)</t>
  </si>
  <si>
    <t>Contracted</t>
  </si>
  <si>
    <t>Amount</t>
  </si>
  <si>
    <t>Interest</t>
  </si>
  <si>
    <t>Total</t>
  </si>
  <si>
    <t>NONE</t>
  </si>
  <si>
    <t xml:space="preserve"> </t>
  </si>
  <si>
    <t>Republic of the Philippines</t>
  </si>
  <si>
    <t>MUNICIPALITY OF ASINGAN</t>
  </si>
  <si>
    <t>Pangasinan</t>
  </si>
  <si>
    <t>OFFICE OF THE MUNICIPAL BUDGET OFFICER</t>
  </si>
  <si>
    <t>Section</t>
  </si>
  <si>
    <t>I</t>
  </si>
  <si>
    <t>ESTIMATED INCOME</t>
  </si>
  <si>
    <t>General Fund Proper</t>
  </si>
  <si>
    <t>1. Tax Revenue</t>
  </si>
  <si>
    <t>2. Non-Tax Revenue</t>
  </si>
  <si>
    <t>3. Internal Revenue Allotment</t>
  </si>
  <si>
    <t>TOTAL ESTIMATED INCOME</t>
  </si>
  <si>
    <t>Operation of Economic Enterprise</t>
  </si>
  <si>
    <t>1.  Tax Revenue</t>
  </si>
  <si>
    <t>2.  Non-Tax Revenue</t>
  </si>
  <si>
    <t>II</t>
  </si>
  <si>
    <t>APPROPRIATION</t>
  </si>
  <si>
    <t>1.   General Fund Proper</t>
  </si>
  <si>
    <t xml:space="preserve">          1.1   PERSONAL SERVICES:</t>
  </si>
  <si>
    <t xml:space="preserve">       Office of the Municipal Mayor</t>
  </si>
  <si>
    <t xml:space="preserve">       Office of the Sangguniang Bayan</t>
  </si>
  <si>
    <t xml:space="preserve">       Office of the M.P.D.C.</t>
  </si>
  <si>
    <t xml:space="preserve">       Office of the Mun. Civil Registrar</t>
  </si>
  <si>
    <t xml:space="preserve">       Office of the Mun. Budget Officer</t>
  </si>
  <si>
    <t xml:space="preserve">       Office of the Municipal Accountant</t>
  </si>
  <si>
    <t xml:space="preserve">       Office of the Municipal Treasurer</t>
  </si>
  <si>
    <t xml:space="preserve">       Ofice of the Municipal Assessor</t>
  </si>
  <si>
    <t xml:space="preserve">       Office of the Municiapl Engineer</t>
  </si>
  <si>
    <t xml:space="preserve">       Office of the M.S.W.D.O.</t>
  </si>
  <si>
    <t xml:space="preserve">       Office of the Municipal Agriculturist</t>
  </si>
  <si>
    <t xml:space="preserve">       Municipal Health Unit I</t>
  </si>
  <si>
    <t xml:space="preserve">       Municipal Health Unit II</t>
  </si>
  <si>
    <t xml:space="preserve">          1.2  MAINTENANCE &amp; OTHER OPERATING EXPENDITURES:</t>
  </si>
  <si>
    <t xml:space="preserve">          1.3  CAPITAL OUTLAY:</t>
  </si>
  <si>
    <t xml:space="preserve">       Office of the Municipal Social Welfare Development Office</t>
  </si>
  <si>
    <t xml:space="preserve">          1.4  Non-Office Expenditures</t>
  </si>
  <si>
    <t xml:space="preserve">      Inter-Gov't Aids</t>
  </si>
  <si>
    <t>2.   Operation of Economic Enterprise</t>
  </si>
  <si>
    <t xml:space="preserve">     Personal Services</t>
  </si>
  <si>
    <t xml:space="preserve">     Maintenance &amp; Other Operating Expenditures</t>
  </si>
  <si>
    <t xml:space="preserve">     Capital Outlay</t>
  </si>
  <si>
    <t xml:space="preserve">     General Fund Proper</t>
  </si>
  <si>
    <t xml:space="preserve">     Operation of Economic Enterprise</t>
  </si>
  <si>
    <t>Unappropriated Balances:</t>
  </si>
  <si>
    <t>24/2</t>
  </si>
  <si>
    <t>1/8</t>
  </si>
  <si>
    <t>1011-11</t>
  </si>
  <si>
    <t>1011-12</t>
  </si>
  <si>
    <t>1011-15</t>
  </si>
  <si>
    <t>MARIBEL Y. DAMASCO</t>
  </si>
  <si>
    <t>Income:</t>
  </si>
  <si>
    <t>Appropriation</t>
  </si>
  <si>
    <t xml:space="preserve">        TOTAL INCOME</t>
  </si>
  <si>
    <t xml:space="preserve">       TOTAL APPROPRIATION</t>
  </si>
  <si>
    <t xml:space="preserve">        TOTAL</t>
  </si>
  <si>
    <t>TOTAL NON-OFFICE EXPENDITURES</t>
  </si>
  <si>
    <t xml:space="preserve">        TOTAL APPROPRIATION (General Fund Proper)</t>
  </si>
  <si>
    <t xml:space="preserve">      TOTAL APPROPRIATION (Economic Enterprise)</t>
  </si>
  <si>
    <t>Section III</t>
  </si>
  <si>
    <t>RECAPITULIZATION</t>
  </si>
  <si>
    <t xml:space="preserve">            TOTAL PERSONAL SERVICES</t>
  </si>
  <si>
    <t xml:space="preserve">            TOTAL MOOE</t>
  </si>
  <si>
    <t xml:space="preserve">            TOTAL CAPITAL OUTLAY</t>
  </si>
  <si>
    <t xml:space="preserve">       Unappropriated Balance</t>
  </si>
  <si>
    <t>MARJORIE V. TINTE</t>
  </si>
  <si>
    <t>Municipal Accountant</t>
  </si>
  <si>
    <t>6/1</t>
  </si>
  <si>
    <t>4/3</t>
  </si>
  <si>
    <t>ATHENA IRA G. CHUA</t>
  </si>
  <si>
    <t>3/1</t>
  </si>
  <si>
    <t>MYRNA LUISA M. ALIPIO</t>
  </si>
  <si>
    <t>24/3</t>
  </si>
  <si>
    <t>MA. JONABEL I. GIDAYAO</t>
  </si>
  <si>
    <t>EMELINDA P. RAMIREZ</t>
  </si>
  <si>
    <t>3/3</t>
  </si>
  <si>
    <t>Local Disaster Risk Reduction</t>
  </si>
  <si>
    <t>Management Officer III</t>
  </si>
  <si>
    <t>ENGR. EMETERIO E. LAROYA</t>
  </si>
  <si>
    <t>Grand Total</t>
  </si>
  <si>
    <t>Engineer I</t>
  </si>
  <si>
    <t>12/1</t>
  </si>
  <si>
    <t>Approved:</t>
  </si>
  <si>
    <t xml:space="preserve">       Office of the LDRRMO</t>
  </si>
  <si>
    <t xml:space="preserve">       Office of the Municipal Engineer</t>
  </si>
  <si>
    <t>1011-16</t>
  </si>
  <si>
    <t>1011-17</t>
  </si>
  <si>
    <t>MARY GRACE F. TAWAGEN</t>
  </si>
  <si>
    <t xml:space="preserve">      Local Disaster Risk Reduction &amp; Management Fund</t>
  </si>
  <si>
    <t xml:space="preserve">     Local Disaster Risk Reduction &amp; Management Fund</t>
  </si>
  <si>
    <t>1011-18</t>
  </si>
  <si>
    <t>1141-1</t>
  </si>
  <si>
    <t>General Fund</t>
  </si>
  <si>
    <t>Total Estimated Income</t>
  </si>
  <si>
    <t>Less: Appropriation</t>
  </si>
  <si>
    <t>5% LDRRMF</t>
  </si>
  <si>
    <t>Market</t>
  </si>
  <si>
    <t>-</t>
  </si>
  <si>
    <t>4411-1</t>
  </si>
  <si>
    <t>4411-2</t>
  </si>
  <si>
    <t>TOTAL MOOE</t>
  </si>
  <si>
    <t>PS</t>
  </si>
  <si>
    <t>MOOE</t>
  </si>
  <si>
    <t>CO</t>
  </si>
  <si>
    <t>MARINA C. PASCUAL</t>
  </si>
  <si>
    <t>JANETTE E. PITA</t>
  </si>
  <si>
    <t>RUBIE JEAN R. PICO</t>
  </si>
  <si>
    <t>MYLA V. DE GUZMAN</t>
  </si>
  <si>
    <t>DOMINIC R. TARANGCO</t>
  </si>
  <si>
    <t>CATHERINE C. MERCADO</t>
  </si>
  <si>
    <t>SECTION 1</t>
  </si>
  <si>
    <t>A.</t>
  </si>
  <si>
    <t>Tax Revenue</t>
  </si>
  <si>
    <t>Share from Internal Revenue Allotment</t>
  </si>
  <si>
    <t>Total Available Resources</t>
  </si>
  <si>
    <t>Non-Tax Revenue</t>
  </si>
  <si>
    <t>SECTION 2</t>
  </si>
  <si>
    <t>Office of the Municipal Mayor</t>
  </si>
  <si>
    <t>1.</t>
  </si>
  <si>
    <t>Personal Services</t>
  </si>
  <si>
    <t>Capital Outlay</t>
  </si>
  <si>
    <t>2.</t>
  </si>
  <si>
    <t>3.</t>
  </si>
  <si>
    <t>Office of the Sangguniang Bayan</t>
  </si>
  <si>
    <t>Office of the MPDC</t>
  </si>
  <si>
    <t>4.</t>
  </si>
  <si>
    <t>5.</t>
  </si>
  <si>
    <t>6.</t>
  </si>
  <si>
    <t>7.</t>
  </si>
  <si>
    <t>8.</t>
  </si>
  <si>
    <t>9.</t>
  </si>
  <si>
    <t>10.</t>
  </si>
  <si>
    <t>11.</t>
  </si>
  <si>
    <t>12.</t>
  </si>
  <si>
    <t>13.</t>
  </si>
  <si>
    <t>14.</t>
  </si>
  <si>
    <t>Office of the Civil Registrar</t>
  </si>
  <si>
    <t>Office of the Municipal Budget Officer</t>
  </si>
  <si>
    <t>Office of the Municipal Accountant</t>
  </si>
  <si>
    <t>Office of the Municipal Treasurer</t>
  </si>
  <si>
    <t>Office of the Municipal Assessor</t>
  </si>
  <si>
    <t>Office of the Municipal Engineer</t>
  </si>
  <si>
    <t>Office of the M.S.W.D.O.</t>
  </si>
  <si>
    <t>Office of the Municipal Agriculturist</t>
  </si>
  <si>
    <t>Office of the Municipal Health Unit I</t>
  </si>
  <si>
    <t>Office of the Municipal Health Unit II</t>
  </si>
  <si>
    <t>15.</t>
  </si>
  <si>
    <t>Office of the LDRRMO</t>
  </si>
  <si>
    <t>Non-Office Expenditures</t>
  </si>
  <si>
    <t>Inter-Government Aids</t>
  </si>
  <si>
    <t>Maintenance &amp; Other Operating Expenses</t>
  </si>
  <si>
    <t>Local Disaster Risk Reduction Management Fund</t>
  </si>
  <si>
    <t xml:space="preserve">                  TOTAL APPROPRIATION (General Fund Proper)</t>
  </si>
  <si>
    <t xml:space="preserve">                   Unappropriated Balance</t>
  </si>
  <si>
    <t>B.</t>
  </si>
  <si>
    <t>Operation of Economic Enterprises</t>
  </si>
  <si>
    <t xml:space="preserve">                  TOTAL APPROPRIATION (Economic Enterprise)</t>
  </si>
  <si>
    <t>SECTION 3. RECAPITULIZATION</t>
  </si>
  <si>
    <t xml:space="preserve">         General Fund Proper</t>
  </si>
  <si>
    <t xml:space="preserve">         Operation of Economic Enterprises</t>
  </si>
  <si>
    <t xml:space="preserve">         Total Amount Available for Appropriations</t>
  </si>
  <si>
    <t>Total Appropriations</t>
  </si>
  <si>
    <t xml:space="preserve">         Total </t>
  </si>
  <si>
    <t xml:space="preserve">         Unappropriated Balances:</t>
  </si>
  <si>
    <t>SECTION 4</t>
  </si>
  <si>
    <t>a.</t>
  </si>
  <si>
    <t>b.</t>
  </si>
  <si>
    <t>c.</t>
  </si>
  <si>
    <t>d.</t>
  </si>
  <si>
    <t>e.</t>
  </si>
  <si>
    <t>f.</t>
  </si>
  <si>
    <t>g.</t>
  </si>
  <si>
    <t>h.</t>
  </si>
  <si>
    <t>Local Budget Prep. Form 1</t>
  </si>
  <si>
    <t>Local Budget Prep. Form 2</t>
  </si>
  <si>
    <t>Local Budget Prep. Form 3</t>
  </si>
  <si>
    <t>Local Budget Prep. Form 4</t>
  </si>
  <si>
    <t>Local Budget Prep. Form 5</t>
  </si>
  <si>
    <t>Local Budget Prep. Form 6</t>
  </si>
  <si>
    <t>Local Budget Prep. Form 7</t>
  </si>
  <si>
    <t>Personnel Schedule</t>
  </si>
  <si>
    <t>Obligations &amp; Budgetary Requirements</t>
  </si>
  <si>
    <t>ASINGAN, PANGASINAN</t>
  </si>
  <si>
    <t>Total Estimated Income-General Fund</t>
  </si>
  <si>
    <t>Less: Total Appropriation</t>
  </si>
  <si>
    <t>x 45%</t>
  </si>
  <si>
    <t>Still Allowable PS Appropriation</t>
  </si>
  <si>
    <t>Note:</t>
  </si>
  <si>
    <t>Total P.S.</t>
  </si>
  <si>
    <t>Total P.S. Subject to 45% PS Limitation</t>
  </si>
  <si>
    <t>PERSONAL SERVICES</t>
  </si>
  <si>
    <t>Overtime Pay</t>
  </si>
  <si>
    <t>Cash Gift</t>
  </si>
  <si>
    <t>Pag-ibig Contributions</t>
  </si>
  <si>
    <t>Philhealth Contributions</t>
  </si>
  <si>
    <t>TOTAL PERSONAL SERVICES</t>
  </si>
  <si>
    <t>Terminal Leave Benefits</t>
  </si>
  <si>
    <t>MAINTENANCE &amp; OTHER OPERATING EXPENSES</t>
  </si>
  <si>
    <t>Travelling Expenses</t>
  </si>
  <si>
    <t>Insurance Expenses</t>
  </si>
  <si>
    <t>General Services</t>
  </si>
  <si>
    <t>Electricity Expenses</t>
  </si>
  <si>
    <t>Office Supplies Expenses</t>
  </si>
  <si>
    <t>CAPITAL OUTLAY</t>
  </si>
  <si>
    <t>TOTAL APPROPRIATION</t>
  </si>
  <si>
    <t>Dental Aide</t>
  </si>
  <si>
    <t>ESTHER S. AGUILAR</t>
  </si>
  <si>
    <t>MARK E. ABELLA</t>
  </si>
  <si>
    <t>-751</t>
  </si>
  <si>
    <t>-753</t>
  </si>
  <si>
    <t>-759</t>
  </si>
  <si>
    <t>-755</t>
  </si>
  <si>
    <t>-773</t>
  </si>
  <si>
    <t>-850</t>
  </si>
  <si>
    <t>-969</t>
  </si>
  <si>
    <t>8/2</t>
  </si>
  <si>
    <t>11/1</t>
  </si>
  <si>
    <t>13/8</t>
  </si>
  <si>
    <t>10/2</t>
  </si>
  <si>
    <t>1/6</t>
  </si>
  <si>
    <t>-749</t>
  </si>
  <si>
    <t>-760</t>
  </si>
  <si>
    <t>-705</t>
  </si>
  <si>
    <t>9997-1</t>
  </si>
  <si>
    <t>9997-2</t>
  </si>
  <si>
    <t>9997-3</t>
  </si>
  <si>
    <t>9997-4</t>
  </si>
  <si>
    <t>9997-5</t>
  </si>
  <si>
    <t>9997-6</t>
  </si>
  <si>
    <t>9997-7</t>
  </si>
  <si>
    <t>9997-8</t>
  </si>
  <si>
    <t>9997-9</t>
  </si>
  <si>
    <t>9997-10</t>
  </si>
  <si>
    <t>9999-3</t>
  </si>
  <si>
    <t>9999-2</t>
  </si>
  <si>
    <t>9999-3a</t>
  </si>
  <si>
    <t>9999-3b</t>
  </si>
  <si>
    <t>9999-3c</t>
  </si>
  <si>
    <t>9999-3d</t>
  </si>
  <si>
    <t>9999-4</t>
  </si>
  <si>
    <t>1011-4</t>
  </si>
  <si>
    <t>1011-13</t>
  </si>
  <si>
    <t>1011-14</t>
  </si>
  <si>
    <t>5% LDRRM Fund</t>
  </si>
  <si>
    <t>Sanitary Inspector I</t>
  </si>
  <si>
    <t>Social Welfare Officer I</t>
  </si>
  <si>
    <t>Less:</t>
  </si>
  <si>
    <t>Physical Therapist I</t>
  </si>
  <si>
    <t>HANSON P. PARAGAS</t>
  </si>
  <si>
    <t>EMRI B. CASTILLO</t>
  </si>
  <si>
    <t>CATHERINE M. DE GUZMAN</t>
  </si>
  <si>
    <t>TOTAL PS_TERMINAL LEAVE BENEFITS</t>
  </si>
  <si>
    <t>Salaries &amp; Wages-Casual</t>
  </si>
  <si>
    <t>Training Expenses</t>
  </si>
  <si>
    <t>Administrative Officer IV</t>
  </si>
  <si>
    <t>Sr. Administrative Assistant III</t>
  </si>
  <si>
    <t>ERNESTO D. PASCUAL</t>
  </si>
  <si>
    <t>-719</t>
  </si>
  <si>
    <t>15/2</t>
  </si>
  <si>
    <t>3/2</t>
  </si>
  <si>
    <t>MEL F. LOPEZ</t>
  </si>
  <si>
    <t>MARIVIC S. ROBENIOL</t>
  </si>
  <si>
    <t>MELCHOR G. CARDINEZ</t>
  </si>
  <si>
    <t>6/2</t>
  </si>
  <si>
    <t>JOVANNIE G. DIAZ</t>
  </si>
  <si>
    <t>7/2</t>
  </si>
  <si>
    <t>5/2</t>
  </si>
  <si>
    <t>11/5</t>
  </si>
  <si>
    <t>BERNARDO T. RELVERIA, JR.</t>
  </si>
  <si>
    <t>Program</t>
  </si>
  <si>
    <t>Office/Department</t>
  </si>
  <si>
    <t>Project/Activity</t>
  </si>
  <si>
    <t>:</t>
  </si>
  <si>
    <t>General Supervision</t>
  </si>
  <si>
    <t xml:space="preserve">Office/Department </t>
  </si>
  <si>
    <t xml:space="preserve">Program               </t>
  </si>
  <si>
    <t xml:space="preserve">Project/Activity      </t>
  </si>
  <si>
    <t>Legislative Services</t>
  </si>
  <si>
    <t>Municipal Law Making Body</t>
  </si>
  <si>
    <t xml:space="preserve">Project/Activity     </t>
  </si>
  <si>
    <t>Office of the M.P.D.C.</t>
  </si>
  <si>
    <t>Planning &amp; Programming</t>
  </si>
  <si>
    <t xml:space="preserve">Program              </t>
  </si>
  <si>
    <t xml:space="preserve">Project/Activity   </t>
  </si>
  <si>
    <t>Office of the Municipal Civil Registrar</t>
  </si>
  <si>
    <t>Civil Registry</t>
  </si>
  <si>
    <t>Civil registration of the municipality</t>
  </si>
  <si>
    <t xml:space="preserve">Office/Department  </t>
  </si>
  <si>
    <t>Budgeting Services</t>
  </si>
  <si>
    <t xml:space="preserve">Project/Activity    </t>
  </si>
  <si>
    <t>Accounting Services</t>
  </si>
  <si>
    <t>Treasury Services</t>
  </si>
  <si>
    <t>Collection of all local taxes</t>
  </si>
  <si>
    <t>Assessment Services</t>
  </si>
  <si>
    <t>Engineering Services</t>
  </si>
  <si>
    <t>Social Services</t>
  </si>
  <si>
    <t>Agricultural Services</t>
  </si>
  <si>
    <t xml:space="preserve">Program             </t>
  </si>
  <si>
    <t>Health Services</t>
  </si>
  <si>
    <t>Office of the Municipal Health Officer I</t>
  </si>
  <si>
    <t>Office of the Municipal Health Officer II</t>
  </si>
  <si>
    <t>Economic Enterprise Management-MARKET</t>
  </si>
  <si>
    <t>Market Supervision</t>
  </si>
  <si>
    <t xml:space="preserve">Project/Activity       </t>
  </si>
  <si>
    <t>Office of the Local Disaster Risk Reduction Management Officer</t>
  </si>
  <si>
    <t>Local Disaster Risk Reduction Management Services</t>
  </si>
  <si>
    <t>Responsible for setting the direction, development, implementation and coordination of disaster risk reduction</t>
  </si>
  <si>
    <t>I.</t>
  </si>
  <si>
    <t>BEGINNING CASH BALANCE</t>
  </si>
  <si>
    <t>II.</t>
  </si>
  <si>
    <t>RECEIPTS</t>
  </si>
  <si>
    <t>a. Real Property Tax (RPT)</t>
  </si>
  <si>
    <t>TOTAL TAX REVENUE</t>
  </si>
  <si>
    <t>a. Regulatory Fees</t>
  </si>
  <si>
    <t>1. Registration Fees</t>
  </si>
  <si>
    <t>Registration on Civil Status</t>
  </si>
  <si>
    <t>Marriage Fees</t>
  </si>
  <si>
    <t>Registration of Large Cattle</t>
  </si>
  <si>
    <t>2. Inspection Fees</t>
  </si>
  <si>
    <t>3. Clearance and Certification Fee</t>
  </si>
  <si>
    <t>Zoning Clearance</t>
  </si>
  <si>
    <t>Police Clearance</t>
  </si>
  <si>
    <t>Locational Clearance</t>
  </si>
  <si>
    <t>4. Permit Fees</t>
  </si>
  <si>
    <t>Mayor's Permit Fees</t>
  </si>
  <si>
    <t>Building Permit Fees</t>
  </si>
  <si>
    <t>Burial Permit Fees</t>
  </si>
  <si>
    <t>Electrical Permit Fees</t>
  </si>
  <si>
    <t>5. Occupation Fees</t>
  </si>
  <si>
    <t>6. Other Fees</t>
  </si>
  <si>
    <t>Sponsors Fee</t>
  </si>
  <si>
    <t>Cemetery Fee</t>
  </si>
  <si>
    <t>Exhumation Fee</t>
  </si>
  <si>
    <t>b. Business and Service Income</t>
  </si>
  <si>
    <t>1. Rent/Lease Income</t>
  </si>
  <si>
    <t>Sports Center/ATRC</t>
  </si>
  <si>
    <t>2. Parking Fee</t>
  </si>
  <si>
    <t>3. Medical, Dental and Laboratory Fees</t>
  </si>
  <si>
    <t>4. Interest Income</t>
  </si>
  <si>
    <t>5. Service Income</t>
  </si>
  <si>
    <t>6. Fines &amp; Penalties</t>
  </si>
  <si>
    <t>TOTAL LOCAL SOURCES</t>
  </si>
  <si>
    <t>A. LOCAL SOURCES</t>
  </si>
  <si>
    <t>B. EXTERNAL SOURCES</t>
  </si>
  <si>
    <t>1. Internal Revenue Allotment</t>
  </si>
  <si>
    <t>2. Share from Tobacco Excise Tax</t>
  </si>
  <si>
    <t>TOTAL EXTERNAL SOURCES</t>
  </si>
  <si>
    <t>III.</t>
  </si>
  <si>
    <t>EXPENDITURES</t>
  </si>
  <si>
    <t>Salaries &amp; Wages</t>
  </si>
  <si>
    <t>Salaries &amp; Wages-Regular</t>
  </si>
  <si>
    <t>Other Compensation</t>
  </si>
  <si>
    <t>Personal Economic Relief Allowance (PERA)</t>
  </si>
  <si>
    <t>Previous Year</t>
  </si>
  <si>
    <t>Penalty</t>
  </si>
  <si>
    <t>Amusement Tax</t>
  </si>
  <si>
    <t>Franchise Tax</t>
  </si>
  <si>
    <t>Motor Vehicle Tax</t>
  </si>
  <si>
    <t xml:space="preserve">Tax on Sand, Gravel and Other </t>
  </si>
  <si>
    <t>Quarry Products</t>
  </si>
  <si>
    <t>Community Tax</t>
  </si>
  <si>
    <t>Transportation Allowance (TA)</t>
  </si>
  <si>
    <t>Representation Allowance (RA)</t>
  </si>
  <si>
    <t>Clothing/Uniform Allowance</t>
  </si>
  <si>
    <t>Subsistence, Laundry and Quarter Allowance</t>
  </si>
  <si>
    <t>Other Bonuses and Allowances (Loyalty Bonus)</t>
  </si>
  <si>
    <t>Other Bonuses and Allowances (Anniversary Bonus)</t>
  </si>
  <si>
    <t>Hazard Pay</t>
  </si>
  <si>
    <t xml:space="preserve">Cash Gift </t>
  </si>
  <si>
    <t>Year End Bonus</t>
  </si>
  <si>
    <t>PAG-IBIG Contributions</t>
  </si>
  <si>
    <t>PHILHEALTH Contributions</t>
  </si>
  <si>
    <t>Health Workers Benefits (Medico-legal allowance)</t>
  </si>
  <si>
    <t>Monetization of Leave Credits</t>
  </si>
  <si>
    <t xml:space="preserve">MAINTENANCE AND OTHER OPERATING EXPENSES </t>
  </si>
  <si>
    <t>Traveling Expenses</t>
  </si>
  <si>
    <t>Accountable Forms Expenses</t>
  </si>
  <si>
    <t>Drugs and Medicines Expenses</t>
  </si>
  <si>
    <t>Medical, Dental &amp; Laboratory Supplies Expenses</t>
  </si>
  <si>
    <t>Postage &amp; Deliveries</t>
  </si>
  <si>
    <t>Telephone Expenses</t>
  </si>
  <si>
    <t>Telephone Expenses (Moblie)</t>
  </si>
  <si>
    <t>Advertising Expenses</t>
  </si>
  <si>
    <t>Representation Expenses</t>
  </si>
  <si>
    <t>Maintenance of Motor Vehicle</t>
  </si>
  <si>
    <t>Discretionary Fund</t>
  </si>
  <si>
    <t>Extra-Ordinary &amp; Miscellaneous Expenses</t>
  </si>
  <si>
    <t>Fidelity Bond Premiums</t>
  </si>
  <si>
    <t>Other Maintenance &amp; Operating Expenses</t>
  </si>
  <si>
    <t>CAPITAL OUTLAYS</t>
  </si>
  <si>
    <t>SPECIAL PURPOSE APPROPRIATIONS (SPAs)</t>
  </si>
  <si>
    <t>20% Development Fund</t>
  </si>
  <si>
    <t>Aid to Barangays</t>
  </si>
  <si>
    <t>Other Authorized SPAs</t>
  </si>
  <si>
    <t>IV. ENDING  BALANCE</t>
  </si>
  <si>
    <t>(ACTUAL)</t>
  </si>
  <si>
    <t>First Semester</t>
  </si>
  <si>
    <t>Second Semester</t>
  </si>
  <si>
    <t>(ESTIMATE)</t>
  </si>
  <si>
    <t>BUDGET OF EXPENDITURES AND SOURCES OF FINANCING</t>
  </si>
  <si>
    <t>(PROPOSED)</t>
  </si>
  <si>
    <t>We hereby certify that the information presented above are true and correct. We further certify that the foregoing estimated receipts are reasonably projected as collectible for the Budget Year.</t>
  </si>
  <si>
    <t xml:space="preserve">Other Local Taxes </t>
  </si>
  <si>
    <t>Business Tax</t>
  </si>
  <si>
    <t>Fines and Penalties</t>
  </si>
  <si>
    <t>Inspection Fees</t>
  </si>
  <si>
    <t>1. Inspection Fees</t>
  </si>
  <si>
    <t>2. Permit Fees (Mayor)</t>
  </si>
  <si>
    <t>1. Medical Fees</t>
  </si>
  <si>
    <t>2. Market and Slaughterhouse Fees</t>
  </si>
  <si>
    <t>3. Ante-Post Mortem</t>
  </si>
  <si>
    <t>4. Garbage Fees</t>
  </si>
  <si>
    <t>5. Income from Economic Enterprise</t>
  </si>
  <si>
    <t>Stall Rental</t>
  </si>
  <si>
    <t>Cash Tickets</t>
  </si>
  <si>
    <t>Electric Bill</t>
  </si>
  <si>
    <t>Goodwill</t>
  </si>
  <si>
    <t>7. Miscellaneous Income</t>
  </si>
  <si>
    <t>-701</t>
  </si>
  <si>
    <t>-711</t>
  </si>
  <si>
    <t>-713</t>
  </si>
  <si>
    <t>-714</t>
  </si>
  <si>
    <t>-715</t>
  </si>
  <si>
    <t>-716</t>
  </si>
  <si>
    <t>-717</t>
  </si>
  <si>
    <t>-721</t>
  </si>
  <si>
    <t>-723</t>
  </si>
  <si>
    <t>-724</t>
  </si>
  <si>
    <t>-725</t>
  </si>
  <si>
    <t>-731</t>
  </si>
  <si>
    <t>-732</t>
  </si>
  <si>
    <t>-733</t>
  </si>
  <si>
    <t>-734</t>
  </si>
  <si>
    <t>-742</t>
  </si>
  <si>
    <t>-743</t>
  </si>
  <si>
    <t>-756</t>
  </si>
  <si>
    <t>-761</t>
  </si>
  <si>
    <t>-771</t>
  </si>
  <si>
    <t>-772</t>
  </si>
  <si>
    <t>-780</t>
  </si>
  <si>
    <t>-783</t>
  </si>
  <si>
    <t>-841</t>
  </si>
  <si>
    <t>-883</t>
  </si>
  <si>
    <t>-884</t>
  </si>
  <si>
    <t>-892</t>
  </si>
  <si>
    <t>-767</t>
  </si>
  <si>
    <t>-795</t>
  </si>
  <si>
    <t>-893</t>
  </si>
  <si>
    <t>ACCOUNT CODE</t>
  </si>
  <si>
    <t>TOTAL APPROPRIATIONS</t>
  </si>
  <si>
    <t>Prepared:</t>
  </si>
  <si>
    <t>Reviewed:</t>
  </si>
  <si>
    <t>SECTOR</t>
  </si>
  <si>
    <t>PROGRAM/PROJECT/ACTIVITY</t>
  </si>
  <si>
    <t xml:space="preserve">CURRENT YEAR </t>
  </si>
  <si>
    <t>Item Number</t>
  </si>
  <si>
    <t>Old</t>
  </si>
  <si>
    <t>New</t>
  </si>
  <si>
    <t>SG/STEP</t>
  </si>
  <si>
    <t>Budget Year Proposed</t>
  </si>
  <si>
    <t>7</t>
  </si>
  <si>
    <t>Program/Project/Activity</t>
  </si>
  <si>
    <t>Description</t>
  </si>
  <si>
    <t>Major Final Output</t>
  </si>
  <si>
    <t>Performance/Output</t>
  </si>
  <si>
    <t>Indicator</t>
  </si>
  <si>
    <t>STATEMENT OF INDEBTEDNESS</t>
  </si>
  <si>
    <t xml:space="preserve">Date </t>
  </si>
  <si>
    <t xml:space="preserve">Principal </t>
  </si>
  <si>
    <t>Purpose</t>
  </si>
  <si>
    <t>Previous Payments Made</t>
  </si>
  <si>
    <t>Balance of the</t>
  </si>
  <si>
    <t>Noted by:</t>
  </si>
  <si>
    <t>Amounts</t>
  </si>
  <si>
    <t xml:space="preserve">1. </t>
  </si>
  <si>
    <t>STATUTORY AND CONTRACTUAL OBLIGATIONS</t>
  </si>
  <si>
    <t>1.1</t>
  </si>
  <si>
    <t>1.2</t>
  </si>
  <si>
    <t>Employees Compensation Insurance Premiums</t>
  </si>
  <si>
    <t>1.3</t>
  </si>
  <si>
    <t>1.4</t>
  </si>
  <si>
    <t>1.5</t>
  </si>
  <si>
    <t>Retirement and Life Insurance Premiums</t>
  </si>
  <si>
    <t>BUDGETARY REQUIREMENTS</t>
  </si>
  <si>
    <t>2.1</t>
  </si>
  <si>
    <t>2.2</t>
  </si>
  <si>
    <t>2.3</t>
  </si>
  <si>
    <t>20% of IRA for Development Fund</t>
  </si>
  <si>
    <t xml:space="preserve">Financial Assistance to Barangays </t>
  </si>
  <si>
    <t>SOCIAL SERVICES</t>
  </si>
  <si>
    <t>ECONOMIC SERVICES</t>
  </si>
  <si>
    <t>OTHER SERVICES</t>
  </si>
  <si>
    <t>1011-20</t>
  </si>
  <si>
    <t>1011-21</t>
  </si>
  <si>
    <t>1011-22</t>
  </si>
  <si>
    <t>Savings Unappropriated</t>
  </si>
  <si>
    <t>TOTAL BEGINNING CASH BALANCE</t>
  </si>
  <si>
    <t>Executive direction, control, supervision and management of municipal affairs</t>
  </si>
  <si>
    <t>Plans and Infrastructure Programs of the municipality</t>
  </si>
  <si>
    <t>Prepares and reviews Annual and Supplemental Budget</t>
  </si>
  <si>
    <t>Determine the financial status and update financial statements</t>
  </si>
  <si>
    <t>Assessment of all real properties located in the municipality</t>
  </si>
  <si>
    <t>Prepares estimates of all infrastructure projects of the municipality and inspect them</t>
  </si>
  <si>
    <t>In charge of the general welfare of the population of the muniicpality</t>
  </si>
  <si>
    <t>Create policies on agriculture services and environment</t>
  </si>
  <si>
    <t>Conduct health information campaign; provide basic health services</t>
  </si>
  <si>
    <t>Conduct health information campaign, provide basic health services</t>
  </si>
  <si>
    <t>Collection of business taxes and maintenance of market and slaughterhouse</t>
  </si>
  <si>
    <t>and management programs</t>
  </si>
  <si>
    <t>Performance Enhancement Incentive (PEI)</t>
  </si>
  <si>
    <t>Office Equipment</t>
  </si>
  <si>
    <t>5-01-01-010</t>
  </si>
  <si>
    <t>5-01-02-010</t>
  </si>
  <si>
    <t>5-01-02-020</t>
  </si>
  <si>
    <t>5-01-02-030</t>
  </si>
  <si>
    <t>5-01-02-040</t>
  </si>
  <si>
    <t>5-01-02-080</t>
  </si>
  <si>
    <t>5-01-02-990</t>
  </si>
  <si>
    <t>5-01-02-150</t>
  </si>
  <si>
    <t>5-01-02-140</t>
  </si>
  <si>
    <t>5-01-03-010</t>
  </si>
  <si>
    <t>5-01-03-020</t>
  </si>
  <si>
    <t>5-01-03-030</t>
  </si>
  <si>
    <t>5-01-03-040</t>
  </si>
  <si>
    <t>5-01-04-030</t>
  </si>
  <si>
    <t>5-02-01-010</t>
  </si>
  <si>
    <t>5-02-02-010</t>
  </si>
  <si>
    <t>5-02-03-010</t>
  </si>
  <si>
    <t>5-02-05-010</t>
  </si>
  <si>
    <t>5-02-05-020</t>
  </si>
  <si>
    <t>5-02-13-990</t>
  </si>
  <si>
    <t>5-02-99-990</t>
  </si>
  <si>
    <t>5-01-02-050</t>
  </si>
  <si>
    <t>5-01-02-110</t>
  </si>
  <si>
    <t>5-01-02-130</t>
  </si>
  <si>
    <t>5-01-04-990</t>
  </si>
  <si>
    <t>5-02-03-020</t>
  </si>
  <si>
    <t>5-02-03-070</t>
  </si>
  <si>
    <t>5-02-03-080</t>
  </si>
  <si>
    <t>5-02-03-090</t>
  </si>
  <si>
    <t>5-02-99-010</t>
  </si>
  <si>
    <t>5-02-99-030</t>
  </si>
  <si>
    <t>5-02-13-060</t>
  </si>
  <si>
    <t>5-02-10-030</t>
  </si>
  <si>
    <t>5-02-16-020</t>
  </si>
  <si>
    <t>4-01-02-040</t>
  </si>
  <si>
    <t>4-01-05-020</t>
  </si>
  <si>
    <t>4-01-05-040</t>
  </si>
  <si>
    <t>4-01-03-060</t>
  </si>
  <si>
    <t>4-01-03-070</t>
  </si>
  <si>
    <t>4-01-03-040</t>
  </si>
  <si>
    <t>4-01-01-050</t>
  </si>
  <si>
    <t>4-02-01-020</t>
  </si>
  <si>
    <t>4-02-01-100</t>
  </si>
  <si>
    <t>4-02-01-040</t>
  </si>
  <si>
    <t>4-02-01-010</t>
  </si>
  <si>
    <t>4-02-01-140</t>
  </si>
  <si>
    <t>4-02-01-990</t>
  </si>
  <si>
    <t>4-02-02-160</t>
  </si>
  <si>
    <t>4-02-02-050</t>
  </si>
  <si>
    <t>4-02-02-120</t>
  </si>
  <si>
    <t>4-02-02-200</t>
  </si>
  <si>
    <t>4-02-02-220</t>
  </si>
  <si>
    <t>4-06-01-010</t>
  </si>
  <si>
    <t>4-01-06-010</t>
  </si>
  <si>
    <t>4-01-06-040</t>
  </si>
  <si>
    <t>R</t>
  </si>
  <si>
    <t>5-01-01-020</t>
  </si>
  <si>
    <t>5-02-04-020</t>
  </si>
  <si>
    <t>5-02-12-990</t>
  </si>
  <si>
    <t>5-02-16-030</t>
  </si>
  <si>
    <t>4-01-03-030</t>
  </si>
  <si>
    <t>4-02-01-160</t>
  </si>
  <si>
    <t>4-02-02-150</t>
  </si>
  <si>
    <t>4-02-02-190</t>
  </si>
  <si>
    <t>4-02-02-140</t>
  </si>
  <si>
    <t xml:space="preserve">TOTAL MAINTENANCE AND OTHER OPERATING EXPENSES </t>
  </si>
  <si>
    <t>TOTAL CAPITAL OUTLAYS</t>
  </si>
  <si>
    <t>-582</t>
  </si>
  <si>
    <t>-599</t>
  </si>
  <si>
    <t>-617</t>
  </si>
  <si>
    <t>-605</t>
  </si>
  <si>
    <t>-601</t>
  </si>
  <si>
    <t>-619</t>
  </si>
  <si>
    <t>-637-1</t>
  </si>
  <si>
    <t>-637-2</t>
  </si>
  <si>
    <t>-616</t>
  </si>
  <si>
    <t>-636-1</t>
  </si>
  <si>
    <t>-636-2</t>
  </si>
  <si>
    <t>-636-3</t>
  </si>
  <si>
    <t>-636-4</t>
  </si>
  <si>
    <t>-588-1</t>
  </si>
  <si>
    <t>-588-2</t>
  </si>
  <si>
    <t>-581</t>
  </si>
  <si>
    <t>-584</t>
  </si>
  <si>
    <t>-604</t>
  </si>
  <si>
    <t>-593</t>
  </si>
  <si>
    <t>-583</t>
  </si>
  <si>
    <t>-606-1</t>
  </si>
  <si>
    <t>-606-2</t>
  </si>
  <si>
    <t>-606-3</t>
  </si>
  <si>
    <t>-613-1</t>
  </si>
  <si>
    <t>-613-2</t>
  </si>
  <si>
    <t>-613-3</t>
  </si>
  <si>
    <t>-605-1</t>
  </si>
  <si>
    <t>-605-2</t>
  </si>
  <si>
    <t>-605-3</t>
  </si>
  <si>
    <t>-605-4</t>
  </si>
  <si>
    <t>-585</t>
  </si>
  <si>
    <t>-628</t>
  </si>
  <si>
    <t>-633-1</t>
  </si>
  <si>
    <t>-633-2</t>
  </si>
  <si>
    <t>-642</t>
  </si>
  <si>
    <t>-640</t>
  </si>
  <si>
    <t>-664</t>
  </si>
  <si>
    <t>-678</t>
  </si>
  <si>
    <t>-665</t>
  </si>
  <si>
    <t>-671</t>
  </si>
  <si>
    <t>NR</t>
  </si>
  <si>
    <t>Productivity Enhancement Incentive (PEI)</t>
  </si>
  <si>
    <t xml:space="preserve">          M.P.D.C.</t>
  </si>
  <si>
    <t>TOTAL CAPITAL OUTLAY</t>
  </si>
  <si>
    <t>MARJORIE V. TINTE, CPA</t>
  </si>
  <si>
    <t>Aid to PNP</t>
  </si>
  <si>
    <t>Aid to Bureau of Fire Protection</t>
  </si>
  <si>
    <t>Aid to Trial Court</t>
  </si>
  <si>
    <t>Aid to COA</t>
  </si>
  <si>
    <t>Aid to Prosecutor's Office</t>
  </si>
  <si>
    <t>Aid to Public Attorney's Office (PAO)</t>
  </si>
  <si>
    <t>Other Bonuses and Allowances (Mid Year Bonus)</t>
  </si>
  <si>
    <t>20% Development Fund to be reprogrammed</t>
  </si>
  <si>
    <t>Aid to DILG</t>
  </si>
  <si>
    <t>Aid to CVO (Insurance Premium)</t>
  </si>
  <si>
    <t>Aid to COMELEC</t>
  </si>
  <si>
    <t>Aid to BIR</t>
  </si>
  <si>
    <t>Medicare Para sa Masa</t>
  </si>
  <si>
    <t>Aid to Veterans</t>
  </si>
  <si>
    <t>Aid to BHW</t>
  </si>
  <si>
    <t>Aid to PLEB</t>
  </si>
  <si>
    <t>Aid to Scouting</t>
  </si>
  <si>
    <t>SPES-Special Program for Employment of Students</t>
  </si>
  <si>
    <t>Maintenance of Plaza, Parks, and Monuments</t>
  </si>
  <si>
    <t>Maintenance of Roads and Bridges</t>
  </si>
  <si>
    <t>Other Services</t>
  </si>
  <si>
    <t>Capability Building</t>
  </si>
  <si>
    <t>GAD</t>
  </si>
  <si>
    <t>Nutrition Program</t>
  </si>
  <si>
    <t>Population Development Program</t>
  </si>
  <si>
    <t>Environmental Sanitation Program</t>
  </si>
  <si>
    <t>PESO &amp; MDO</t>
  </si>
  <si>
    <t>Sports Development</t>
  </si>
  <si>
    <t>Legal Services</t>
  </si>
  <si>
    <t>Non-Formal Education</t>
  </si>
  <si>
    <t>Mun. Anti- Drug Addiction Campaign</t>
  </si>
  <si>
    <t>Senior Citizens &amp; the Differently-Abled</t>
  </si>
  <si>
    <t xml:space="preserve">          OSCA</t>
  </si>
  <si>
    <t xml:space="preserve">          PDAO</t>
  </si>
  <si>
    <t xml:space="preserve">          STAC</t>
  </si>
  <si>
    <t xml:space="preserve">          Plans &amp; Programs</t>
  </si>
  <si>
    <t>Maintenance of Municipal Building &amp; Other Facilities</t>
  </si>
  <si>
    <t>Tourism Development</t>
  </si>
  <si>
    <t xml:space="preserve">AIP </t>
  </si>
  <si>
    <t xml:space="preserve">REFERENCE </t>
  </si>
  <si>
    <t>Water Expenses</t>
  </si>
  <si>
    <t>Telephone Expenses-Landline</t>
  </si>
  <si>
    <t>2.4</t>
  </si>
  <si>
    <t>5% Local Disaster Risk Reduction and Management (LDRRMF)</t>
  </si>
  <si>
    <t>Doctor to the Barrios</t>
  </si>
  <si>
    <t xml:space="preserve">      Special Purpose Appropriation</t>
  </si>
  <si>
    <t>IT Equipment &amp; Software</t>
  </si>
  <si>
    <t>-221</t>
  </si>
  <si>
    <t>1-07-05-020</t>
  </si>
  <si>
    <t>-223</t>
  </si>
  <si>
    <t>Furniture and Fixtures</t>
  </si>
  <si>
    <t>-222</t>
  </si>
  <si>
    <t>1-07-07-010</t>
  </si>
  <si>
    <t>Office Building</t>
  </si>
  <si>
    <t>1-07-04-010</t>
  </si>
  <si>
    <t>Motor Vehicles</t>
  </si>
  <si>
    <t>Communication Equipment</t>
  </si>
  <si>
    <t>1-07-05-070</t>
  </si>
  <si>
    <t>1-07-06-010</t>
  </si>
  <si>
    <t>Books</t>
  </si>
  <si>
    <t>1-07-07-020</t>
  </si>
  <si>
    <t>Aid to Asingan Community Hospital</t>
  </si>
  <si>
    <t>M.C.R.</t>
  </si>
  <si>
    <t>Municipal Assessor</t>
  </si>
  <si>
    <t>Municipal Agriculturist Officer</t>
  </si>
  <si>
    <t>Municipal Health Officer</t>
  </si>
  <si>
    <t>Local Budget Prep. Form 2a</t>
  </si>
  <si>
    <t xml:space="preserve">Budget of Expenditures and Sources of </t>
  </si>
  <si>
    <t>Financing</t>
  </si>
  <si>
    <t>Programmed Appropriation and Obligation</t>
  </si>
  <si>
    <t>by Object of Expenditure</t>
  </si>
  <si>
    <t>Mandate, Vision, Mission, Major Final Output,</t>
  </si>
  <si>
    <t>Performance Indicators and Targets</t>
  </si>
  <si>
    <t>Statement of Indebtedness</t>
  </si>
  <si>
    <t>Statement of Statutory and Contractual</t>
  </si>
  <si>
    <t>Statement of Fund Allocation by Sector</t>
  </si>
  <si>
    <t>for Special Purpose Appropriations</t>
  </si>
  <si>
    <t>Public Affairs Fund</t>
  </si>
  <si>
    <t>TOTAL PERSONAL SERVICES (PS)</t>
  </si>
  <si>
    <t>TOTAL MAINTENANCE AND OTHER OPERATING EXPENSES (MOOE)</t>
  </si>
  <si>
    <t>TOTAL CAPITAL OUTLAY (CO)</t>
  </si>
  <si>
    <t>GENERAL PUBLIC  SERVICES</t>
  </si>
  <si>
    <t>Local Council for the Protection of Children (LCPC)</t>
  </si>
  <si>
    <t>TOTAL SPECIAL PURPOSE APPROPRIATIONS (SPAs)</t>
  </si>
  <si>
    <t xml:space="preserve">Republic of the Philippines </t>
  </si>
  <si>
    <t>BS/mo.</t>
  </si>
  <si>
    <t xml:space="preserve">          Katarungang Pambarangay</t>
  </si>
  <si>
    <t>1011-3a</t>
  </si>
  <si>
    <t>CHRISTOPHER JERONE S. LAVARIAS</t>
  </si>
  <si>
    <t>PORFERIO R. TENDERO</t>
  </si>
  <si>
    <t>KATHRINA P. BOLLESER</t>
  </si>
  <si>
    <t>MARIA TERESA L. ODA</t>
  </si>
  <si>
    <t>24/4</t>
  </si>
  <si>
    <t>CLARA G. LEAÑO</t>
  </si>
  <si>
    <t>MERLITA M. SERQUIÑA</t>
  </si>
  <si>
    <t>MARY KRISSEL G. GELIDO</t>
  </si>
  <si>
    <t>VIVIAN B. ROMERO</t>
  </si>
  <si>
    <t>RAFFY V. BIAGAN</t>
  </si>
  <si>
    <t>JESUS G. CARDINEZ</t>
  </si>
  <si>
    <t>TERESA L. HELACIO</t>
  </si>
  <si>
    <t>Aid to Child Development Workers</t>
  </si>
  <si>
    <t>Department Head I/MCR</t>
  </si>
  <si>
    <t>Department Head I/MBO</t>
  </si>
  <si>
    <t>Department Head I/MSWDO</t>
  </si>
  <si>
    <t>Department Head I/Mun. Agriculturist</t>
  </si>
  <si>
    <t>Department Head I/Mun. Accountant</t>
  </si>
  <si>
    <t>Department Head I/Mun. Treasurer</t>
  </si>
  <si>
    <t>Department Head I/Mun. Assessor</t>
  </si>
  <si>
    <t>Department Head I/Mun. Engineer</t>
  </si>
  <si>
    <t>Municipal Government/</t>
  </si>
  <si>
    <t>Department Head I/Mun. Health Officer</t>
  </si>
  <si>
    <t>Other Bonuses and Allowances (Mid-Year Bonus)</t>
  </si>
  <si>
    <t>IT Equipment &amp; Software (Laptop &amp; Printer)</t>
  </si>
  <si>
    <t>Aid to BNS</t>
  </si>
  <si>
    <t>-224</t>
  </si>
  <si>
    <t>-229</t>
  </si>
  <si>
    <t>ok</t>
  </si>
  <si>
    <t>LDRRMO III</t>
  </si>
  <si>
    <t>ENGR. BENJAMIN B. GINES, JR.</t>
  </si>
  <si>
    <t>DR. JESUS G. CARDINEZ</t>
  </si>
  <si>
    <t>DR. RONNIE S. TOMAS</t>
  </si>
  <si>
    <t>Local Budget Prep. Form 3a</t>
  </si>
  <si>
    <t>Personnel Schedule per Office</t>
  </si>
  <si>
    <t>i.</t>
  </si>
  <si>
    <t>TERESA O. MAMALIO, RSW</t>
  </si>
  <si>
    <t>Environment Management Specialist I</t>
  </si>
  <si>
    <t>CRISPIN G. VILLANUEVA</t>
  </si>
  <si>
    <t>Repairs &amp; Maintenance-Machinery and Equipment</t>
  </si>
  <si>
    <t>Other Infrastructure Assets</t>
  </si>
  <si>
    <t>1-07-03-990</t>
  </si>
  <si>
    <t>Fuel, Oil, &amp; Lubricant Expenses</t>
  </si>
  <si>
    <t>Repairs &amp; Maintenance-Transportation Equipment</t>
  </si>
  <si>
    <t>Repairs &amp; Maintenance-Machinery &amp; Equipment</t>
  </si>
  <si>
    <t>Aid to Public Schools</t>
  </si>
  <si>
    <t>Expenditures</t>
  </si>
  <si>
    <t>(ACTUAL AND ESTIMATE)</t>
  </si>
  <si>
    <t xml:space="preserve">      Katarungang Pambarangay</t>
  </si>
  <si>
    <t>Fuel, Oil &amp; Lubricants Expenses</t>
  </si>
  <si>
    <t>TOTAL 5% LOCAL DISASTER RISK REDUCTION FUND</t>
  </si>
  <si>
    <t>Subsistence, Laundry &amp; Quarter Allowance</t>
  </si>
  <si>
    <t>ANGELICA MAE E. TAN</t>
  </si>
  <si>
    <t>-211</t>
  </si>
  <si>
    <t>-241</t>
  </si>
  <si>
    <t>Maintenance of Motor Vehicles</t>
  </si>
  <si>
    <t>Non-Office</t>
  </si>
  <si>
    <t>SUB-TOTAL</t>
  </si>
  <si>
    <t>17/7</t>
  </si>
  <si>
    <t>10/3</t>
  </si>
  <si>
    <t>1/7</t>
  </si>
  <si>
    <t>18/2</t>
  </si>
  <si>
    <t>(TOTAL)</t>
  </si>
  <si>
    <t>1-07-04-990</t>
  </si>
  <si>
    <t>-203</t>
  </si>
  <si>
    <t>Aid to BSPO</t>
  </si>
  <si>
    <t>9997-12</t>
  </si>
  <si>
    <t>9997-14</t>
  </si>
  <si>
    <t>Repairs &amp; Maintenance-Buildings &amp; Other Structures</t>
  </si>
  <si>
    <t>5-02-13-040</t>
  </si>
  <si>
    <t>5-02-13-050</t>
  </si>
  <si>
    <t>Repairs &amp; Maintenance-Building</t>
  </si>
  <si>
    <t>IT Equipment &amp; Software (Installation of System)</t>
  </si>
  <si>
    <t>Total Station (Surveying Equipment)</t>
  </si>
  <si>
    <t>1-07-05-990</t>
  </si>
  <si>
    <t>1011-19</t>
  </si>
  <si>
    <t>1011-23</t>
  </si>
  <si>
    <t>FIEL XYMOND R. CARDINEZ</t>
  </si>
  <si>
    <t>SUSANA R. COLOMA</t>
  </si>
  <si>
    <t>ALVIN ERWIN D. PARAGAS</t>
  </si>
  <si>
    <t>MAHINAHON C. GABRIEL</t>
  </si>
  <si>
    <t>KENNETH DG. AFOS</t>
  </si>
  <si>
    <t>FERDINAND M. CORPUZ</t>
  </si>
  <si>
    <t>Municipal Engineer</t>
  </si>
  <si>
    <t>Community Affairs Assistant II</t>
  </si>
  <si>
    <t>Engineering Assistant</t>
  </si>
  <si>
    <t>Agriculturist II</t>
  </si>
  <si>
    <t>Accountant I</t>
  </si>
  <si>
    <t>6</t>
  </si>
  <si>
    <t>13</t>
  </si>
  <si>
    <t>18</t>
  </si>
  <si>
    <t>21</t>
  </si>
  <si>
    <t>22</t>
  </si>
  <si>
    <t>25</t>
  </si>
  <si>
    <t>26</t>
  </si>
  <si>
    <t>27</t>
  </si>
  <si>
    <t>28</t>
  </si>
  <si>
    <t>29</t>
  </si>
  <si>
    <t>30</t>
  </si>
  <si>
    <t>31</t>
  </si>
  <si>
    <t>32</t>
  </si>
  <si>
    <t>33</t>
  </si>
  <si>
    <t>34</t>
  </si>
  <si>
    <t>35</t>
  </si>
  <si>
    <t>36</t>
  </si>
  <si>
    <t>37</t>
  </si>
  <si>
    <t>38</t>
  </si>
  <si>
    <t>61</t>
  </si>
  <si>
    <t>62</t>
  </si>
  <si>
    <t>63</t>
  </si>
  <si>
    <t>LETICIA R. DOLLENTE</t>
  </si>
  <si>
    <t>ARJAY M. GARCIA</t>
  </si>
  <si>
    <t>PEARCHIN T. MAMASIG</t>
  </si>
  <si>
    <t>Municipal Treasurer</t>
  </si>
  <si>
    <t>67</t>
  </si>
  <si>
    <t>70</t>
  </si>
  <si>
    <t>71</t>
  </si>
  <si>
    <t>42</t>
  </si>
  <si>
    <t xml:space="preserve">Office: </t>
  </si>
  <si>
    <t>OFFICE OF THE MUNICIPAL MAYOR</t>
  </si>
  <si>
    <t xml:space="preserve">Mandate: </t>
  </si>
  <si>
    <t>Executive direction, control, supervision and management of all municipal affairs.</t>
  </si>
  <si>
    <t>Vision:</t>
  </si>
  <si>
    <t>Attain Economic Growth and progress through concerned efforts of its God-loving, dedicated, committed political and lay leaders working together for the General Welfare of their constituents</t>
  </si>
  <si>
    <t xml:space="preserve">Mission: </t>
  </si>
  <si>
    <t xml:space="preserve">Envision to achieve Political Maturity, Socio-Economic Growth and Progress through excellence in Public Service, Agricultural and Technological Modernization and thriving Commerce and Industry sustained by their Natural Resources and God-loving, industrious, law-abiding and peaceful  loving people </t>
  </si>
  <si>
    <t>Organizational Outcome:  Prudence and maximum utilization of Public Funds and delivery of Basic-Services to its constituents to its fullest</t>
  </si>
  <si>
    <t>AIP CODE</t>
  </si>
  <si>
    <t>Target for the Budget Year</t>
  </si>
  <si>
    <t>1000-1-0</t>
  </si>
  <si>
    <t xml:space="preserve">Formulate policy, guidelines and implementation of all PPA's </t>
  </si>
  <si>
    <t>Ensure all PPA's are fully implemented</t>
  </si>
  <si>
    <t>100% Policy implementation</t>
  </si>
  <si>
    <t>Sustain/maintain whole year round Municipality-wide</t>
  </si>
  <si>
    <t>Directs the implementation of Municipal Plans and Projects of AIP</t>
  </si>
  <si>
    <t>Monitoring/supervising of all Municipal Plans</t>
  </si>
  <si>
    <t>100% full implementation</t>
  </si>
  <si>
    <t>Sustain/maintain all PPA's during Budget Year; Municipality-wide</t>
  </si>
  <si>
    <t>Provide extension services in planning/budgeting to all 21 brgys.</t>
  </si>
  <si>
    <t>Extended services to all Brgys.</t>
  </si>
  <si>
    <t>100% services needed to brgys. to be addressed in accordance to Local Code</t>
  </si>
  <si>
    <t>Maintain regular rapport/monitoring to all Brgys.; Municipality-wide</t>
  </si>
  <si>
    <t>Delivers public assistance services to marginalized constituents, farmers, disadvantaged PWD's, and elderly</t>
  </si>
  <si>
    <t>All concerns of theses sectors are addressed immediately</t>
  </si>
  <si>
    <t>100% fully implemented</t>
  </si>
  <si>
    <t>All year round direct monitoring of their basic needs; Municipality-wide</t>
  </si>
  <si>
    <t>Provide consultative services to all Punong Brgys. on local governance</t>
  </si>
  <si>
    <t>Monthly regular meeting</t>
  </si>
  <si>
    <t>All PPA's shall synchronize to brgy. activities</t>
  </si>
  <si>
    <t>All year round monitoring/consultation; Municipality-wide</t>
  </si>
  <si>
    <t>Implement priority projects necessary to economic growth of the municipality</t>
  </si>
  <si>
    <t>Prioritized the immediate projects needed by constituents</t>
  </si>
  <si>
    <t>As needes arises; Municipality-wide</t>
  </si>
  <si>
    <t>General Regular Activities</t>
  </si>
  <si>
    <t>No backlog at the end of the day</t>
  </si>
  <si>
    <t>100% quality delivery of basic services</t>
  </si>
  <si>
    <t>Sustain/maintain of all PPA's for the whole year</t>
  </si>
  <si>
    <t>Prepared by:</t>
  </si>
  <si>
    <t>Reviewed:  Local Finance Committee</t>
  </si>
  <si>
    <t>43</t>
  </si>
  <si>
    <t>OFFICE OF THE SANGGUNIANG BAYAN</t>
  </si>
  <si>
    <t>As the Legislative body of the municipality, it shall enact ordinances, approve resolutions and appropriate funds for the general welfare of its constituents.</t>
  </si>
  <si>
    <t>A Legislative Body where all the enacted/approved ordinances and resolutions are fully implemented for the benefit and welfare of the townspeople of Asingan and the municipality in general</t>
  </si>
  <si>
    <t>To enact ordinances/approved resolutions and appropriate funds for the general welfare of the municipality and its inhabitants, generate and maximize the use of resources and revenues for the programs, projects and activities of the municipal government</t>
  </si>
  <si>
    <t>Organizational Outcome:  Clientele adhere/follow the enacted/approved ordinances and resolutions for the general welfare of every Asinganians</t>
  </si>
  <si>
    <t>1000-2-1</t>
  </si>
  <si>
    <t>Minutes of Session</t>
  </si>
  <si>
    <t>Every Monday</t>
  </si>
  <si>
    <t>48 weeks</t>
  </si>
  <si>
    <t>Ordinances</t>
  </si>
  <si>
    <t>Conducted within the presence of SBM, CSO's &amp; other stakeholders</t>
  </si>
  <si>
    <t>100% conducted</t>
  </si>
  <si>
    <t>20 committee hearing/public</t>
  </si>
  <si>
    <t>- Conduct Committee Hearing</t>
  </si>
  <si>
    <t>- Conduct Public Hearing</t>
  </si>
  <si>
    <t>- Final Approval at SP</t>
  </si>
  <si>
    <t>SP Lingayen for review</t>
  </si>
  <si>
    <t>100% approved</t>
  </si>
  <si>
    <t>10 ordinances</t>
  </si>
  <si>
    <t>Resolutions</t>
  </si>
  <si>
    <t>Approved</t>
  </si>
  <si>
    <t>200 resolutions</t>
  </si>
  <si>
    <t>Exercise such other powers and perform such other duties and functions as may be prescribed by law or ordinance.</t>
  </si>
  <si>
    <t>Public Assistance</t>
  </si>
  <si>
    <t>Level of satisfaction of clients for services rendered</t>
  </si>
  <si>
    <t>Year Round</t>
  </si>
  <si>
    <t>SB Secretary</t>
  </si>
  <si>
    <t>44</t>
  </si>
  <si>
    <t>Office:</t>
  </si>
  <si>
    <t>MUNICIPAL PLANNING AND DEVELOPMENT OFFICE</t>
  </si>
  <si>
    <t>Planning and coordinating development projects of the local government unit</t>
  </si>
  <si>
    <t>Center of information and study for current and projected plans for the welfare of the general public as to social, economic, environmental and other concerns</t>
  </si>
  <si>
    <t>Continual update of the developmental plans for the attainment/realization of a better human, financial and physical condition of the Municipality</t>
  </si>
  <si>
    <t>Organizational Outcome:  A well-monitored implementation of the different developmental programs, projects and activities of the municipality</t>
  </si>
  <si>
    <t>Program / Project/Activity Description</t>
  </si>
  <si>
    <t>Major Final Outcome</t>
  </si>
  <si>
    <t>Performance/Output Indicator</t>
  </si>
  <si>
    <t>MODE</t>
  </si>
  <si>
    <t>1000-3-0</t>
  </si>
  <si>
    <t>Day to day services to all sectors in the Government and the General Public</t>
  </si>
  <si>
    <t>Provided services in accordance with existing rules, laws and regulations</t>
  </si>
  <si>
    <t>100% needed supports and services accordingly all year round</t>
  </si>
  <si>
    <t>100% needed supports and services accordingly all year round and other services needed are rendered</t>
  </si>
  <si>
    <t>Conduct procurement activities</t>
  </si>
  <si>
    <t>Provided transparency and information of procurements</t>
  </si>
  <si>
    <t>100% procurement posted in the PHILGEPS and bulletin boards are implemented accordingly, 100% of basic services are met</t>
  </si>
  <si>
    <t>Sectoral PAP's are identified in accordance with existing rules</t>
  </si>
  <si>
    <t>100% of basic services are met</t>
  </si>
  <si>
    <t>Charge to 20% Development Fund</t>
  </si>
  <si>
    <t>MUNICIPAL CIVIL REGISTRAR</t>
  </si>
  <si>
    <t>Mandate:</t>
  </si>
  <si>
    <t>Civil Registration of the Municipality</t>
  </si>
  <si>
    <t>We belong to a developed municipality with God fearing, competent and disciplined staff committed to serve the public with high integrity, honesty, and excellence in the public service.</t>
  </si>
  <si>
    <t>Mission:</t>
  </si>
  <si>
    <t>We are committed to register vital events such as births, death and marriage and other registable events required by law through implementation of registration procedures and provisions</t>
  </si>
  <si>
    <t>which will standardize the Civil Registration System in the Municipality resulting in current, complete and accurate vital statistics in the municipality.</t>
  </si>
  <si>
    <t xml:space="preserve">Organizational Outcome: Efficient delivery of civil registration documents and programs pursuant to the civil registry law, the civil code and other pertinent laws. </t>
  </si>
  <si>
    <t>1000-4-0</t>
  </si>
  <si>
    <t>Support Service</t>
  </si>
  <si>
    <t>Policy guidelines formulated</t>
  </si>
  <si>
    <t>Prepare and submit monthly accomplishment report</t>
  </si>
  <si>
    <t>100% Submitted</t>
  </si>
  <si>
    <t>Marriages, licenses, death certificates, birth certificates.</t>
  </si>
  <si>
    <t xml:space="preserve">First ten days of January &amp; every month/as need arises </t>
  </si>
  <si>
    <t>Free issuance of Certified True Copies of Birth, Death and Marriages</t>
  </si>
  <si>
    <t>100% request issued</t>
  </si>
  <si>
    <t>All concerned</t>
  </si>
  <si>
    <t>Every February 27</t>
  </si>
  <si>
    <t>Mass Wedding</t>
  </si>
  <si>
    <t>100% approved applications</t>
  </si>
  <si>
    <t>Asingan Constituents</t>
  </si>
  <si>
    <t xml:space="preserve">Any day  of February </t>
  </si>
  <si>
    <t>Conduct information dissemination on Civil Registration</t>
  </si>
  <si>
    <t>As need arises</t>
  </si>
  <si>
    <t>RHU Staff/ABC meeting/Barangay Assembly</t>
  </si>
  <si>
    <t>Attend MCR meeting/conferences</t>
  </si>
  <si>
    <t>100% Attendance</t>
  </si>
  <si>
    <t>Monthly</t>
  </si>
  <si>
    <t>Attend MCR Convention/Seminar Workshop/Training</t>
  </si>
  <si>
    <t>80% Attendance</t>
  </si>
  <si>
    <t>3x a year</t>
  </si>
  <si>
    <t>MUNICIPAL BUDGET OFFICE</t>
  </si>
  <si>
    <t>Responsible for the Appropriation matters, review/evaluation of Financial Plans and Release of Allotments</t>
  </si>
  <si>
    <t>We don't just count the peso; we make every peso count by preparing a sound and balanced budget of the municipality</t>
  </si>
  <si>
    <t>The Municipal Budget Office will prioritize economic recovery and growth of the municipality by ensuring that no overdrafts will be incurred. No deficit spending and generation of savings and surpluses without prejudice to project and program implementations</t>
  </si>
  <si>
    <t>Organizational Outcome:  Delivery of basic services is attained immediately and promptly</t>
  </si>
  <si>
    <t>1000-5-0</t>
  </si>
  <si>
    <t>Preparation of Annual Budget /Supplemental Budget</t>
  </si>
  <si>
    <t>Annual Budget/Supplemental Budget</t>
  </si>
  <si>
    <t>100% compliance with all budgeting requirements</t>
  </si>
  <si>
    <t>100% Accuracy</t>
  </si>
  <si>
    <t>Sustain/maintain balance budget</t>
  </si>
  <si>
    <t>Review the 21 Brgys. Annual/Supplemental Budgets</t>
  </si>
  <si>
    <t>Review/submission to SB for approval, always on prescribed deadline</t>
  </si>
  <si>
    <t>100% review of 21 Brgy. Budget</t>
  </si>
  <si>
    <t>Sustain/maintain regular PPA's</t>
  </si>
  <si>
    <t>Quarterly Release of Allotments</t>
  </si>
  <si>
    <t>Ensure that allotment are strictly followed</t>
  </si>
  <si>
    <t>Allotment are released before the monthly quarter ends</t>
  </si>
  <si>
    <t>Sustain/maintain surplus budget</t>
  </si>
  <si>
    <t>Regular/Daily PPA's shall be given outmost priority</t>
  </si>
  <si>
    <t>Serve well the regular clientele with promptness and courtesy</t>
  </si>
  <si>
    <t>100% guaranteed public service to all clientele w/o delay</t>
  </si>
  <si>
    <t>Sustain/maintain good public service</t>
  </si>
  <si>
    <t>General Administrative and Support Service</t>
  </si>
  <si>
    <t xml:space="preserve">Regular PPA's </t>
  </si>
  <si>
    <t>Statutory obligations be met/complied with</t>
  </si>
  <si>
    <t>Sustain/maintain regular activities</t>
  </si>
  <si>
    <t>Issuance of Endorsement Letters to 21 Barangays</t>
  </si>
  <si>
    <t>Endorsement Letter</t>
  </si>
  <si>
    <t>To be included in the calendar of business for committee hearing</t>
  </si>
  <si>
    <t>21 Barangays</t>
  </si>
  <si>
    <t>42 Endorsement Letters</t>
  </si>
  <si>
    <t>Coordinate with the MPDC &amp; LDC for the preparation of the AIP</t>
  </si>
  <si>
    <t>Annual Investment Program</t>
  </si>
  <si>
    <t>Number of meetings with MPDC, LDC and LFC</t>
  </si>
  <si>
    <t>Coordinate in the Accounting &amp; Treasurer's Office for the reconciliation of figures</t>
  </si>
  <si>
    <t>Summary of Receipts &amp; Receipts and Expenditures (General, Special Education Fund, and Barangay)</t>
  </si>
  <si>
    <t>Amounts are reconciled in the Financial Statements</t>
  </si>
  <si>
    <t>Recording of Obligation Request</t>
  </si>
  <si>
    <t>Status of Appropriation, Allotment, Obligation and Balances</t>
  </si>
  <si>
    <t xml:space="preserve">Availability of Balances </t>
  </si>
  <si>
    <t>Reconciled in the Accounting Disbursement Journals</t>
  </si>
  <si>
    <t>Proper Recording of Expenses</t>
  </si>
  <si>
    <t>Certification of Available Appropriation for Obligation Request and Purchase Request</t>
  </si>
  <si>
    <t>Signed Obligation Request/Purchase Request</t>
  </si>
  <si>
    <t>2 minutes per Obligation Request/Purchase Request</t>
  </si>
  <si>
    <t>Summary of Expenses According to Classification (PS, MOOE, CO)</t>
  </si>
  <si>
    <t>Availability of Information</t>
  </si>
  <si>
    <t>100 % accuracy</t>
  </si>
  <si>
    <t>Reconciled in the Accounting Summary Records of Expenses</t>
  </si>
  <si>
    <t>Recording of Expenses</t>
  </si>
  <si>
    <t>Summary of Expenditures for the Preceding/Current Year</t>
  </si>
  <si>
    <t>Trial Balance &amp; SAOOB verified in the Accounting</t>
  </si>
  <si>
    <t>ACCOUNTING OFFICE</t>
  </si>
  <si>
    <t>Take charge of both the accounting and internal audit services of the Municipal Government in accordance with RA 7160</t>
  </si>
  <si>
    <t>To safeguard the misuse of funds and improper entry of accounts that does not conform with accounting procedures</t>
  </si>
  <si>
    <t>Organizational Outcome:  We commit ourselves with the willingness to serve with clients with justness and sincerity and shall not discriminate with others. Our service clients are assured with our timely and accurate reports done by a competent and professionaly behaved staff.</t>
  </si>
  <si>
    <t>1000-6-0</t>
  </si>
  <si>
    <t>Prepare statements of cash advances, liquidation, salaries, allowances, reimbursements and remittances</t>
  </si>
  <si>
    <t>General Ledger and Subsidiary Ledger</t>
  </si>
  <si>
    <t>Updated general ledger and subsidiary ledger</t>
  </si>
  <si>
    <t>Account for all issued requests for obligations and maintain and keep all records and reports related thereto</t>
  </si>
  <si>
    <t>Registry of Allotment and Obligation for Personal Services, RAO for Maintenance and Operation Expenses, and RAO for Capital Outlay</t>
  </si>
  <si>
    <t>Timely submission of quarterly reports regarding RAOPS, RAAMOE and RAOCO</t>
  </si>
  <si>
    <t>Quarterly posting of RAOPS, RAOMOE and RAOCO</t>
  </si>
  <si>
    <t>Preparation of all Financial Statements and Reports</t>
  </si>
  <si>
    <t>Trial Balance, Income Statement, Balance Sheet, Statement of Cash Flows</t>
  </si>
  <si>
    <t>Timely submission and reporting of said financial statements</t>
  </si>
  <si>
    <t>Quarterly reporting and submission of said Financial Statements</t>
  </si>
  <si>
    <t>Accounting services to all 21 Barangay Transactions</t>
  </si>
  <si>
    <t>Financial Statements of 21 Barangays</t>
  </si>
  <si>
    <t>Smooth flow of transactions of all 21 Barangays</t>
  </si>
  <si>
    <t>MUNICIPAL TREASURER'S OFFICE</t>
  </si>
  <si>
    <t>Supervise collection of taxes, fees and other revenues and the disbursement of public funds.</t>
  </si>
  <si>
    <t>A Municipality with prosperous and well-oriented citizentry with a Treasury Office supporting the LGU through viable and cost effective revenue and fund management programs to ensure provisions of sufficient and sustainable needs.</t>
  </si>
  <si>
    <t>To provide excellent resource collection and fund management services in the utilization of public funds annd resources leading to organizational productivity and consequently uplift the people's standard of living.</t>
  </si>
  <si>
    <t>Organizational Outcome:  To institutionalize the best practices in revenue generation and resource collection to ensure fiscal adequacy and eventually accomplish goals.</t>
  </si>
  <si>
    <t>1000-7-0</t>
  </si>
  <si>
    <t>Remittance of daily collections</t>
  </si>
  <si>
    <t>Payment of vouchers, payrolls and statutory obligations of the municipality</t>
  </si>
  <si>
    <t>All approved vouchers, payrolls and statutory obligations were paid upon encashment of checks</t>
  </si>
  <si>
    <t>All obligations were paid on time</t>
  </si>
  <si>
    <t>Advice the Mayor and the Sangguniang Bayan regarding the financial disposition of the LGU</t>
  </si>
  <si>
    <t>Book of accounts and ledgers of all municipal transactions were properly recorded and updated</t>
  </si>
  <si>
    <t>Regular updating of book of accounts and ledgers of all municipal transactions</t>
  </si>
  <si>
    <t>Monitor and supevise all personnel involved in revenue collections</t>
  </si>
  <si>
    <t>Efficient remittance vis a vis official receipts issued to tax collectors</t>
  </si>
  <si>
    <t>Slight discrepancy on the income estimate and actual income for the year</t>
  </si>
  <si>
    <t>MUNICIPAL ASSESSOR'S OFFICE</t>
  </si>
  <si>
    <t>Ensure that all laws and policies governing the appraisal and assessment of real properties for taxation purposes are properly executed.</t>
  </si>
  <si>
    <t>1000-8-0</t>
  </si>
  <si>
    <t>Appraisal and assessment of Real Properties</t>
  </si>
  <si>
    <t>System of tax mapping, showing graphically all properties subject to assessment and gather all data concerning the same.</t>
  </si>
  <si>
    <t>Tax declarations and other related documents are reviewed, examined and approved</t>
  </si>
  <si>
    <t>100% assessment and appraisal of RP</t>
  </si>
  <si>
    <t>Issuance of certified copies of assessment records of real property and all other records relative to its assessment</t>
  </si>
  <si>
    <t>Tax declaration and certified photo copies of related assessment documents</t>
  </si>
  <si>
    <t>100% accuracy on all documents issued</t>
  </si>
  <si>
    <t>Updates on tax maps</t>
  </si>
  <si>
    <t>Tax map</t>
  </si>
  <si>
    <t>scheduled inspection are conducted</t>
  </si>
  <si>
    <t>Monthly/quarterly/annually submission of report of all assessments, cancellations and modifications of assessments</t>
  </si>
  <si>
    <t>Reportorial services</t>
  </si>
  <si>
    <t>submission of report on time</t>
  </si>
  <si>
    <t>Per semester</t>
  </si>
  <si>
    <t>ENGINEERING'S OFFICE</t>
  </si>
  <si>
    <t>Administer, coordinate, supervise and control the construction, maintenance, improvement, and repair of roads, bridges, and other engineering and public work projects</t>
  </si>
  <si>
    <t>Our department is responsible for ensuring safety, reliability, and quality and satisfies the minimum requirements set by the P.D.1096</t>
  </si>
  <si>
    <t>Committed to promote and implement our vision the best of outmost services</t>
  </si>
  <si>
    <t>Organizational Outcome:  Provide engineering services to the LGU including investigation and survey, engineering designs, feasibility studies, and project management</t>
  </si>
  <si>
    <t>1000-9-0</t>
  </si>
  <si>
    <t>Maintenance of roads and bridges; parks and plaza; and motorpool</t>
  </si>
  <si>
    <t>Work performance</t>
  </si>
  <si>
    <t>Well-maintained public works and facilities</t>
  </si>
  <si>
    <t>Building management, inspection of buildings and electrical installations.</t>
  </si>
  <si>
    <t>Building permit and electrical permit</t>
  </si>
  <si>
    <t>Number of issued building permit and electrical permit</t>
  </si>
  <si>
    <t>Prepare plans, specifications, and bill of materials and estimates of the city’s projects.</t>
  </si>
  <si>
    <t>Program of work</t>
  </si>
  <si>
    <t>Number of public works implemented</t>
  </si>
  <si>
    <t>Conduct regular inspections of all on-going projects to ensure that work is done in accordance with the approved plans and specifications</t>
  </si>
  <si>
    <t>Projects fully Implemented</t>
  </si>
  <si>
    <t>100% supervision of all on-going projects of the city</t>
  </si>
  <si>
    <t>MUNICIPAL SOCIAL WELFARE AND DEVELOPMENT OFFICE</t>
  </si>
  <si>
    <t>Municipal Social Welfare and Development Office is committed to the care, protection and rehabilitation of the segment of the population (to individual, family and community) who has least in life and need social welfare assistance and social work intervention in order to restore their normal functioning and become participative members in the community.</t>
  </si>
  <si>
    <t>We envision Asingan to be a society where the poor, the vulnerable and disadvantaged individuals, families and communities have an access for an improved quality of life inhabited with empowered citizenry to become self-reliant.</t>
  </si>
  <si>
    <t>To provide social protection, promote the rights and welfare of the poor, the vulnerable and the disadvantaged individuals, families and communities to contribute to poverty alleviations and empowerment thru the Social Welfare Development policies, programs, projects and service in coordination with the National Government Organization and Non Government Organization and other Member of the Civil Society.</t>
  </si>
  <si>
    <t>Organizational Outcome:  To indentify the basic needs of the needy and disadvantaged and the impoverished and develop and implement appropriate measures to alleviate their problems and improve their living conditions.</t>
  </si>
  <si>
    <t>1000-10-0</t>
  </si>
  <si>
    <t>Support for Solo Parents</t>
  </si>
  <si>
    <t>Conduct of Day Care Mass Recognition</t>
  </si>
  <si>
    <t>Emergency Shelter Assistance</t>
  </si>
  <si>
    <t>Municipal Social Welfare and Development Officer</t>
  </si>
  <si>
    <t>DEPARTMENT OF AGRICULTURE</t>
  </si>
  <si>
    <t>Ensure the delivery of basic services and provision of adequate facilities relative to agricultural services</t>
  </si>
  <si>
    <t>Envisioned to be a center of agro-industrial development and educational advancement, a city with viable solid waste management, admirable traffic system, sustainable social services and equitable opportunity and a community of God-loving, well-disciplined, self-reliant, and development oriented people.</t>
  </si>
  <si>
    <t>Commited to provide adequate infrastracture and basic social services to promote healthy and safe environment, to practice good governance and dynamic leadership in ensuring political stability and economic self-sufficiency and to promote people participation in policy formulation and project implementation.</t>
  </si>
  <si>
    <t xml:space="preserve">Organizational Outcome:  Assist in making available the appropriate technology arising out of and disseminating information on basic research on crops, prevention and control of plant diseases and pests, </t>
  </si>
  <si>
    <t>and other agricultural matters which will maximize productivity</t>
  </si>
  <si>
    <t>1000-11-0</t>
  </si>
  <si>
    <t>Support Services</t>
  </si>
  <si>
    <t>Better Services</t>
  </si>
  <si>
    <t>A. RICE</t>
  </si>
  <si>
    <t>a. Farmers Field School on Integrated Pest Management (Palay Check) Wet Season</t>
  </si>
  <si>
    <t xml:space="preserve">1 Farmer Field School on Wet Season with 30 participants and 1 farmer cooperator for Technology demonstration.          </t>
  </si>
  <si>
    <t xml:space="preserve">Classes conducted in 16 meetings </t>
  </si>
  <si>
    <t>30 farmers</t>
  </si>
  <si>
    <t xml:space="preserve">   One half hectare (0.5) Techno-Demo Farm</t>
  </si>
  <si>
    <t>Implemented</t>
  </si>
  <si>
    <t>Research Field</t>
  </si>
  <si>
    <t>1 farmer cooperator</t>
  </si>
  <si>
    <t xml:space="preserve">   Farmers Field School on Integrated Pest Management (Palay Check) Dry Season</t>
  </si>
  <si>
    <t xml:space="preserve">1 Farmer Field School on Dry Season with 30 participants and 1 farmer cooperator for Technology demonstration.        </t>
  </si>
  <si>
    <t>b. Massive Rat Control</t>
  </si>
  <si>
    <t>Conducted briefing &amp; baiting within 21 barangay infested by rats. 1,000 sachets of zinc phospide were distributed.                                             Implemented.</t>
  </si>
  <si>
    <t>Massive baiting</t>
  </si>
  <si>
    <t>21 barangays</t>
  </si>
  <si>
    <t>B. CORN PRODUCTION</t>
  </si>
  <si>
    <t xml:space="preserve">   Farmers Field School on Integrated Crop Management for Corn Cum Good Agricultural Practices</t>
  </si>
  <si>
    <t xml:space="preserve">1 Farmer Field School on Wet Season with 30 participants and 1 farmer cooperator for Technology demonstration.        </t>
  </si>
  <si>
    <t>Classes conducted in 20 meetings</t>
  </si>
  <si>
    <t>C. VEGETABLE PRODUCTION</t>
  </si>
  <si>
    <t>a. Distribution of assorted vegetable seeds</t>
  </si>
  <si>
    <t>30,000 packs of vegetable seeds were distributed to 21 barangays &amp; public schools.                   Implemented.</t>
  </si>
  <si>
    <t>Distributed assorted vegetable seeds to farm, schools and community gardens</t>
  </si>
  <si>
    <t>30,000 packs of vegetable seeds</t>
  </si>
  <si>
    <t xml:space="preserve">   Plastic bags for packing</t>
  </si>
  <si>
    <t>b. Distribution of papaya hybrid seedlings</t>
  </si>
  <si>
    <t>Farm ready papaya seedlings were distributed to 21 barangays                  Implemented</t>
  </si>
  <si>
    <t>Distributed papaya seedlings to farm families</t>
  </si>
  <si>
    <t xml:space="preserve">2,547  papaya seedlings </t>
  </si>
  <si>
    <t>c. Farmer Field School on Integrated Pest Management for lowland vegetable production</t>
  </si>
  <si>
    <t xml:space="preserve">1 Farmer Field School on Integrated Pest Management for Lowland Vegetable Production                      </t>
  </si>
  <si>
    <t>Classes conducted in 16 meetings</t>
  </si>
  <si>
    <t>D. LIVESTOCK AND POULTRY PRODUCTION</t>
  </si>
  <si>
    <t>a. Procurement of Vaccine &amp; Dewormer</t>
  </si>
  <si>
    <t xml:space="preserve">    a1. Hemorrhagic Septicemia 24 bottles @ 150 ml.</t>
  </si>
  <si>
    <t>Vaccination of large &amp; small ruminants conducted within 21 barangays.                              Implemented.</t>
  </si>
  <si>
    <t>Massive vaccination 2x a year</t>
  </si>
  <si>
    <t>Large &amp; small ruminants in 21 barangays</t>
  </si>
  <si>
    <t xml:space="preserve">    a2. Dewormer (Albendazole) 95 liters</t>
  </si>
  <si>
    <t>Large &amp; small ruminants within 21 barangays were dewormed.                                        Implemented.</t>
  </si>
  <si>
    <t>Massive Deworming</t>
  </si>
  <si>
    <t>Large animals &amp; small ruminants in 21 barangays</t>
  </si>
  <si>
    <t xml:space="preserve">    a3. Anti-rabies 350 vials</t>
  </si>
  <si>
    <t>3,500 puppies/dogs, cats  within 21 barangays were vaccinated.          Implemented.</t>
  </si>
  <si>
    <t>Massive vaccination</t>
  </si>
  <si>
    <t>3,500 puppies/dogs, cats in 21 barangays</t>
  </si>
  <si>
    <t>b. Farmers Livestock School on Integrated Goat Management</t>
  </si>
  <si>
    <t>1 Farmer Field School on Farmer Livestock School on Integrated Goat Management</t>
  </si>
  <si>
    <t>Classes conducted in 21 meetings</t>
  </si>
  <si>
    <t>E. FISH PRODUCTION</t>
  </si>
  <si>
    <t>Dispersal of Tilapia Fingerlings</t>
  </si>
  <si>
    <t>200,000 fingerlings dispersed to communal bodies of water within the Municipality</t>
  </si>
  <si>
    <t>Dispersal</t>
  </si>
  <si>
    <t>10 Communal bodies of water within the Municipality</t>
  </si>
  <si>
    <t>F. Municipal Agriculturist, Agricultural Technologies attending conventions, congress, trainings and seminars</t>
  </si>
  <si>
    <t>Attending Meetings Conferences and Seminars</t>
  </si>
  <si>
    <t>Attend meetings, conferences, seminars/conventions</t>
  </si>
  <si>
    <t>MUNICIPAL HEALTH OFFICE</t>
  </si>
  <si>
    <t>To provide quality health services to everyone</t>
  </si>
  <si>
    <t>Healthy Asinganians through a unified and coordinate health system which is readily available and provided by skilled, compassionate, trained and empowered health providers</t>
  </si>
  <si>
    <t>Universal Health Coverage with Systematic and Holistic Community Health Management for all</t>
  </si>
  <si>
    <t>Organizational Outcome:  Satisfied clients who have availed of Basic Health Services for the Prevention and Control of Diseases and Promotion of Complete Physical and Mental Well Being</t>
  </si>
  <si>
    <t>1000-12</t>
  </si>
  <si>
    <t>A. Infectious Disease Control</t>
  </si>
  <si>
    <t>General Medical Service</t>
  </si>
  <si>
    <t xml:space="preserve">    TB</t>
  </si>
  <si>
    <t>Sputum Smear (+), x-ray (+) diagnosed and treated</t>
  </si>
  <si>
    <t xml:space="preserve">    Leprosy</t>
  </si>
  <si>
    <t>Case diagnosed and treated</t>
  </si>
  <si>
    <t xml:space="preserve">    Leptospirosis</t>
  </si>
  <si>
    <t xml:space="preserve">    Dengue</t>
  </si>
  <si>
    <t>Larvae Survey</t>
  </si>
  <si>
    <t>B. Family Health</t>
  </si>
  <si>
    <t>Maternal and Child Care</t>
  </si>
  <si>
    <t xml:space="preserve">    1. EPI (Expanded Immunization Program)</t>
  </si>
  <si>
    <t xml:space="preserve">        a. FIC (Fully Immunized Child)</t>
  </si>
  <si>
    <t>BCG, Hep B, Penta 1, 2, 3, PCV 1, 2, 3</t>
  </si>
  <si>
    <t xml:space="preserve">        b. FIM (Fully Immunized Mother)</t>
  </si>
  <si>
    <t>OPV1, OPV2, OPV3, IPV, AMV,MMR, Rota 1, 2</t>
  </si>
  <si>
    <t xml:space="preserve">    2. Rabies Control Program</t>
  </si>
  <si>
    <t>Medical assistance to victims</t>
  </si>
  <si>
    <t>ARV/ERIG given</t>
  </si>
  <si>
    <t xml:space="preserve">    3. CARI (Control Acute Respiratory Infection)</t>
  </si>
  <si>
    <t>Pneumonia cases diagnosed and treated</t>
  </si>
  <si>
    <t xml:space="preserve">    4. CDD (Control of Diarrhea Diseases)</t>
  </si>
  <si>
    <t>Diagnosed and treated</t>
  </si>
  <si>
    <t xml:space="preserve">    5. MCH (Maternal &amp; Child Health)</t>
  </si>
  <si>
    <t>Pre-natal and Post natal check-up, vitamins and vaccines given</t>
  </si>
  <si>
    <t xml:space="preserve">        a. Pre-natal Check-up given</t>
  </si>
  <si>
    <t xml:space="preserve">        b. Deliveries</t>
  </si>
  <si>
    <t xml:space="preserve">        c. Post-partum Home visit</t>
  </si>
  <si>
    <t xml:space="preserve">        d. Post-partum Clinic Visit</t>
  </si>
  <si>
    <t xml:space="preserve">    6. Women's Health/Family Planning</t>
  </si>
  <si>
    <t>Pills given, IUD inserted, injection, Operation Timbang done, micronutrient supplement, deworming done</t>
  </si>
  <si>
    <t xml:space="preserve">    7. Nutrition Program</t>
  </si>
  <si>
    <t xml:space="preserve">    8. Dental Program</t>
  </si>
  <si>
    <t>tooth extraction</t>
  </si>
  <si>
    <t>C. Non-Communicable/Degenarative Diseases</t>
  </si>
  <si>
    <t>Health promotion, breats exam, pap-smear, anti-smoking drive or YOSI Kadiri</t>
  </si>
  <si>
    <t xml:space="preserve">    1. CVD/Cancer (Cardiovascular Disease)</t>
  </si>
  <si>
    <t xml:space="preserve">    2. Visual Health Program</t>
  </si>
  <si>
    <t>D. Environment Health</t>
  </si>
  <si>
    <t>Compliance with the Sanitation Code</t>
  </si>
  <si>
    <t>Water Sampling &amp; Inspection</t>
  </si>
  <si>
    <t xml:space="preserve">    1. Environment Health Program</t>
  </si>
  <si>
    <t xml:space="preserve">        a. Water Supply Chlorination</t>
  </si>
  <si>
    <t xml:space="preserve">        b. Water Samples Collection</t>
  </si>
  <si>
    <t xml:space="preserve">        c. Food Establishment Inspection</t>
  </si>
  <si>
    <t>Inspection of food establishment, issuance of health &amp; sanitary certificate, training of food handlers, operators. Deworming of cooks &amp; helpers</t>
  </si>
  <si>
    <t>Quarterly</t>
  </si>
  <si>
    <t>E. Renal Disease Control Program (REDCOP)</t>
  </si>
  <si>
    <t>Health promotion, prevention</t>
  </si>
  <si>
    <t xml:space="preserve">OFFICE OF THE LOCAL DISASTER RISK REDUCTION MANAGEMENT </t>
  </si>
  <si>
    <t>RA 10121 Section 11 Organization of the Disaster Coordinating Council at the Local Government Level</t>
  </si>
  <si>
    <t>A Disaster Risk Reduction Management Council effectively and efficiently responding to the needs of the community in times of natural and man-made calamities</t>
  </si>
  <si>
    <t>To protect the community by addressing disaster preparedness, mitigation, response, rehabilitation and climate change to ensure a disaster resilient municipality</t>
  </si>
  <si>
    <t>Organizational Outcome:  Provide immediate information and response to the community in times of calamities and disaster</t>
  </si>
  <si>
    <t>1000-13-0</t>
  </si>
  <si>
    <t>A. Training of BDRRMCs/BDC on Disaster Preparedness via ToT</t>
  </si>
  <si>
    <t>Better grasp of the community about disaster</t>
  </si>
  <si>
    <t xml:space="preserve">21 Barangays </t>
  </si>
  <si>
    <t>B. IEC Campaign</t>
  </si>
  <si>
    <t>A. Organization od ADRU (Asingan Disaster Response Unit)</t>
  </si>
  <si>
    <t>Enhance response on Pre and Post Disaster</t>
  </si>
  <si>
    <t>More prompt reaction in times of calamities</t>
  </si>
  <si>
    <t>1 ADRU</t>
  </si>
  <si>
    <t>B. Organization of Barangay Disaster Volunteers</t>
  </si>
  <si>
    <t>C. Trainings &amp; Seminars of the ADRU and BDV</t>
  </si>
  <si>
    <t>100% Trainings &amp; Seminars</t>
  </si>
  <si>
    <t>D. Facilitate Memorandum of Agreement with transport groups</t>
  </si>
  <si>
    <t>100% Transport Groups</t>
  </si>
  <si>
    <t xml:space="preserve">E. Establishment of Municipality wide disaster alarm system </t>
  </si>
  <si>
    <t>100% Municipality Wide</t>
  </si>
  <si>
    <t>A. Additional/Essential equipments of the LDRRM</t>
  </si>
  <si>
    <t>Complete set of tools and equipments for LDRRM during calamity and disaster response</t>
  </si>
  <si>
    <t>More effective and efficient disaster response</t>
  </si>
  <si>
    <t>100% of Equipments</t>
  </si>
  <si>
    <t>Multi-level building rescue</t>
  </si>
  <si>
    <r>
      <t xml:space="preserve">          </t>
    </r>
    <r>
      <rPr>
        <sz val="11"/>
        <rFont val="Calibri"/>
        <family val="2"/>
      </rPr>
      <t>•</t>
    </r>
    <r>
      <rPr>
        <sz val="11"/>
        <rFont val="Arial Narrow"/>
        <family val="2"/>
      </rPr>
      <t xml:space="preserve">  boom truck</t>
    </r>
  </si>
  <si>
    <t>A.Technical Assistance to BDRRMC/BDC in formulation of Barangay DRRM Plan</t>
  </si>
  <si>
    <t>Strengthening Community Protection and resilience to disaster</t>
  </si>
  <si>
    <t>Enhanced manual and more established standard operating procedure on calamities and disaster</t>
  </si>
  <si>
    <t>B. Compilation of Barangay DRRM Plan</t>
  </si>
  <si>
    <t>100% BDRRM Plan</t>
  </si>
  <si>
    <t>C. Formulation or Review of MDRRM Plan</t>
  </si>
  <si>
    <t>Stengthening Community Protection and resilience to disaster</t>
  </si>
  <si>
    <t>75% MDRRM Plan</t>
  </si>
  <si>
    <t>A. Continuing Repair/Maintenance of Earthdike Protection</t>
  </si>
  <si>
    <t>Community Safety and Protection</t>
  </si>
  <si>
    <t>Flood Prevention</t>
  </si>
  <si>
    <t>50% Earthdike Protection</t>
  </si>
  <si>
    <t>25% of alll Canals and Esteros</t>
  </si>
  <si>
    <t>ECONOMIC ENTERPRISE MANAGEMENT-MARKET</t>
  </si>
  <si>
    <t>To exercise general supervision and control over the market and slaughterhouse</t>
  </si>
  <si>
    <t>Envisioned to be a center of agro-industrial development, a municipality with viable solid waste management, sustainable social services and equitable opportunity and a community of God-loving, well-disciplined, self-reliant, and development oriented people.</t>
  </si>
  <si>
    <t>To promote and safeguard the health, welfare and safety of the general public through provision of relatively good infrastructure facilities, regular and quality maintenance, address clientele satisfaction by honest, transparent, dedicated public servant and engage in self-sustaining economic activities</t>
  </si>
  <si>
    <t>Organizational Outcome:  Provide safe and clean market and slaughterhouse  to the Asinganians</t>
  </si>
  <si>
    <t>1000-1-1</t>
  </si>
  <si>
    <t>Issuance of Mayor's Permit/Business Permit</t>
  </si>
  <si>
    <t>Mayor's Permit/Business Permit Issued</t>
  </si>
  <si>
    <t>Abstract of Collections</t>
  </si>
  <si>
    <t xml:space="preserve">100% Satisfaction </t>
  </si>
  <si>
    <t>Branding of large cattle</t>
  </si>
  <si>
    <t>Meat Inspection and collection of slaugther's fee</t>
  </si>
  <si>
    <t>100% Collection</t>
  </si>
  <si>
    <t>Cash Tickets Collection</t>
  </si>
  <si>
    <t>Collection of Monthly Stall Rentals</t>
  </si>
  <si>
    <t>Meter reading, billing and collection of power consumption of stallholders</t>
  </si>
  <si>
    <t>Cleaning and disinfection of market and slaughterhouse premises</t>
  </si>
  <si>
    <t>Premises physical appearance</t>
  </si>
  <si>
    <t>100% Satisfaction  of constituents</t>
  </si>
  <si>
    <t>Collection and disposal of garbage</t>
  </si>
  <si>
    <t>Sealing &amp; licensing of weights and measure</t>
  </si>
  <si>
    <t>100% Implementation</t>
  </si>
  <si>
    <t>Attend meetings, seminars, conferences, conventions</t>
  </si>
  <si>
    <t>Re-echo of seminars, trainings, etc.</t>
  </si>
  <si>
    <t>4-6 Seminars, Trainings, etc.</t>
  </si>
  <si>
    <t>Add: LDRRMF Market</t>
  </si>
  <si>
    <t>CARLOS F. LOPEZ, JR.</t>
  </si>
  <si>
    <t>JOSELITO V. VIRAY</t>
  </si>
  <si>
    <t>27/1</t>
  </si>
  <si>
    <t>25/1</t>
  </si>
  <si>
    <t>KIMA I. SIROT</t>
  </si>
  <si>
    <t>LEONARD M. ALMEROL</t>
  </si>
  <si>
    <t>HON. CARLOS F. LOPEZ, JR.</t>
  </si>
  <si>
    <t>HON. HEIDEE GANIGAN-CHUA</t>
  </si>
  <si>
    <t>ENGR. CARLOS F. LOPEZ, JR.</t>
  </si>
  <si>
    <t>5/3</t>
  </si>
  <si>
    <t>4/5</t>
  </si>
  <si>
    <t>10/6</t>
  </si>
  <si>
    <t>2/2</t>
  </si>
  <si>
    <t>13/2</t>
  </si>
  <si>
    <t>JOHNNY MAR A. CARIG</t>
  </si>
  <si>
    <t>RODHEL M. SERAFICA</t>
  </si>
  <si>
    <t>JETHRO ALEXIS O. MONCE</t>
  </si>
  <si>
    <t>JOHN C. GOROSPE</t>
  </si>
  <si>
    <t>AMADO P. MONTEMAYOR</t>
  </si>
  <si>
    <t>BERNARD B. VARGAS</t>
  </si>
  <si>
    <t>GENEMARK S. GUILLERMO</t>
  </si>
  <si>
    <t>IT Equipment &amp; Software-Desktop &amp; Laptop</t>
  </si>
  <si>
    <t>Aid to POSG</t>
  </si>
  <si>
    <t>9997-15</t>
  </si>
  <si>
    <t>- Presented during sessions</t>
  </si>
  <si>
    <t>Organizational Outcome:  We commit ourselves with the willingness to serve with clients with justness and sincerity and shall not discriminate with others. Our service clients are assured with our timely and accurate reports done by a competent and professionally behaved staff</t>
  </si>
  <si>
    <t>Report of Collection and Deposit (RCD)</t>
  </si>
  <si>
    <t>Disbursement Vouchers, Checks and Payrolls</t>
  </si>
  <si>
    <t>e-SRE Report</t>
  </si>
  <si>
    <t>Efficient revenue collectors</t>
  </si>
  <si>
    <t>Daily collections were remitted and deposited in the bank everyday</t>
  </si>
  <si>
    <t>The Municipal Assesor's Office is a realty tax department that commits to attain maximum efficiency in the appraisal and assessment of real properties for taxation purposes whose delivery systems are designed to the highest standards and whose employees are adopting the principles of professionalism for the taxpayer and clientele satisfaction in providing quality service.</t>
  </si>
  <si>
    <t>To implement the innovative changes in systems, policies and procedures provided by law in order to generate sustainable revenues from realty taxes with minimal cost to the Local Government Unit and with due care and convenience to taxpayers and the clientele.</t>
  </si>
  <si>
    <t>To ensure that the phil. Public Accounting Standards are strictly followed</t>
  </si>
  <si>
    <t>Other Structures</t>
  </si>
  <si>
    <t>Construction of Multi-Purpose Shed &amp; Concrete Pavement at D.A. office</t>
  </si>
  <si>
    <t>Multi-Purpose Shed &amp; Concrete Pavement</t>
  </si>
  <si>
    <t>1-07-04-020</t>
  </si>
  <si>
    <t>School Building</t>
  </si>
  <si>
    <t>Aid to Senior Citizens</t>
  </si>
  <si>
    <t>9997-16</t>
  </si>
  <si>
    <t>1</t>
  </si>
  <si>
    <t>2</t>
  </si>
  <si>
    <t>Aid to Legal Consultant</t>
  </si>
  <si>
    <t>Aid to PWD</t>
  </si>
  <si>
    <t>Financial Assistance to Students (PSU &amp; UCU)</t>
  </si>
  <si>
    <t>9997-17</t>
  </si>
  <si>
    <t>Management Officer I</t>
  </si>
  <si>
    <t>1011-24</t>
  </si>
  <si>
    <t>1011-25</t>
  </si>
  <si>
    <t>1011-26</t>
  </si>
  <si>
    <t>1011-27</t>
  </si>
  <si>
    <t>1011-28</t>
  </si>
  <si>
    <t>1011-30</t>
  </si>
  <si>
    <t>Rate/Annum 2021</t>
  </si>
  <si>
    <t>LBC 121</t>
  </si>
  <si>
    <t>14/6</t>
  </si>
  <si>
    <t>7/5</t>
  </si>
  <si>
    <t>5/1</t>
  </si>
  <si>
    <t>ROGER N. AQUINO</t>
  </si>
  <si>
    <t>24/5</t>
  </si>
  <si>
    <t>12/2</t>
  </si>
  <si>
    <t>JASTINE R. ALMONTE</t>
  </si>
  <si>
    <t>18/5</t>
  </si>
  <si>
    <t>3/5</t>
  </si>
  <si>
    <t>Other Bonuses and Allowances (PBB)</t>
  </si>
  <si>
    <t>Other Personnel Benefits (SRI)</t>
  </si>
  <si>
    <t>SPA</t>
  </si>
  <si>
    <t>Survey Expenses</t>
  </si>
  <si>
    <t>Construction of Multi-purpose Hall-Palaris</t>
  </si>
  <si>
    <t>Construction of School Gate-Carosucan Sur National High School</t>
  </si>
  <si>
    <t>Construction of School Gate-Ariston East</t>
  </si>
  <si>
    <t>Construction of Stage Domanpot Community School</t>
  </si>
  <si>
    <t>Concreting of School Ground-Domanpot Community School</t>
  </si>
  <si>
    <t>Improvement of Rizal Monument</t>
  </si>
  <si>
    <t xml:space="preserve">Repainting of Library-Repair of gutters/Comfort Rooms </t>
  </si>
  <si>
    <t>Installation of Garden Light-People's Park</t>
  </si>
  <si>
    <t>Continuation of Wing Span@Sanchez-Cabalitian Elementary School</t>
  </si>
  <si>
    <t>Rehabilitation of Streetlights (Solar)-Macalong</t>
  </si>
  <si>
    <t>Concreting of School Ground @Toboy High School</t>
  </si>
  <si>
    <t>Construction of Multi-Purpose Hall @Barangay Baro</t>
  </si>
  <si>
    <t>Construction of School Gate @North Central School</t>
  </si>
  <si>
    <t>Subsistence Allowance</t>
  </si>
  <si>
    <t>1011-29</t>
  </si>
  <si>
    <t>1011-31</t>
  </si>
  <si>
    <t>1011-32</t>
  </si>
  <si>
    <t>1011-33</t>
  </si>
  <si>
    <t>1011-34</t>
  </si>
  <si>
    <t>1011-35</t>
  </si>
  <si>
    <t>1011-36</t>
  </si>
  <si>
    <t>C. Training of BHERT's</t>
  </si>
  <si>
    <r>
      <rPr>
        <sz val="11"/>
        <rFont val="Calibri"/>
        <family val="2"/>
      </rPr>
      <t>•</t>
    </r>
    <r>
      <rPr>
        <sz val="11"/>
        <rFont val="Arial Narrow"/>
        <family val="2"/>
      </rPr>
      <t xml:space="preserve"> Increase knowledge in disaster risk, vulnerabilities and response</t>
    </r>
  </si>
  <si>
    <t>• Proper handling of COVID 19 patients</t>
  </si>
  <si>
    <r>
      <rPr>
        <sz val="11"/>
        <rFont val="Calibri"/>
        <family val="2"/>
      </rPr>
      <t xml:space="preserve">• </t>
    </r>
    <r>
      <rPr>
        <sz val="11"/>
        <rFont val="Arial Narrow"/>
        <family val="2"/>
      </rPr>
      <t>Increase awareness on the virulence of COVID 19</t>
    </r>
  </si>
  <si>
    <t>Safe and effective handling of COVID 19 patients</t>
  </si>
  <si>
    <t>F. Establishment of Barangay based isolation facility</t>
  </si>
  <si>
    <t>Abatement of Community Transmission</t>
  </si>
  <si>
    <t>Better Infection Control</t>
  </si>
  <si>
    <t>B. Personal Protective EQPT</t>
  </si>
  <si>
    <t>C. Additional Rescue Vehicle</t>
  </si>
  <si>
    <t>Protected Responders against COVID 19</t>
  </si>
  <si>
    <t>Effective response to vehicle crash extrication</t>
  </si>
  <si>
    <r>
      <t xml:space="preserve">          </t>
    </r>
    <r>
      <rPr>
        <sz val="11"/>
        <rFont val="Calibri"/>
        <family val="2"/>
      </rPr>
      <t>•</t>
    </r>
    <r>
      <rPr>
        <sz val="11"/>
        <rFont val="Arial Narrow"/>
        <family val="2"/>
      </rPr>
      <t xml:space="preserve">  4 x 4 Rescue Vehicle</t>
    </r>
  </si>
  <si>
    <t>Increase response capability</t>
  </si>
  <si>
    <t>D. Integrate Zoning Containments Strategy on handling of COVID 19 Pandemic</t>
  </si>
  <si>
    <t>Operationalizing the Zoning containment strategy</t>
  </si>
  <si>
    <t>Updated frontlliners &amp; responder</t>
  </si>
  <si>
    <t>100% MDRRM Plan</t>
  </si>
  <si>
    <t>B. Canalization &amp; Dredging/Disselting</t>
  </si>
  <si>
    <t>Formulation of AIP and its supplemental, with focus on COVID related recovery and rehabilitation activities</t>
  </si>
  <si>
    <t>Setting up statistical/IT unit</t>
  </si>
  <si>
    <t>Statistics/I.T. unit installed</t>
  </si>
  <si>
    <t>Statistical/IT service provider</t>
  </si>
  <si>
    <t>4 times a month conducted</t>
  </si>
  <si>
    <t>1-07-03-010</t>
  </si>
  <si>
    <t>Road Networks</t>
  </si>
  <si>
    <t>MELABEL S. LAYOS</t>
  </si>
  <si>
    <t>ERWIN C. RENALDO</t>
  </si>
  <si>
    <t>ROMEO S. ANGELES</t>
  </si>
  <si>
    <t>1-07-05-030</t>
  </si>
  <si>
    <t>Motor Vehicles-Motorcycle</t>
  </si>
  <si>
    <t>Other Machinery and Equipment-Water Pump</t>
  </si>
  <si>
    <t>Other Transportation Equipment-Bike</t>
  </si>
  <si>
    <t>1-07-06-990</t>
  </si>
  <si>
    <t>License Inspector II</t>
  </si>
  <si>
    <t>Planning Officer I</t>
  </si>
  <si>
    <t>Department Head I/MPDC</t>
  </si>
  <si>
    <t>MAYANNE L. PASTOR</t>
  </si>
  <si>
    <t>9997-11</t>
  </si>
  <si>
    <t>9997-13</t>
  </si>
  <si>
    <t>Repairs and Maintenance-Transportation Equipment</t>
  </si>
  <si>
    <t>ENGR. CARLOS. F. LOPEZ, JR.</t>
  </si>
  <si>
    <t>GF &amp; Market</t>
  </si>
  <si>
    <t>Capability Building to Solo Parents conducted</t>
  </si>
  <si>
    <t>Quarterly meeting to Solo Parents conducted</t>
  </si>
  <si>
    <t>Support for Pantawid Pamilya Filipino Program</t>
  </si>
  <si>
    <t>Provision of recognition of children who excel to the conditionalities and co-responsibilities set by the program</t>
  </si>
  <si>
    <t>Exemplary Child Indentified</t>
  </si>
  <si>
    <t>Discovered community gardens that are congruent with the concepts relative to health and nutrition; climate change and environment protection and sustainable income generation that may set standard for future activities and intervention</t>
  </si>
  <si>
    <t>Model Bio-Intensive Gardening were identified and lecture on proper gardening conducted</t>
  </si>
  <si>
    <t>Recognized family beneficiaries of Pantawid Pamilyang Pilipino Program who maintain strong family ties, demonstrated positive Filipino values created positive impart in the community</t>
  </si>
  <si>
    <t>Huwarang Pamilya identified</t>
  </si>
  <si>
    <t>Acquired new knowledge and skills for the implementation of the program and gave recognition to the group of parent leaders that contributed much for the program</t>
  </si>
  <si>
    <t>Capability Building for Parent Leaders and giving recognition to active group of Pantawid Pamilya were conducted</t>
  </si>
  <si>
    <t>Celebrate the meaning of being a family</t>
  </si>
  <si>
    <t>Family Day Celebrated</t>
  </si>
  <si>
    <t>Provided new updates (knowledge and skills regarding ERPAT and strengthen the organization)</t>
  </si>
  <si>
    <t>Conduct of Municipal Childrens Congress and Participate in the District and Provincial Childrens Congress</t>
  </si>
  <si>
    <t>Participate and Display of Talents of Children from the different Child Development Center during the Municipal Children's Month Celebration</t>
  </si>
  <si>
    <t>Municipal Children's Congress conducted and Children participated in District and Provincial Congress</t>
  </si>
  <si>
    <t>Children attended Early Childhood Care and Development were recognized</t>
  </si>
  <si>
    <t>Mass Recognition Conducted and Children are recognized</t>
  </si>
  <si>
    <t xml:space="preserve">Enhance the skills of Child Development Workers on the NELF, preparation of curriculum and updates of the ECCD guidelines </t>
  </si>
  <si>
    <t xml:space="preserve">Child Development Workers were updated on the ECCD Guidelines </t>
  </si>
  <si>
    <t>Conduct Dialogue to Barangay Officials and Day Care Parents Group</t>
  </si>
  <si>
    <t>Awareness of Children in the effects of vices</t>
  </si>
  <si>
    <t>Barangay Officials and Day Care Parents Group are aware of their roles and functions</t>
  </si>
  <si>
    <t>Lectures provided and children became aware of the effects of vices</t>
  </si>
  <si>
    <t>Develop  good leadership, skills among the Out of School Youth and awareness on the updates of Pag-Asa Youth Association</t>
  </si>
  <si>
    <t>Strengthened the organization good leadership skill among members were developed and updated of organization</t>
  </si>
  <si>
    <t>Conduct of Quarterly Meeting to Women</t>
  </si>
  <si>
    <t>Awareness on the updates of the Women's Welfare and the organization strategies</t>
  </si>
  <si>
    <t>Assistance to Individuals in Crisis Situation</t>
  </si>
  <si>
    <t>Provision of Financial Assistance to Individual in Crisis</t>
  </si>
  <si>
    <t>Individual in crisis were provided financial assistance</t>
  </si>
  <si>
    <t>Provision of Financial Assistance to victims of natural and man made disaster</t>
  </si>
  <si>
    <t>Victims of disaster provided assistance to augment the financial needs for the repair and reconstruction of their damaged house</t>
  </si>
  <si>
    <t>Delivered program to Solo Parents and their children for their financial needs and acquired new knowledge and skills for the implementation of the program</t>
  </si>
  <si>
    <t>8</t>
  </si>
  <si>
    <t>9</t>
  </si>
  <si>
    <t>10</t>
  </si>
  <si>
    <t>11</t>
  </si>
  <si>
    <t>12</t>
  </si>
  <si>
    <t>14</t>
  </si>
  <si>
    <t>15</t>
  </si>
  <si>
    <t>16</t>
  </si>
  <si>
    <t>17</t>
  </si>
  <si>
    <t>19</t>
  </si>
  <si>
    <t>20</t>
  </si>
  <si>
    <t>39</t>
  </si>
  <si>
    <t xml:space="preserve">BS/mo. </t>
  </si>
  <si>
    <t>2021</t>
  </si>
  <si>
    <t>Anniversary Bonus</t>
  </si>
  <si>
    <t>Gratuity Pay (OMOOE)</t>
  </si>
  <si>
    <t>Rehabilitation of Senior Citizen's Building-Bantog</t>
  </si>
  <si>
    <t>Repair of Day Care Center-Calepaan</t>
  </si>
  <si>
    <t>Concreting of Day Care School Ground and Construction of Perimeter Fence-Sobol</t>
  </si>
  <si>
    <t>Purchase of Liga Conference Tables</t>
  </si>
  <si>
    <t>Construction of Stair Cover-San Vicente East</t>
  </si>
  <si>
    <t>Installation of Solar Streetlights-Sobol</t>
  </si>
  <si>
    <t>Construction of CHB Lined Canal @Poblacion West</t>
  </si>
  <si>
    <t>LGU Counterpart-Early Childhood Care and Dev't. Center</t>
  </si>
  <si>
    <t>Office Equipment/Medical Equipment</t>
  </si>
  <si>
    <t>1-07-05-110</t>
  </si>
  <si>
    <t>Medical Equipment</t>
  </si>
  <si>
    <t>Aid to Nurse Deployment Program (NDP)</t>
  </si>
  <si>
    <t>9997-18</t>
  </si>
  <si>
    <t>Calepaan Integrated School (Rehabilitation of MPH)</t>
  </si>
  <si>
    <t>Macalong Multi-Purpose Building 2nd Phase</t>
  </si>
  <si>
    <t>Additional Fund for the purchase of Patrol Vehicle for San Vicente East</t>
  </si>
  <si>
    <t>Rehabilitation of Comfort Room at Isolation Area</t>
  </si>
  <si>
    <t>Connection of Gen Set at RHU</t>
  </si>
  <si>
    <t>Bar-Dumaquit Farm to Market Road</t>
  </si>
  <si>
    <t>Toboy-Hacienda Multi-Purpose Pavement</t>
  </si>
  <si>
    <t>Sobol Elementary School Perimeter Fence (Construction)</t>
  </si>
  <si>
    <t>Concreting of Carosucan Sur High School Ground</t>
  </si>
  <si>
    <t>Concreting of School Ground &amp; Continuation of School Gate of Ariston East Elementary School</t>
  </si>
  <si>
    <t>Construction of Restroom (CR) 6 units @Don T. Bauzon Elementary School</t>
  </si>
  <si>
    <t>Concreting of School Ground @Toboy National High School</t>
  </si>
  <si>
    <t>Senior Citizen Building/Repair Improvement Baro</t>
  </si>
  <si>
    <t>Purchase of 1 set Computer w/ Printer-LIGA Office</t>
  </si>
  <si>
    <t xml:space="preserve">Additional Fund for the Purchase of Table and Chair for LIGA Office </t>
  </si>
  <si>
    <t>Additional Fund for the Purchase of Sound System</t>
  </si>
  <si>
    <t>Continuing of Construction of Multi-Purpose Building Palaris</t>
  </si>
  <si>
    <t xml:space="preserve">Office Equipment </t>
  </si>
  <si>
    <t xml:space="preserve">Furniture and Fixtures </t>
  </si>
  <si>
    <t>Other Machinery and Equipment</t>
  </si>
  <si>
    <t>b. Business Tax</t>
  </si>
  <si>
    <t>c. Other Local Tax</t>
  </si>
  <si>
    <t>3. Burial Permit Fee</t>
  </si>
  <si>
    <t>4. Fees on Weights and Measures</t>
  </si>
  <si>
    <t>5. Cemetery Fee</t>
  </si>
  <si>
    <t>6. Exhumation Fee</t>
  </si>
  <si>
    <t>Actual Income-General Fund-2020</t>
  </si>
  <si>
    <t>Allowable Personal Services for CY 2022</t>
  </si>
  <si>
    <t>P.S. Appropriation for CY 2022</t>
  </si>
  <si>
    <t>2022</t>
  </si>
  <si>
    <t>PERSONNEL SCHEDULE  CY 2022</t>
  </si>
  <si>
    <t>Rate/Annum 2022</t>
  </si>
  <si>
    <t>Mandate, Vision/Mission, Major Final Output, Performance Indicators and Targets CY 2022</t>
  </si>
  <si>
    <t>Proposed Budget for the Year 2022</t>
  </si>
  <si>
    <t>Proposed Budget for the year 2022</t>
  </si>
  <si>
    <t>100% of procurement are done in accordance with the APP and RA 9184 in the year 2022</t>
  </si>
  <si>
    <t>Implemented within the year 2022 as far as developmental PAP's are concerned under 20% of IRA, LDRRMP, GAD, and other sources of funds</t>
  </si>
  <si>
    <t>Completed within 2022</t>
  </si>
  <si>
    <t>Proposed Budget for the Budget  Year 2022</t>
  </si>
  <si>
    <t>January 2022-December 2022</t>
  </si>
  <si>
    <t>January-December, 2022</t>
  </si>
  <si>
    <t>BUDGET YEAR 2022</t>
  </si>
  <si>
    <t>STATEMENT OF STATUTORY AND CONTRACTUAL OBLIGATIONS AND BUDGETARY REQUIREMENTS CY 2022</t>
  </si>
  <si>
    <t>STATEMENT OF FUND ALLOCATION BY SECTOR CY 2022</t>
  </si>
  <si>
    <t>ANNUAL BUDGET FOR CY 2022</t>
  </si>
  <si>
    <t>2022 ANNUAL BUDGET</t>
  </si>
  <si>
    <t>ANNUAL BUDGET CY 2022</t>
  </si>
  <si>
    <t>Devolved Programs and Services</t>
  </si>
  <si>
    <t>Aid to CSO's</t>
  </si>
  <si>
    <t>9997-19</t>
  </si>
  <si>
    <t>Hazard Pay (Covid-19)</t>
  </si>
  <si>
    <t>F. Epidemiology and Surveillance</t>
  </si>
  <si>
    <t>G. Disaster Risk Reduction Management for Health</t>
  </si>
  <si>
    <t>H. Attend meetings, seminars, conference, convention</t>
  </si>
  <si>
    <t>Municipal Mayor I</t>
  </si>
  <si>
    <t>27/2</t>
  </si>
  <si>
    <t>MEDELYN S. ESCORPIZO</t>
  </si>
  <si>
    <t>15/3</t>
  </si>
  <si>
    <t>Municipal Vice Mayor I</t>
  </si>
  <si>
    <t>25/2</t>
  </si>
  <si>
    <t>Sangguniang Bayan Member I</t>
  </si>
  <si>
    <t>Sangguniang Bayan Member I -</t>
  </si>
  <si>
    <t>24/7</t>
  </si>
  <si>
    <t>Local Legislative Staff Assistant II</t>
  </si>
  <si>
    <t>Draftsman I - Abolished</t>
  </si>
  <si>
    <t>-0-</t>
  </si>
  <si>
    <t>7/3</t>
  </si>
  <si>
    <t xml:space="preserve">Position Abolished </t>
  </si>
  <si>
    <t>RACQUEL A. GONATICE</t>
  </si>
  <si>
    <t>17/8</t>
  </si>
  <si>
    <t>10/4</t>
  </si>
  <si>
    <t>8/3</t>
  </si>
  <si>
    <t>LARRY B. CARDINEZ</t>
  </si>
  <si>
    <t>18/3</t>
  </si>
  <si>
    <t>16/2</t>
  </si>
  <si>
    <t>Parks, Plazas and Monuments</t>
  </si>
  <si>
    <t>1-07-03-090</t>
  </si>
  <si>
    <t>Social Welfare Officer III</t>
  </si>
  <si>
    <t>18/1</t>
  </si>
  <si>
    <t>Social Welfare Officer II</t>
  </si>
  <si>
    <t>Admin. Aide III</t>
  </si>
  <si>
    <t>Teacher I</t>
  </si>
  <si>
    <t>Medical Officer III</t>
  </si>
  <si>
    <t>21/1</t>
  </si>
  <si>
    <t>Medical Technologist II</t>
  </si>
  <si>
    <t>Sanitation Inspector II</t>
  </si>
  <si>
    <t>Senior Labor &amp; Employment Officer</t>
  </si>
  <si>
    <t>19/1</t>
  </si>
  <si>
    <t xml:space="preserve">Senior Environmental Management </t>
  </si>
  <si>
    <t>Specialist</t>
  </si>
  <si>
    <t>Senior Administrative Assistant V</t>
  </si>
  <si>
    <t>Accountant II</t>
  </si>
  <si>
    <t>16/1</t>
  </si>
  <si>
    <t>Local Treasury Operations Officer I</t>
  </si>
  <si>
    <t>Local Legislative Staff Assistant III</t>
  </si>
  <si>
    <t>Driver I</t>
  </si>
  <si>
    <t xml:space="preserve">Administrative Aide III </t>
  </si>
  <si>
    <t>Province of Pangasinan</t>
  </si>
  <si>
    <t>OFFICE OF THE SECRETARY TO THE SANGGUNIANG BAYAN</t>
  </si>
  <si>
    <t>---------------------------------------------------------------------------------------------------------------------------------------------------------------------------------------------------------------------------------------------------</t>
  </si>
  <si>
    <t>PRESENT:</t>
  </si>
  <si>
    <t xml:space="preserve">                   1. Hon. Heidee L. Ganigan-Chua</t>
  </si>
  <si>
    <t>Presiding Officer</t>
  </si>
  <si>
    <t xml:space="preserve">                   2. Hon. Athena Ira G. Chua</t>
  </si>
  <si>
    <t>Municipal Councilor</t>
  </si>
  <si>
    <t xml:space="preserve">                   3. Hon. Marivic S. Robeniol</t>
  </si>
  <si>
    <t>"</t>
  </si>
  <si>
    <t xml:space="preserve">                    " (Liga President)</t>
  </si>
  <si>
    <t>Sponsored by: SB Member Melchor J. Cardinez, Sr.</t>
  </si>
  <si>
    <t xml:space="preserve">          WHEREAS, after a careful study of all items of the programmed expenditures proposed in the said budget document, the same was found to be in accordance with the municipal administration's policies for the improvement of the service;</t>
  </si>
  <si>
    <t xml:space="preserve">          NOW THEREFORE, finding that the budgetary requirements of the law and existing regulations have been satisfied, and after careful deliberation on the budget document;</t>
  </si>
  <si>
    <t xml:space="preserve">          Be it enacted by the Sangguniang Bayan of Asingan, Pangasinan, in session assembled that:</t>
  </si>
  <si>
    <t>SECTION 1. Receipts Program - The estimated income of the General Fund and Local Economic Enterprise as certified by the Local Finance Committee is as follows:</t>
  </si>
  <si>
    <t>-over-</t>
  </si>
  <si>
    <t>EXCERPTS FROM THE MINUTES OF THE REGULAR SESSION OF THE SANGGUNIANG BAYAN OF ASINGAN HELD ON NOVEMBER 8, 2021 AT THE ASINGAN GOVERNMENT CENTER SESSION HALL.</t>
  </si>
  <si>
    <t xml:space="preserve">                   4. Hon. Mel F. Lopez</t>
  </si>
  <si>
    <t xml:space="preserve">                   5. Hon. Johnny Mar A. Carig</t>
  </si>
  <si>
    <t xml:space="preserve">                   6. Hon. Jesus V. Pico</t>
  </si>
  <si>
    <t xml:space="preserve">                   7. Hon. Mark E. Abella</t>
  </si>
  <si>
    <t xml:space="preserve">                   8. Hon. Melchor J. Cardinez, Sr.</t>
  </si>
  <si>
    <t xml:space="preserve">                   9. Hon. Joselito V. Viray</t>
  </si>
  <si>
    <t xml:space="preserve">                 10. Hon. Leticia R. Dollente</t>
  </si>
  <si>
    <t xml:space="preserve">                 11. Hon. Fiel Xymond R. Cardinez</t>
  </si>
  <si>
    <t xml:space="preserve">                    " (PPSK President)</t>
  </si>
  <si>
    <t xml:space="preserve">ABSENT:   NONE               </t>
  </si>
  <si>
    <t>APPROPRIATION ORDINANCE NO. 5</t>
  </si>
  <si>
    <t>Series of 2021</t>
  </si>
  <si>
    <t>AN ORDINANCE ENACTING THE GENERAL FUND-LOCAL ECONOMIC ENTERPRISE FOR THE OPERATION OF THE MUNICIPAL GOVERNMENT OF ASINGAN, PANGASINAN DURING THE PERIOD JANUARY 1, 2022 TO DECEMBER 31, 2022 AND PROVIDING APPROPRIATIONS THEREOF</t>
  </si>
  <si>
    <t>Page 2</t>
  </si>
  <si>
    <t>------------------------</t>
  </si>
  <si>
    <t>A1. Budget of Expenditures and Sources of Financing: (General)</t>
  </si>
  <si>
    <t>Appro. Ord. No. 5</t>
  </si>
  <si>
    <t>Page 3</t>
  </si>
  <si>
    <t>A2. Budget of Expenditures and Sources of Financing: (Market)</t>
  </si>
  <si>
    <t>Section II. Expenditure Program - The following sums or so much thereof as may be necessary, are appropriated out of the General Fund referred to in Section 1 hereof for the operation of the Municipality of Asingan, Pangasinan during the period January 1, 2022 to December 31, 2022 except where otherwise provided for:</t>
  </si>
  <si>
    <t>--------------------------------------------------------------------------------------------------------------------------------------------------------------------------------------------</t>
  </si>
  <si>
    <t>Page 4</t>
  </si>
  <si>
    <t>Office of the Municipal Mayor (1011) - The maintenance and operation of the executive management services, including general administration formulation of policies, planning and coordination and execution of municipal plans and programs, supervision, management and direction of municipal offices.</t>
  </si>
  <si>
    <t>Page 5</t>
  </si>
  <si>
    <t>Office of the Sangguniang Bayan (1021) - The maintenance and operation of the legislative services.</t>
  </si>
  <si>
    <t>Page 6</t>
  </si>
  <si>
    <t>C.</t>
  </si>
  <si>
    <t>Office of the Municipal Planning and Development Coordinator (1041) - The maintenance and operation of the planning and development services.</t>
  </si>
  <si>
    <t>Page 7</t>
  </si>
  <si>
    <t>D.</t>
  </si>
  <si>
    <t>Office of the Municipal Civil Registrar (1051) - The maintenance and operation of the civil registration services.</t>
  </si>
  <si>
    <t>Page 8</t>
  </si>
  <si>
    <t>E.</t>
  </si>
  <si>
    <t>Office of the Municipal Budget Officer (1071) - The maintenance and operation of the municipal budget services.</t>
  </si>
  <si>
    <t>Page 9</t>
  </si>
  <si>
    <t>F.</t>
  </si>
  <si>
    <t>Office of the Municipal Accountant (1081) - The maintenance and operation of the municipal accounting services.</t>
  </si>
  <si>
    <t>Page 10</t>
  </si>
  <si>
    <t>G.</t>
  </si>
  <si>
    <t>Office of the Municipal Treasurer (1091) - The maintenance and operation of the municipal treasury services.</t>
  </si>
  <si>
    <t>Page 11</t>
  </si>
  <si>
    <t>H.</t>
  </si>
  <si>
    <t>Office of the Municipal Assessor (1101) - The maintenance and operation of the municipal assessment services.</t>
  </si>
  <si>
    <t>Page 12</t>
  </si>
  <si>
    <t>Office of the Municipal Engineer (8751) - The maintenance and operation of the municipal engineering services.</t>
  </si>
  <si>
    <t>Page 13</t>
  </si>
  <si>
    <t>J.</t>
  </si>
  <si>
    <t>Office of the Municipal Social Welfare and Development (7611) - The maintenance and operation of the social welfare and development services.</t>
  </si>
  <si>
    <t>Page 14</t>
  </si>
  <si>
    <t>K.</t>
  </si>
  <si>
    <t>Office of the Municipal Agriculturist (8711) - The maintenance and operation of the municipal agricultural services.</t>
  </si>
  <si>
    <t>Page 15</t>
  </si>
  <si>
    <t>L.</t>
  </si>
  <si>
    <t>Office of the Municipal Health Officer (4411-1) - The maintenance and operation of the municipal health services.</t>
  </si>
  <si>
    <t>Page 16</t>
  </si>
  <si>
    <t>M.</t>
  </si>
  <si>
    <t>Office of the Municipal Health Officer (4411-2)</t>
  </si>
  <si>
    <t>Page 17</t>
  </si>
  <si>
    <t>N.</t>
  </si>
  <si>
    <t>Office of the Local Disaster Risk Reduction Management Officer (9998-1) -  The maintenance and operation of the local disaster risk reduction management services.</t>
  </si>
  <si>
    <t>-----------------------------------------------------------------------------------------------------------------------------------------------------------------------------------------------------------------</t>
  </si>
  <si>
    <t>Page 18</t>
  </si>
  <si>
    <t>O.        Special Purpose Appropriations</t>
  </si>
  <si>
    <t>Page 19</t>
  </si>
  <si>
    <t>Page 20</t>
  </si>
  <si>
    <t>P.</t>
  </si>
  <si>
    <t>Economic Enterprise Management - Market (8811)</t>
  </si>
  <si>
    <t>Page 21</t>
  </si>
  <si>
    <t>---------------------------------------------------------------------------------------------------------------------------------------------------------------------------------------------------------</t>
  </si>
  <si>
    <t>---------------------------</t>
  </si>
  <si>
    <t>Office</t>
  </si>
  <si>
    <t xml:space="preserve">Personal </t>
  </si>
  <si>
    <t>Financial</t>
  </si>
  <si>
    <t>Services</t>
  </si>
  <si>
    <t>Expenses</t>
  </si>
  <si>
    <t>a</t>
  </si>
  <si>
    <t>.</t>
  </si>
  <si>
    <t>b</t>
  </si>
  <si>
    <t>c</t>
  </si>
  <si>
    <t>d</t>
  </si>
  <si>
    <t>e</t>
  </si>
  <si>
    <t>f</t>
  </si>
  <si>
    <t>g</t>
  </si>
  <si>
    <t>h</t>
  </si>
  <si>
    <t>i</t>
  </si>
  <si>
    <t>j</t>
  </si>
  <si>
    <t>k</t>
  </si>
  <si>
    <t>l</t>
  </si>
  <si>
    <t>m</t>
  </si>
  <si>
    <t>n</t>
  </si>
  <si>
    <t>o</t>
  </si>
  <si>
    <t>Special Purpose Appropriations</t>
  </si>
  <si>
    <t>p</t>
  </si>
  <si>
    <t>Local Economic Enterprise-Market</t>
  </si>
  <si>
    <t>q</t>
  </si>
  <si>
    <t>Special Purpose Appropriation (5% LDRRMF)</t>
  </si>
  <si>
    <r>
      <t xml:space="preserve">For this purpose </t>
    </r>
    <r>
      <rPr>
        <b/>
        <sz val="12"/>
        <rFont val="Arial "/>
      </rPr>
      <t xml:space="preserve">"savings" </t>
    </r>
    <r>
      <rPr>
        <sz val="12"/>
        <rFont val="Arial "/>
      </rPr>
      <t>refer to portions or balances of any programmed appropriation free from any obligation or encumbrance, still available after the satisfactory completion or unavoidable discontinuance or abandonment of the work, activity or purpose for which the appropriation is authorized.</t>
    </r>
  </si>
  <si>
    <r>
      <rPr>
        <b/>
        <sz val="12"/>
        <rFont val="Arial "/>
      </rPr>
      <t xml:space="preserve">"Augmentation" </t>
    </r>
    <r>
      <rPr>
        <sz val="12"/>
        <rFont val="Arial "/>
      </rPr>
      <t>implies the existence in the budget of an item, project, activity or purpose with an appropriation which, upon implementation or subsequent evaluation of needed sources, is determined to be deficient.</t>
    </r>
  </si>
  <si>
    <t>Section IV. Priority in the use of Personal Service Savings. Priority shall be given to the personnel benefits of local employees in the use or personal service savings.</t>
  </si>
  <si>
    <t>Section V. Separability Clause. If for any reason, any Section or provision of this Appropriation Ordinance or disallowed in Budget Review or declared invalid by proper authorities, other Sections or provisions hereof that are not affected thereby, shall continue to be in full force and effect.</t>
  </si>
  <si>
    <t>Section VI. Dissemination. This ordinance shall be duly disseminated to all concerned, for immediate and proper action.</t>
  </si>
  <si>
    <t>24</t>
  </si>
  <si>
    <t>Page 22</t>
  </si>
  <si>
    <t>Q.    Summary of 2022 Proposed New Appropriations, by office</t>
  </si>
  <si>
    <t>Section III. Use of Savings and Augmentation: In accordance with Section 336 of Republic Act No. 7160, otherwise known as the Local Government Code of 1991, the Mayor and the Presiding Officer of the Sangguniang Bayan are authorized to augment any item in the approved annual budget for their respective offices from savings in other terms within the same expense class of their respective appropriations.</t>
  </si>
  <si>
    <t>Tel. No. (075) 523-2934</t>
  </si>
  <si>
    <t>---------------------------------------------------------------------------------------------------------------------------------------------------------</t>
  </si>
  <si>
    <t>Section VII. Effectivity Clause. This Ordinance shall take effect immediately upon approval by the Sangguniang Bayan, Asingan, Pangasinan.</t>
  </si>
  <si>
    <t>Secretary to the Sangguniang Bayan</t>
  </si>
  <si>
    <t>ATTESTED:</t>
  </si>
  <si>
    <t>HON. HEIDEE L. GANIGAN-CHUA</t>
  </si>
  <si>
    <t>MELCHOR J. CARDINEZ, SR.</t>
  </si>
  <si>
    <t>Municipal Councilor/Liga President</t>
  </si>
  <si>
    <t>Municipal Councilor/PPSK President</t>
  </si>
  <si>
    <t>APPROVED:</t>
  </si>
  <si>
    <t>Page 23</t>
  </si>
  <si>
    <r>
      <t xml:space="preserve">         </t>
    </r>
    <r>
      <rPr>
        <b/>
        <sz val="14"/>
        <rFont val="Arial "/>
      </rPr>
      <t xml:space="preserve"> I</t>
    </r>
    <r>
      <rPr>
        <sz val="14"/>
        <rFont val="Arial "/>
      </rPr>
      <t xml:space="preserve"> </t>
    </r>
    <r>
      <rPr>
        <b/>
        <sz val="14"/>
        <rFont val="Arial "/>
      </rPr>
      <t xml:space="preserve">HEREBY CERTIFY </t>
    </r>
    <r>
      <rPr>
        <sz val="14"/>
        <rFont val="Arial "/>
      </rPr>
      <t>to the correctness of the foregoing Appropriation Ordinance No. 5, Series of 2021, which was duly enacted by the Sangguniang Bayan thru a unanimous vote during its Regular Session held on November 8, 2021 as sponsored by Councilor Melchor J. Cardinez, Sr., upon motion by all Sangguniang Bayan members present.</t>
    </r>
  </si>
  <si>
    <t>23</t>
  </si>
  <si>
    <t>2020</t>
  </si>
  <si>
    <t>40</t>
  </si>
  <si>
    <t>41</t>
  </si>
  <si>
    <t xml:space="preserve">          WHEREAS, the Local Chief Executive submitted to the August Body the Annual Budget for CY 2022 including the income estimates in compliance with the provisions of Section 318 of Republic Act No. 7160 otherwise known as the Local Government Code of 1991;</t>
  </si>
  <si>
    <t>Conduct of Quarterly Meeting of ERPAT    ( Empowerment and Reaffirmation on Paternal Abilities) and Capability Building to ERPAT</t>
  </si>
  <si>
    <t>Capability Skills Development of Child Development Workers</t>
  </si>
  <si>
    <t>Conduct of Lectures in the Public High School to Children 13 to 14 years old children on the Effect of Vices</t>
  </si>
  <si>
    <t>Capability Building and Provision of Peer Group Service to member of Out of School Youth</t>
  </si>
  <si>
    <t>Financial Assistance to low income Solo Parents</t>
  </si>
  <si>
    <t>ERPAT members enhanced knowledge and skills on preventing and family relationship strengthen</t>
  </si>
  <si>
    <t>Barangay Officials and Day Care Parents Group became knowledgeable of their roles and functions in the Day Care implementation</t>
  </si>
  <si>
    <t>Quarterly meeting conducted and women are updated regarding the Women Program</t>
  </si>
  <si>
    <t>Ordinance # 36-S 2021</t>
  </si>
  <si>
    <t>Ordinance # 33-S 2021</t>
  </si>
  <si>
    <t>Ordinance # 34-S 2021</t>
  </si>
  <si>
    <t>Ordinance # 25-S 2021</t>
  </si>
  <si>
    <t>Ordinance # 20-S 2021</t>
  </si>
  <si>
    <t>Ordinance # 21-S 2021</t>
  </si>
  <si>
    <t>Ordinance # 22-S 2021</t>
  </si>
  <si>
    <t>Ordinance # 27-S 2021</t>
  </si>
  <si>
    <t>Ordinance # 23-S 2021</t>
  </si>
  <si>
    <t>Ordinance # 32-S 2021</t>
  </si>
  <si>
    <t>Ordinance # 28-S 2021</t>
  </si>
  <si>
    <t>Ordinance # 35-S 2021</t>
  </si>
  <si>
    <t>Ordinance # 30-S 2021</t>
  </si>
  <si>
    <t>Ordinance # 29-S 2021</t>
  </si>
  <si>
    <t>Ordinance # 24-S 2021</t>
  </si>
  <si>
    <t>Ordinance # 37-S 2021</t>
  </si>
  <si>
    <t>Ordinance # 31-S 2021</t>
  </si>
  <si>
    <t>Ordinance # 26-S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</si>
</sst>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d/yyyy;@"/>
    <numFmt numFmtId="165" formatCode="mm/dd/yy;@"/>
    <numFmt numFmtId="166" formatCode="#,##0.00\ ;&quot; (&quot;#,##0.00\);&quot; -&quot;#\ ;@\ "/>
  </numFmts>
  <fonts count="7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8"/>
      <name val="Arial Narrow"/>
      <family val="2"/>
    </font>
    <font>
      <b/>
      <sz val="10"/>
      <name val="Arial"/>
      <family val="2"/>
    </font>
    <font>
      <sz val="8"/>
      <name val="Arial"/>
      <family val="2"/>
    </font>
    <font>
      <b/>
      <sz val="11"/>
      <name val="Arial Narrow"/>
      <family val="2"/>
    </font>
    <font>
      <sz val="8"/>
      <name val="Arial Narrow"/>
      <family val="2"/>
    </font>
    <font>
      <sz val="10"/>
      <name val="Arial"/>
      <family val="2"/>
    </font>
    <font>
      <sz val="8"/>
      <name val="Arial"/>
      <family val="2"/>
    </font>
    <font>
      <sz val="11"/>
      <name val="Arial Narrow"/>
      <family val="2"/>
    </font>
    <font>
      <sz val="10"/>
      <name val="Bodoni MT Black"/>
      <family val="1"/>
    </font>
    <font>
      <sz val="12"/>
      <name val="Arial Narrow"/>
      <family val="2"/>
    </font>
    <font>
      <b/>
      <sz val="12"/>
      <name val="Arial Narrow"/>
      <family val="2"/>
    </font>
    <font>
      <b/>
      <sz val="12"/>
      <name val="Arial"/>
      <family val="2"/>
    </font>
    <font>
      <sz val="11"/>
      <color theme="1"/>
      <name val="Calibri"/>
      <family val="2"/>
      <scheme val="minor"/>
    </font>
    <font>
      <b/>
      <sz val="16"/>
      <name val="Arial Narrow"/>
      <family val="2"/>
    </font>
    <font>
      <sz val="16"/>
      <name val="Arial Narrow"/>
      <family val="2"/>
    </font>
    <font>
      <b/>
      <u/>
      <sz val="18"/>
      <name val="Arial"/>
      <family val="2"/>
    </font>
    <font>
      <b/>
      <u/>
      <sz val="12"/>
      <name val="Arial"/>
      <family val="2"/>
    </font>
    <font>
      <b/>
      <u/>
      <sz val="11"/>
      <name val="Arial"/>
      <family val="2"/>
    </font>
    <font>
      <b/>
      <sz val="12"/>
      <color theme="1"/>
      <name val="Arial Narrow"/>
      <family val="2"/>
    </font>
    <font>
      <sz val="12"/>
      <color theme="1"/>
      <name val="Arial Narrow"/>
      <family val="2"/>
    </font>
    <font>
      <sz val="12"/>
      <color theme="1"/>
      <name val="Arial"/>
      <family val="2"/>
    </font>
    <font>
      <b/>
      <sz val="10"/>
      <color theme="1"/>
      <name val="Arial Narrow"/>
      <family val="2"/>
    </font>
    <font>
      <sz val="10"/>
      <color theme="1"/>
      <name val="Arial"/>
      <family val="2"/>
    </font>
    <font>
      <sz val="10"/>
      <color theme="1"/>
      <name val="Arial Narrow"/>
      <family val="2"/>
    </font>
    <font>
      <b/>
      <sz val="12"/>
      <color theme="1"/>
      <name val="Arial"/>
      <family val="2"/>
    </font>
    <font>
      <b/>
      <sz val="10"/>
      <color theme="1"/>
      <name val="Arial"/>
      <family val="2"/>
    </font>
    <font>
      <b/>
      <sz val="18"/>
      <color theme="1"/>
      <name val="Arial Narrow"/>
      <family val="2"/>
    </font>
    <font>
      <sz val="18"/>
      <color theme="1"/>
      <name val="Arial"/>
      <family val="2"/>
    </font>
    <font>
      <b/>
      <sz val="16"/>
      <color theme="1"/>
      <name val="Arial Narrow"/>
      <family val="2"/>
    </font>
    <font>
      <sz val="8"/>
      <color theme="1"/>
      <name val="Arial"/>
      <family val="2"/>
    </font>
    <font>
      <sz val="11"/>
      <color theme="1"/>
      <name val="Arial Narrow"/>
      <family val="2"/>
    </font>
    <font>
      <b/>
      <sz val="11"/>
      <color theme="1"/>
      <name val="Arial Narrow"/>
      <family val="2"/>
    </font>
    <font>
      <sz val="9"/>
      <color theme="1"/>
      <name val="Arial"/>
      <family val="2"/>
    </font>
    <font>
      <b/>
      <u/>
      <sz val="11"/>
      <color theme="1"/>
      <name val="Arial Narrow"/>
      <family val="2"/>
    </font>
    <font>
      <u/>
      <sz val="12"/>
      <color theme="1"/>
      <name val="Arial Narrow"/>
      <family val="2"/>
    </font>
    <font>
      <b/>
      <sz val="9"/>
      <color theme="1"/>
      <name val="Arial"/>
      <family val="2"/>
    </font>
    <font>
      <sz val="9"/>
      <color theme="1"/>
      <name val="Arial Narrow"/>
      <family val="2"/>
    </font>
    <font>
      <sz val="7"/>
      <color theme="1"/>
      <name val="Arial"/>
      <family val="2"/>
    </font>
    <font>
      <b/>
      <sz val="18"/>
      <name val="Arial Narrow"/>
      <family val="2"/>
    </font>
    <font>
      <sz val="18"/>
      <name val="Arial"/>
      <family val="2"/>
    </font>
    <font>
      <b/>
      <sz val="14"/>
      <name val="Arial Narrow"/>
      <family val="2"/>
    </font>
    <font>
      <b/>
      <sz val="11"/>
      <name val="Arial Black"/>
      <family val="2"/>
    </font>
    <font>
      <sz val="8"/>
      <name val="Verdana"/>
      <family val="2"/>
    </font>
    <font>
      <sz val="11"/>
      <color indexed="8"/>
      <name val="Calibri"/>
      <family val="2"/>
    </font>
    <font>
      <i/>
      <sz val="11"/>
      <name val="Arial Narrow"/>
      <family val="2"/>
    </font>
    <font>
      <b/>
      <sz val="11"/>
      <color theme="1"/>
      <name val="Berlin Sans FB Demi"/>
      <family val="2"/>
    </font>
    <font>
      <sz val="11"/>
      <color theme="1"/>
      <name val="Berlin Sans FB Demi"/>
      <family val="2"/>
    </font>
    <font>
      <i/>
      <sz val="11"/>
      <color theme="1"/>
      <name val="Arial Narrow"/>
      <family val="2"/>
    </font>
    <font>
      <sz val="11"/>
      <name val="Calibri"/>
      <family val="2"/>
    </font>
    <font>
      <b/>
      <sz val="10"/>
      <name val="Arial Narrow"/>
      <family val="2"/>
    </font>
    <font>
      <sz val="7"/>
      <name val="Arial"/>
      <family val="2"/>
    </font>
    <font>
      <b/>
      <sz val="18"/>
      <name val="Arial"/>
      <family val="2"/>
    </font>
    <font>
      <i/>
      <sz val="10"/>
      <name val="Arial Narrow"/>
      <family val="2"/>
    </font>
    <font>
      <i/>
      <sz val="10"/>
      <name val="Arial"/>
      <family val="2"/>
    </font>
    <font>
      <sz val="12"/>
      <name val="Arial"/>
      <family val="2"/>
    </font>
    <font>
      <b/>
      <sz val="8"/>
      <name val="Arial"/>
      <family val="2"/>
    </font>
    <font>
      <i/>
      <sz val="9"/>
      <name val="Arial Narrow"/>
      <family val="2"/>
    </font>
    <font>
      <i/>
      <sz val="12"/>
      <name val="Arial"/>
      <family val="2"/>
    </font>
    <font>
      <i/>
      <sz val="12"/>
      <name val="Arial Narrow"/>
      <family val="2"/>
    </font>
    <font>
      <sz val="10"/>
      <name val="Arial"/>
      <family val="2"/>
    </font>
    <font>
      <sz val="14"/>
      <color theme="1"/>
      <name val="Arial"/>
      <family val="2"/>
    </font>
    <font>
      <b/>
      <sz val="16"/>
      <color theme="1"/>
      <name val="Arial"/>
      <family val="2"/>
    </font>
    <font>
      <b/>
      <sz val="14"/>
      <color theme="1"/>
      <name val="Arial"/>
      <family val="2"/>
    </font>
    <font>
      <b/>
      <sz val="18"/>
      <color theme="1"/>
      <name val="Arial"/>
      <family val="2"/>
    </font>
    <font>
      <sz val="12"/>
      <name val="Arial "/>
    </font>
    <font>
      <b/>
      <sz val="12"/>
      <name val="Arial "/>
    </font>
    <font>
      <sz val="12"/>
      <color theme="1"/>
      <name val="Arial "/>
    </font>
    <font>
      <b/>
      <sz val="14"/>
      <color theme="1"/>
      <name val="Arial "/>
    </font>
    <font>
      <b/>
      <sz val="12"/>
      <color theme="1"/>
      <name val="Arial "/>
    </font>
    <font>
      <sz val="14"/>
      <color theme="1"/>
      <name val="Arial "/>
    </font>
    <font>
      <sz val="14"/>
      <name val="Arial "/>
    </font>
    <font>
      <b/>
      <sz val="14"/>
      <name val="Arial "/>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66FF"/>
        <bgColor indexed="64"/>
      </patternFill>
    </fill>
  </fills>
  <borders count="6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theme="0" tint="-0.24994659260841701"/>
      </top>
      <bottom style="thin">
        <color theme="0" tint="-0.24994659260841701"/>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11" fillId="0" borderId="0" applyFont="0" applyFill="0" applyBorder="0" applyAlignment="0" applyProtection="0"/>
    <xf numFmtId="43" fontId="18" fillId="0" borderId="0" applyFont="0" applyFill="0" applyBorder="0" applyAlignment="0" applyProtection="0"/>
    <xf numFmtId="0" fontId="11" fillId="0" borderId="0"/>
    <xf numFmtId="0" fontId="18"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49" fillId="0" borderId="0"/>
    <xf numFmtId="0" fontId="2" fillId="0" borderId="0"/>
    <xf numFmtId="43" fontId="2" fillId="0" borderId="0" applyFont="0" applyFill="0" applyBorder="0" applyAlignment="0" applyProtection="0"/>
    <xf numFmtId="0" fontId="65" fillId="0" borderId="0"/>
    <xf numFmtId="43" fontId="1" fillId="0" borderId="0" applyFont="0" applyFill="0" applyBorder="0" applyAlignment="0" applyProtection="0"/>
    <xf numFmtId="0" fontId="4" fillId="0" borderId="0"/>
    <xf numFmtId="0" fontId="1" fillId="0" borderId="0"/>
  </cellStyleXfs>
  <cellXfs count="1497">
    <xf numFmtId="0" fontId="0" fillId="0" borderId="0" xfId="0"/>
    <xf numFmtId="0" fontId="5" fillId="0" borderId="0" xfId="0" applyFont="1"/>
    <xf numFmtId="0" fontId="7" fillId="0" borderId="0" xfId="0" applyFont="1" applyAlignment="1">
      <alignment horizontal="center"/>
    </xf>
    <xf numFmtId="0" fontId="0" fillId="0" borderId="0" xfId="0" applyBorder="1"/>
    <xf numFmtId="0" fontId="0" fillId="0" borderId="5" xfId="0" applyBorder="1"/>
    <xf numFmtId="0" fontId="0" fillId="0" borderId="7" xfId="0" applyBorder="1"/>
    <xf numFmtId="0" fontId="11" fillId="0" borderId="0" xfId="0" applyFont="1"/>
    <xf numFmtId="0" fontId="7" fillId="0" borderId="0" xfId="0" applyFont="1"/>
    <xf numFmtId="0" fontId="11" fillId="0" borderId="0" xfId="0" applyFont="1" applyAlignment="1"/>
    <xf numFmtId="0" fontId="7" fillId="0" borderId="0" xfId="0" applyFont="1" applyAlignment="1"/>
    <xf numFmtId="43" fontId="11" fillId="0" borderId="0" xfId="1" applyFont="1"/>
    <xf numFmtId="43" fontId="11" fillId="0" borderId="12" xfId="1" applyFont="1" applyBorder="1"/>
    <xf numFmtId="43" fontId="7" fillId="0" borderId="13" xfId="1" applyFont="1" applyBorder="1"/>
    <xf numFmtId="43" fontId="7" fillId="0" borderId="14" xfId="1" applyFont="1" applyBorder="1"/>
    <xf numFmtId="0" fontId="11" fillId="0" borderId="0" xfId="0" applyFont="1" applyAlignment="1">
      <alignment horizontal="left"/>
    </xf>
    <xf numFmtId="0" fontId="7" fillId="0" borderId="0" xfId="0" applyFont="1" applyAlignment="1">
      <alignment horizontal="left"/>
    </xf>
    <xf numFmtId="43" fontId="11" fillId="0" borderId="0" xfId="1" applyFont="1" applyBorder="1"/>
    <xf numFmtId="43" fontId="7" fillId="0" borderId="0" xfId="1" applyFont="1" applyBorder="1"/>
    <xf numFmtId="0" fontId="11" fillId="0" borderId="0" xfId="0" applyFont="1" applyBorder="1"/>
    <xf numFmtId="0" fontId="7" fillId="0" borderId="0" xfId="0" applyFont="1" applyBorder="1"/>
    <xf numFmtId="43" fontId="7" fillId="0" borderId="15" xfId="1" applyFont="1" applyBorder="1"/>
    <xf numFmtId="43" fontId="11" fillId="0" borderId="0" xfId="0" applyNumberFormat="1" applyFont="1"/>
    <xf numFmtId="0" fontId="12" fillId="0" borderId="0" xfId="0" applyFont="1"/>
    <xf numFmtId="43" fontId="7" fillId="0" borderId="13" xfId="0" applyNumberFormat="1" applyFont="1" applyBorder="1"/>
    <xf numFmtId="43" fontId="7" fillId="0" borderId="0" xfId="0" applyNumberFormat="1" applyFont="1"/>
    <xf numFmtId="43" fontId="7" fillId="0" borderId="16" xfId="0" applyNumberFormat="1" applyFont="1" applyBorder="1"/>
    <xf numFmtId="0" fontId="0" fillId="0" borderId="2" xfId="0" applyBorder="1"/>
    <xf numFmtId="49" fontId="0" fillId="0" borderId="0" xfId="0" applyNumberFormat="1"/>
    <xf numFmtId="43" fontId="0" fillId="0" borderId="0" xfId="1" applyFont="1"/>
    <xf numFmtId="43" fontId="0" fillId="0" borderId="0" xfId="0" applyNumberFormat="1"/>
    <xf numFmtId="43" fontId="11" fillId="0" borderId="17" xfId="1" applyFont="1" applyBorder="1"/>
    <xf numFmtId="43" fontId="7" fillId="0" borderId="16" xfId="1" applyFont="1" applyBorder="1"/>
    <xf numFmtId="43" fontId="7" fillId="0" borderId="18" xfId="1" applyFont="1" applyBorder="1"/>
    <xf numFmtId="0" fontId="11" fillId="0" borderId="0" xfId="0" quotePrefix="1" applyFont="1" applyAlignment="1">
      <alignment horizontal="fill"/>
    </xf>
    <xf numFmtId="0" fontId="11" fillId="0" borderId="0" xfId="0" quotePrefix="1" applyFont="1" applyAlignment="1">
      <alignment horizontal="right"/>
    </xf>
    <xf numFmtId="43" fontId="7" fillId="0" borderId="0" xfId="1" applyFont="1"/>
    <xf numFmtId="43" fontId="7" fillId="0" borderId="12" xfId="1" applyFont="1" applyBorder="1"/>
    <xf numFmtId="43" fontId="7" fillId="0" borderId="16" xfId="1" quotePrefix="1" applyFont="1" applyBorder="1" applyAlignment="1">
      <alignment horizontal="center"/>
    </xf>
    <xf numFmtId="43" fontId="0" fillId="0" borderId="12" xfId="0" applyNumberFormat="1" applyBorder="1"/>
    <xf numFmtId="43" fontId="7" fillId="0" borderId="18" xfId="0" applyNumberFormat="1" applyFont="1" applyBorder="1"/>
    <xf numFmtId="0" fontId="11" fillId="0" borderId="0" xfId="0" quotePrefix="1" applyFont="1"/>
    <xf numFmtId="4" fontId="0" fillId="0" borderId="0" xfId="0" applyNumberFormat="1"/>
    <xf numFmtId="4" fontId="0" fillId="0" borderId="12" xfId="0" applyNumberFormat="1" applyBorder="1"/>
    <xf numFmtId="4" fontId="11" fillId="0" borderId="16" xfId="0" applyNumberFormat="1" applyFont="1" applyBorder="1"/>
    <xf numFmtId="4" fontId="11" fillId="0" borderId="0" xfId="0" applyNumberFormat="1" applyFont="1" applyAlignment="1">
      <alignment horizontal="center"/>
    </xf>
    <xf numFmtId="4" fontId="0" fillId="0" borderId="18" xfId="0" applyNumberFormat="1" applyBorder="1"/>
    <xf numFmtId="4" fontId="7" fillId="0" borderId="18" xfId="0" applyNumberFormat="1" applyFont="1" applyBorder="1"/>
    <xf numFmtId="0" fontId="11" fillId="0" borderId="0" xfId="0" applyFont="1" applyAlignment="1">
      <alignment horizontal="center"/>
    </xf>
    <xf numFmtId="43" fontId="0" fillId="0" borderId="0" xfId="0" applyNumberFormat="1" applyBorder="1"/>
    <xf numFmtId="43" fontId="11" fillId="0" borderId="12" xfId="0" quotePrefix="1" applyNumberFormat="1" applyFont="1" applyBorder="1" applyAlignment="1">
      <alignment horizontal="center"/>
    </xf>
    <xf numFmtId="4" fontId="0" fillId="0" borderId="0" xfId="0" applyNumberFormat="1" applyBorder="1"/>
    <xf numFmtId="0" fontId="11" fillId="0" borderId="0" xfId="0" applyFont="1" applyAlignment="1">
      <alignment horizontal="right"/>
    </xf>
    <xf numFmtId="0" fontId="14" fillId="0" borderId="0" xfId="0" applyFont="1" applyAlignment="1">
      <alignment horizontal="center"/>
    </xf>
    <xf numFmtId="4" fontId="11" fillId="0" borderId="0" xfId="0" applyNumberFormat="1" applyFont="1"/>
    <xf numFmtId="4" fontId="11" fillId="0" borderId="12" xfId="0" applyNumberFormat="1" applyFont="1" applyBorder="1"/>
    <xf numFmtId="0" fontId="7" fillId="0" borderId="5" xfId="0" applyFont="1" applyBorder="1"/>
    <xf numFmtId="0" fontId="7" fillId="0" borderId="6" xfId="0" applyFont="1" applyBorder="1" applyAlignment="1">
      <alignment horizontal="center"/>
    </xf>
    <xf numFmtId="0" fontId="0" fillId="0" borderId="1" xfId="0" applyBorder="1"/>
    <xf numFmtId="0" fontId="0" fillId="0" borderId="12" xfId="0" applyBorder="1"/>
    <xf numFmtId="0" fontId="7" fillId="0" borderId="28" xfId="0" applyFont="1" applyBorder="1"/>
    <xf numFmtId="0" fontId="7" fillId="0" borderId="27" xfId="0" applyFont="1" applyBorder="1"/>
    <xf numFmtId="0" fontId="7" fillId="0" borderId="0" xfId="0" applyFont="1" applyBorder="1" applyAlignment="1">
      <alignment horizontal="center"/>
    </xf>
    <xf numFmtId="0" fontId="7" fillId="0" borderId="9" xfId="0" applyFont="1" applyBorder="1"/>
    <xf numFmtId="0" fontId="0" fillId="0" borderId="3" xfId="0" applyBorder="1"/>
    <xf numFmtId="0" fontId="7" fillId="0" borderId="1" xfId="0" applyFont="1" applyBorder="1"/>
    <xf numFmtId="0" fontId="7" fillId="0" borderId="2" xfId="0" applyFont="1" applyBorder="1" applyAlignment="1">
      <alignment horizontal="center"/>
    </xf>
    <xf numFmtId="0" fontId="7" fillId="0" borderId="2" xfId="0" applyFont="1" applyBorder="1"/>
    <xf numFmtId="0" fontId="7" fillId="0" borderId="1" xfId="0" applyFont="1" applyBorder="1" applyAlignment="1">
      <alignment horizontal="center"/>
    </xf>
    <xf numFmtId="0" fontId="8" fillId="0" borderId="7" xfId="0" applyFont="1" applyBorder="1" applyAlignment="1">
      <alignment horizontal="center"/>
    </xf>
    <xf numFmtId="0" fontId="8" fillId="0" borderId="3" xfId="0" applyFont="1" applyBorder="1" applyAlignment="1">
      <alignment horizontal="center"/>
    </xf>
    <xf numFmtId="0" fontId="8" fillId="0" borderId="12" xfId="0" applyFont="1" applyBorder="1" applyAlignment="1">
      <alignment horizontal="center"/>
    </xf>
    <xf numFmtId="0" fontId="8" fillId="0" borderId="26" xfId="0" applyFont="1" applyBorder="1" applyAlignment="1">
      <alignment horizontal="center"/>
    </xf>
    <xf numFmtId="0" fontId="8" fillId="0" borderId="0" xfId="0" applyFont="1" applyAlignment="1">
      <alignment horizontal="center"/>
    </xf>
    <xf numFmtId="0" fontId="0" fillId="0" borderId="17" xfId="0" applyBorder="1"/>
    <xf numFmtId="0" fontId="0" fillId="0" borderId="29" xfId="0" applyBorder="1"/>
    <xf numFmtId="0" fontId="7" fillId="0" borderId="30" xfId="0" applyFont="1" applyBorder="1" applyAlignment="1">
      <alignment horizontal="center"/>
    </xf>
    <xf numFmtId="0" fontId="0" fillId="0" borderId="31" xfId="0" applyBorder="1" applyAlignment="1">
      <alignment horizontal="center"/>
    </xf>
    <xf numFmtId="49" fontId="11" fillId="0" borderId="0" xfId="0" applyNumberFormat="1" applyFont="1"/>
    <xf numFmtId="49" fontId="0" fillId="0" borderId="20" xfId="0" applyNumberFormat="1" applyBorder="1"/>
    <xf numFmtId="49" fontId="7" fillId="0" borderId="22" xfId="0" applyNumberFormat="1" applyFont="1" applyBorder="1" applyAlignment="1">
      <alignment horizontal="center"/>
    </xf>
    <xf numFmtId="49" fontId="0" fillId="0" borderId="32" xfId="0" applyNumberFormat="1" applyBorder="1"/>
    <xf numFmtId="49" fontId="0" fillId="0" borderId="5" xfId="0" applyNumberFormat="1" applyBorder="1"/>
    <xf numFmtId="49" fontId="0" fillId="0" borderId="7" xfId="0" applyNumberFormat="1" applyBorder="1"/>
    <xf numFmtId="49" fontId="7" fillId="0" borderId="5" xfId="0" applyNumberFormat="1" applyFont="1" applyBorder="1"/>
    <xf numFmtId="49" fontId="0" fillId="0" borderId="17" xfId="0" applyNumberFormat="1" applyBorder="1"/>
    <xf numFmtId="49" fontId="7" fillId="0" borderId="0" xfId="0" applyNumberFormat="1" applyFont="1" applyBorder="1" applyAlignment="1">
      <alignment horizontal="center"/>
    </xf>
    <xf numFmtId="49" fontId="0" fillId="0" borderId="0" xfId="0" applyNumberFormat="1" applyBorder="1"/>
    <xf numFmtId="49" fontId="7" fillId="0" borderId="0" xfId="0" applyNumberFormat="1" applyFont="1" applyBorder="1"/>
    <xf numFmtId="49" fontId="0" fillId="0" borderId="12" xfId="0" applyNumberFormat="1" applyBorder="1"/>
    <xf numFmtId="49" fontId="11" fillId="0" borderId="0" xfId="0" applyNumberFormat="1" applyFont="1" applyBorder="1"/>
    <xf numFmtId="0" fontId="11" fillId="0" borderId="0" xfId="0" applyFont="1" applyFill="1" applyBorder="1"/>
    <xf numFmtId="0" fontId="0" fillId="0" borderId="0" xfId="0" applyFont="1" applyFill="1" applyBorder="1"/>
    <xf numFmtId="49" fontId="7" fillId="0" borderId="0" xfId="0" applyNumberFormat="1" applyFont="1"/>
    <xf numFmtId="49" fontId="7" fillId="0" borderId="0" xfId="0" applyNumberFormat="1" applyFont="1" applyAlignment="1">
      <alignment horizontal="center"/>
    </xf>
    <xf numFmtId="43" fontId="0" fillId="0" borderId="2" xfId="0" applyNumberFormat="1" applyBorder="1"/>
    <xf numFmtId="43" fontId="0" fillId="0" borderId="3" xfId="0" applyNumberFormat="1" applyBorder="1"/>
    <xf numFmtId="0" fontId="7" fillId="0" borderId="0" xfId="0" applyFont="1" applyFill="1" applyBorder="1"/>
    <xf numFmtId="43" fontId="7" fillId="0" borderId="2" xfId="0" applyNumberFormat="1" applyFont="1" applyBorder="1"/>
    <xf numFmtId="43" fontId="7" fillId="0" borderId="8" xfId="0" applyNumberFormat="1" applyFont="1" applyBorder="1"/>
    <xf numFmtId="43" fontId="7" fillId="0" borderId="11" xfId="0" applyNumberFormat="1" applyFont="1" applyBorder="1"/>
    <xf numFmtId="0" fontId="0" fillId="0" borderId="5" xfId="0" applyBorder="1" applyAlignment="1">
      <alignment horizontal="center"/>
    </xf>
    <xf numFmtId="0" fontId="0" fillId="0" borderId="2" xfId="0" applyBorder="1" applyAlignment="1">
      <alignment horizontal="center"/>
    </xf>
    <xf numFmtId="4" fontId="7" fillId="0" borderId="18" xfId="0" quotePrefix="1" applyNumberFormat="1" applyFont="1" applyBorder="1" applyAlignment="1">
      <alignment horizontal="right"/>
    </xf>
    <xf numFmtId="0" fontId="5" fillId="0" borderId="0" xfId="0" applyFont="1" applyAlignment="1">
      <alignment horizontal="center"/>
    </xf>
    <xf numFmtId="0" fontId="4" fillId="0" borderId="0" xfId="0" applyFont="1"/>
    <xf numFmtId="0" fontId="4" fillId="0" borderId="0" xfId="0" quotePrefix="1" applyFont="1"/>
    <xf numFmtId="0" fontId="23" fillId="0" borderId="0" xfId="0" applyFont="1" applyAlignment="1">
      <alignment horizontal="center"/>
    </xf>
    <xf numFmtId="49" fontId="11" fillId="0" borderId="0" xfId="0" applyNumberFormat="1" applyFont="1" applyAlignment="1">
      <alignment horizontal="center"/>
    </xf>
    <xf numFmtId="43" fontId="29" fillId="0" borderId="0" xfId="1" applyFont="1"/>
    <xf numFmtId="43" fontId="28" fillId="0" borderId="0" xfId="1" applyFont="1" applyBorder="1"/>
    <xf numFmtId="0" fontId="27" fillId="0" borderId="0" xfId="6" applyFont="1"/>
    <xf numFmtId="0" fontId="29" fillId="0" borderId="0" xfId="6" applyFont="1"/>
    <xf numFmtId="49" fontId="29" fillId="0" borderId="0" xfId="6" applyNumberFormat="1" applyFont="1"/>
    <xf numFmtId="43" fontId="29" fillId="0" borderId="0" xfId="7" applyFont="1"/>
    <xf numFmtId="43" fontId="27" fillId="0" borderId="0" xfId="7" applyFont="1" applyAlignment="1">
      <alignment horizontal="right"/>
    </xf>
    <xf numFmtId="43" fontId="38" fillId="0" borderId="0" xfId="1" applyFont="1"/>
    <xf numFmtId="43" fontId="28" fillId="0" borderId="0" xfId="1" applyFont="1"/>
    <xf numFmtId="0" fontId="38" fillId="0" borderId="0" xfId="6" applyFont="1"/>
    <xf numFmtId="0" fontId="28" fillId="0" borderId="0" xfId="6" applyFont="1"/>
    <xf numFmtId="0" fontId="29" fillId="0" borderId="0" xfId="6" applyFont="1" applyBorder="1" applyAlignment="1">
      <alignment horizontal="center"/>
    </xf>
    <xf numFmtId="43" fontId="31" fillId="0" borderId="0" xfId="1" applyFont="1" applyAlignment="1">
      <alignment horizontal="center"/>
    </xf>
    <xf numFmtId="0" fontId="27" fillId="0" borderId="34" xfId="6" applyFont="1" applyBorder="1" applyAlignment="1">
      <alignment horizontal="center"/>
    </xf>
    <xf numFmtId="43" fontId="29" fillId="0" borderId="35" xfId="7" applyFont="1" applyBorder="1" applyAlignment="1">
      <alignment horizontal="center"/>
    </xf>
    <xf numFmtId="0" fontId="27" fillId="0" borderId="45" xfId="6" applyFont="1" applyBorder="1" applyAlignment="1">
      <alignment horizontal="center"/>
    </xf>
    <xf numFmtId="43" fontId="27" fillId="0" borderId="36" xfId="7" applyFont="1" applyBorder="1" applyAlignment="1">
      <alignment horizontal="center"/>
    </xf>
    <xf numFmtId="0" fontId="27" fillId="0" borderId="22" xfId="6" applyFont="1" applyBorder="1" applyAlignment="1">
      <alignment horizontal="center"/>
    </xf>
    <xf numFmtId="0" fontId="27" fillId="0" borderId="6" xfId="6" applyFont="1" applyBorder="1"/>
    <xf numFmtId="0" fontId="27" fillId="0" borderId="2" xfId="6" applyFont="1" applyBorder="1" applyAlignment="1">
      <alignment horizontal="center"/>
    </xf>
    <xf numFmtId="49" fontId="27" fillId="0" borderId="27" xfId="6" applyNumberFormat="1" applyFont="1" applyBorder="1" applyAlignment="1">
      <alignment horizontal="center"/>
    </xf>
    <xf numFmtId="43" fontId="27" fillId="0" borderId="1" xfId="7" applyFont="1" applyBorder="1" applyAlignment="1">
      <alignment horizontal="center"/>
    </xf>
    <xf numFmtId="0" fontId="29" fillId="0" borderId="24" xfId="6" applyFont="1" applyBorder="1" applyAlignment="1">
      <alignment horizontal="center"/>
    </xf>
    <xf numFmtId="0" fontId="29" fillId="0" borderId="38" xfId="6" applyFont="1" applyBorder="1" applyAlignment="1">
      <alignment horizontal="center"/>
    </xf>
    <xf numFmtId="0" fontId="29" fillId="0" borderId="39" xfId="6" applyFont="1" applyBorder="1" applyAlignment="1">
      <alignment horizontal="center"/>
    </xf>
    <xf numFmtId="0" fontId="29" fillId="0" borderId="5" xfId="6" applyFont="1" applyBorder="1" applyAlignment="1">
      <alignment horizontal="center"/>
    </xf>
    <xf numFmtId="0" fontId="29" fillId="0" borderId="6" xfId="6" applyFont="1" applyBorder="1"/>
    <xf numFmtId="0" fontId="29" fillId="0" borderId="2" xfId="6" applyFont="1" applyBorder="1"/>
    <xf numFmtId="49" fontId="28" fillId="0" borderId="0" xfId="6" applyNumberFormat="1" applyFont="1"/>
    <xf numFmtId="43" fontId="29" fillId="0" borderId="2" xfId="7" applyFont="1" applyBorder="1"/>
    <xf numFmtId="43" fontId="28" fillId="0" borderId="2" xfId="7" applyFont="1" applyBorder="1"/>
    <xf numFmtId="0" fontId="25" fillId="0" borderId="5" xfId="6" applyFont="1" applyBorder="1" applyAlignment="1">
      <alignment horizontal="left"/>
    </xf>
    <xf numFmtId="0" fontId="25" fillId="0" borderId="6" xfId="6" applyFont="1" applyBorder="1"/>
    <xf numFmtId="0" fontId="25" fillId="0" borderId="2" xfId="6" applyFont="1" applyBorder="1"/>
    <xf numFmtId="49" fontId="25" fillId="0" borderId="2" xfId="6" applyNumberFormat="1" applyFont="1" applyBorder="1" applyAlignment="1">
      <alignment horizontal="center"/>
    </xf>
    <xf numFmtId="43" fontId="25" fillId="0" borderId="2" xfId="7" applyFont="1" applyBorder="1"/>
    <xf numFmtId="43" fontId="25" fillId="0" borderId="2" xfId="7" quotePrefix="1" applyFont="1" applyBorder="1" applyAlignment="1">
      <alignment horizontal="center"/>
    </xf>
    <xf numFmtId="43" fontId="38" fillId="0" borderId="0" xfId="6" applyNumberFormat="1" applyFont="1"/>
    <xf numFmtId="0" fontId="26" fillId="0" borderId="0" xfId="6" applyFont="1"/>
    <xf numFmtId="0" fontId="40" fillId="0" borderId="5" xfId="6" applyFont="1" applyBorder="1" applyAlignment="1">
      <alignment horizontal="left"/>
    </xf>
    <xf numFmtId="0" fontId="40" fillId="0" borderId="6" xfId="6" applyFont="1" applyBorder="1" applyAlignment="1">
      <alignment horizontal="center"/>
    </xf>
    <xf numFmtId="14" fontId="25" fillId="0" borderId="2" xfId="7" applyNumberFormat="1" applyFont="1" applyBorder="1"/>
    <xf numFmtId="0" fontId="36" fillId="0" borderId="2" xfId="6" applyFont="1" applyBorder="1"/>
    <xf numFmtId="0" fontId="40" fillId="0" borderId="6" xfId="6" applyFont="1" applyBorder="1"/>
    <xf numFmtId="49" fontId="25" fillId="0" borderId="0" xfId="6" applyNumberFormat="1" applyFont="1" applyBorder="1" applyAlignment="1">
      <alignment horizontal="center"/>
    </xf>
    <xf numFmtId="165" fontId="25" fillId="0" borderId="2" xfId="7" applyNumberFormat="1" applyFont="1" applyBorder="1"/>
    <xf numFmtId="0" fontId="25" fillId="0" borderId="5" xfId="6" applyFont="1" applyBorder="1"/>
    <xf numFmtId="0" fontId="25" fillId="0" borderId="0" xfId="6" applyFont="1" applyBorder="1"/>
    <xf numFmtId="49" fontId="26" fillId="0" borderId="0" xfId="6" applyNumberFormat="1" applyFont="1"/>
    <xf numFmtId="0" fontId="24" fillId="0" borderId="10" xfId="6" applyFont="1" applyBorder="1"/>
    <xf numFmtId="0" fontId="24" fillId="0" borderId="18" xfId="6" applyFont="1" applyBorder="1" applyAlignment="1">
      <alignment horizontal="center"/>
    </xf>
    <xf numFmtId="0" fontId="24" fillId="0" borderId="18" xfId="6" applyFont="1" applyBorder="1"/>
    <xf numFmtId="0" fontId="24" fillId="0" borderId="40" xfId="6" applyFont="1" applyBorder="1"/>
    <xf numFmtId="0" fontId="24" fillId="0" borderId="11" xfId="6" applyFont="1" applyBorder="1" applyAlignment="1">
      <alignment horizontal="center"/>
    </xf>
    <xf numFmtId="0" fontId="24" fillId="0" borderId="11" xfId="6" applyFont="1" applyBorder="1"/>
    <xf numFmtId="43" fontId="24" fillId="0" borderId="11" xfId="6" applyNumberFormat="1" applyFont="1" applyBorder="1"/>
    <xf numFmtId="43" fontId="24" fillId="0" borderId="11" xfId="7" applyFont="1" applyBorder="1"/>
    <xf numFmtId="43" fontId="41" fillId="0" borderId="0" xfId="1" applyFont="1"/>
    <xf numFmtId="43" fontId="31" fillId="0" borderId="0" xfId="1" applyFont="1"/>
    <xf numFmtId="0" fontId="41" fillId="0" borderId="0" xfId="6" applyFont="1"/>
    <xf numFmtId="0" fontId="30" fillId="0" borderId="0" xfId="6" applyFont="1"/>
    <xf numFmtId="43" fontId="24" fillId="0" borderId="0" xfId="6" applyNumberFormat="1" applyFont="1" applyBorder="1"/>
    <xf numFmtId="43" fontId="25" fillId="0" borderId="0" xfId="7" applyFont="1" applyBorder="1"/>
    <xf numFmtId="43" fontId="24" fillId="0" borderId="0" xfId="7" applyFont="1" applyBorder="1"/>
    <xf numFmtId="49" fontId="25" fillId="0" borderId="0" xfId="6" applyNumberFormat="1" applyFont="1" applyBorder="1"/>
    <xf numFmtId="0" fontId="24" fillId="0" borderId="0" xfId="6" applyFont="1"/>
    <xf numFmtId="0" fontId="25" fillId="0" borderId="0" xfId="6" applyFont="1"/>
    <xf numFmtId="43" fontId="25" fillId="0" borderId="0" xfId="7" applyFont="1"/>
    <xf numFmtId="49" fontId="25" fillId="0" borderId="0" xfId="6" applyNumberFormat="1" applyFont="1"/>
    <xf numFmtId="0" fontId="24" fillId="0" borderId="0" xfId="6" applyFont="1" applyAlignment="1"/>
    <xf numFmtId="43" fontId="28" fillId="0" borderId="0" xfId="7" applyFont="1"/>
    <xf numFmtId="0" fontId="33" fillId="0" borderId="0" xfId="6" applyFont="1"/>
    <xf numFmtId="43" fontId="42" fillId="0" borderId="0" xfId="1" applyFont="1"/>
    <xf numFmtId="0" fontId="29" fillId="0" borderId="2" xfId="6" applyFont="1" applyBorder="1" applyAlignment="1">
      <alignment horizontal="center"/>
    </xf>
    <xf numFmtId="49" fontId="29" fillId="0" borderId="2" xfId="6" applyNumberFormat="1" applyFont="1" applyBorder="1" applyAlignment="1">
      <alignment horizontal="center"/>
    </xf>
    <xf numFmtId="0" fontId="25" fillId="0" borderId="2" xfId="6" applyFont="1" applyBorder="1" applyAlignment="1">
      <alignment horizontal="center"/>
    </xf>
    <xf numFmtId="0" fontId="25" fillId="0" borderId="2" xfId="6" quotePrefix="1" applyFont="1" applyBorder="1" applyAlignment="1">
      <alignment horizontal="center"/>
    </xf>
    <xf numFmtId="49" fontId="26" fillId="0" borderId="2" xfId="6" applyNumberFormat="1" applyFont="1" applyBorder="1"/>
    <xf numFmtId="0" fontId="24" fillId="0" borderId="10" xfId="6" applyFont="1" applyBorder="1" applyAlignment="1">
      <alignment horizontal="center"/>
    </xf>
    <xf numFmtId="49" fontId="24" fillId="0" borderId="11" xfId="6" applyNumberFormat="1" applyFont="1" applyBorder="1" applyAlignment="1">
      <alignment horizontal="center"/>
    </xf>
    <xf numFmtId="0" fontId="24" fillId="0" borderId="0" xfId="6" applyFont="1" applyBorder="1" applyAlignment="1">
      <alignment horizontal="center"/>
    </xf>
    <xf numFmtId="0" fontId="24" fillId="0" borderId="0" xfId="6" applyFont="1" applyBorder="1"/>
    <xf numFmtId="49" fontId="24" fillId="0" borderId="0" xfId="6" applyNumberFormat="1" applyFont="1" applyBorder="1" applyAlignment="1">
      <alignment horizontal="center"/>
    </xf>
    <xf numFmtId="43" fontId="38" fillId="0" borderId="0" xfId="1" applyFont="1" applyBorder="1"/>
    <xf numFmtId="0" fontId="38" fillId="0" borderId="0" xfId="6" applyFont="1" applyBorder="1"/>
    <xf numFmtId="0" fontId="26" fillId="0" borderId="0" xfId="6" applyFont="1" applyBorder="1"/>
    <xf numFmtId="16" fontId="25" fillId="0" borderId="2" xfId="6" quotePrefix="1" applyNumberFormat="1" applyFont="1" applyBorder="1" applyAlignment="1">
      <alignment horizontal="center"/>
    </xf>
    <xf numFmtId="0" fontId="25" fillId="0" borderId="6" xfId="6" applyFont="1" applyBorder="1" applyAlignment="1">
      <alignment horizontal="left"/>
    </xf>
    <xf numFmtId="0" fontId="25" fillId="0" borderId="3" xfId="6" applyFont="1" applyBorder="1" applyAlignment="1">
      <alignment horizontal="center"/>
    </xf>
    <xf numFmtId="0" fontId="25" fillId="0" borderId="12" xfId="6" applyFont="1" applyBorder="1" applyAlignment="1">
      <alignment horizontal="center"/>
    </xf>
    <xf numFmtId="0" fontId="25" fillId="0" borderId="7" xfId="6" applyFont="1" applyBorder="1" applyAlignment="1">
      <alignment horizontal="center"/>
    </xf>
    <xf numFmtId="0" fontId="25" fillId="0" borderId="26" xfId="6" applyFont="1" applyBorder="1"/>
    <xf numFmtId="0" fontId="25" fillId="0" borderId="3" xfId="6" applyFont="1" applyBorder="1"/>
    <xf numFmtId="49" fontId="25" fillId="0" borderId="3" xfId="6" quotePrefix="1" applyNumberFormat="1" applyFont="1" applyBorder="1" applyAlignment="1">
      <alignment horizontal="center"/>
    </xf>
    <xf numFmtId="14" fontId="25" fillId="0" borderId="12" xfId="7" applyNumberFormat="1" applyFont="1" applyBorder="1"/>
    <xf numFmtId="43" fontId="25" fillId="0" borderId="3" xfId="7" quotePrefix="1" applyFont="1" applyBorder="1" applyAlignment="1">
      <alignment horizontal="center"/>
    </xf>
    <xf numFmtId="0" fontId="24" fillId="0" borderId="4" xfId="6" applyFont="1" applyBorder="1" applyAlignment="1">
      <alignment horizontal="center"/>
    </xf>
    <xf numFmtId="49" fontId="25" fillId="0" borderId="2" xfId="6" quotePrefix="1" applyNumberFormat="1" applyFont="1" applyBorder="1" applyAlignment="1">
      <alignment horizontal="center"/>
    </xf>
    <xf numFmtId="43" fontId="24" fillId="0" borderId="2" xfId="7" quotePrefix="1" applyFont="1" applyBorder="1" applyAlignment="1">
      <alignment horizontal="center"/>
    </xf>
    <xf numFmtId="14" fontId="25" fillId="0" borderId="0" xfId="7" applyNumberFormat="1" applyFont="1" applyBorder="1"/>
    <xf numFmtId="0" fontId="24" fillId="0" borderId="58" xfId="6" applyFont="1" applyBorder="1" applyAlignment="1">
      <alignment horizontal="center"/>
    </xf>
    <xf numFmtId="0" fontId="28" fillId="0" borderId="0" xfId="6" applyFont="1" applyAlignment="1">
      <alignment horizontal="center"/>
    </xf>
    <xf numFmtId="49" fontId="25" fillId="0" borderId="2" xfId="6" applyNumberFormat="1" applyFont="1" applyBorder="1"/>
    <xf numFmtId="43" fontId="25" fillId="0" borderId="6" xfId="7" applyFont="1" applyBorder="1"/>
    <xf numFmtId="14" fontId="25" fillId="0" borderId="6" xfId="7" applyNumberFormat="1" applyFont="1" applyBorder="1"/>
    <xf numFmtId="0" fontId="24" fillId="0" borderId="40" xfId="6" applyFont="1" applyBorder="1" applyAlignment="1">
      <alignment horizontal="center"/>
    </xf>
    <xf numFmtId="49" fontId="24" fillId="0" borderId="11" xfId="6" applyNumberFormat="1" applyFont="1" applyBorder="1"/>
    <xf numFmtId="43" fontId="24" fillId="0" borderId="2" xfId="7" applyFont="1" applyBorder="1"/>
    <xf numFmtId="0" fontId="29" fillId="0" borderId="0" xfId="6" applyFont="1" applyBorder="1"/>
    <xf numFmtId="0" fontId="29" fillId="0" borderId="6" xfId="6" applyFont="1" applyBorder="1" applyAlignment="1">
      <alignment horizontal="center"/>
    </xf>
    <xf numFmtId="0" fontId="25" fillId="0" borderId="0" xfId="6" quotePrefix="1" applyFont="1" applyBorder="1" applyAlignment="1">
      <alignment horizontal="center"/>
    </xf>
    <xf numFmtId="0" fontId="25" fillId="0" borderId="2" xfId="6" applyFont="1" applyFill="1" applyBorder="1"/>
    <xf numFmtId="0" fontId="25" fillId="0" borderId="2" xfId="6" applyFont="1" applyFill="1" applyBorder="1" applyAlignment="1">
      <alignment horizontal="center"/>
    </xf>
    <xf numFmtId="0" fontId="25" fillId="0" borderId="0" xfId="6" applyFont="1" applyFill="1" applyBorder="1" applyAlignment="1">
      <alignment horizontal="center"/>
    </xf>
    <xf numFmtId="0" fontId="25" fillId="0" borderId="6" xfId="6" applyFont="1" applyFill="1" applyBorder="1" applyAlignment="1">
      <alignment horizontal="center"/>
    </xf>
    <xf numFmtId="0" fontId="25" fillId="0" borderId="0" xfId="6" applyFont="1" applyFill="1" applyBorder="1"/>
    <xf numFmtId="0" fontId="25" fillId="0" borderId="6" xfId="6" applyFont="1" applyFill="1" applyBorder="1"/>
    <xf numFmtId="0" fontId="25" fillId="0" borderId="2" xfId="6" quotePrefix="1" applyFont="1" applyFill="1" applyBorder="1" applyAlignment="1">
      <alignment horizontal="center"/>
    </xf>
    <xf numFmtId="43" fontId="25" fillId="0" borderId="2" xfId="7" applyFont="1" applyFill="1" applyBorder="1"/>
    <xf numFmtId="164" fontId="25" fillId="0" borderId="2" xfId="7" applyNumberFormat="1" applyFont="1" applyBorder="1"/>
    <xf numFmtId="49" fontId="24" fillId="0" borderId="0" xfId="6" applyNumberFormat="1" applyFont="1" applyBorder="1"/>
    <xf numFmtId="0" fontId="25" fillId="0" borderId="2" xfId="6" applyFont="1" applyBorder="1" applyAlignment="1">
      <alignment horizontal="left"/>
    </xf>
    <xf numFmtId="0" fontId="25" fillId="0" borderId="12" xfId="6" applyFont="1" applyBorder="1"/>
    <xf numFmtId="14" fontId="29" fillId="0" borderId="0" xfId="6" applyNumberFormat="1" applyFont="1"/>
    <xf numFmtId="14" fontId="29" fillId="0" borderId="0" xfId="6" applyNumberFormat="1" applyFont="1" applyBorder="1"/>
    <xf numFmtId="14" fontId="25" fillId="0" borderId="2" xfId="7" applyNumberFormat="1" applyFont="1" applyBorder="1" applyAlignment="1">
      <alignment horizontal="center"/>
    </xf>
    <xf numFmtId="0" fontId="25" fillId="3" borderId="2" xfId="6" applyFont="1" applyFill="1" applyBorder="1"/>
    <xf numFmtId="0" fontId="26" fillId="0" borderId="2" xfId="6" applyFont="1" applyBorder="1"/>
    <xf numFmtId="0" fontId="26" fillId="0" borderId="0" xfId="6" applyFont="1" applyBorder="1" applyAlignment="1">
      <alignment horizontal="center"/>
    </xf>
    <xf numFmtId="0" fontId="25" fillId="3" borderId="5" xfId="6" applyFont="1" applyFill="1" applyBorder="1"/>
    <xf numFmtId="0" fontId="25" fillId="3" borderId="0" xfId="6" applyFont="1" applyFill="1" applyBorder="1" applyAlignment="1">
      <alignment horizontal="center"/>
    </xf>
    <xf numFmtId="0" fontId="25" fillId="3" borderId="6" xfId="6" applyFont="1" applyFill="1" applyBorder="1"/>
    <xf numFmtId="0" fontId="25" fillId="3" borderId="2" xfId="6" quotePrefix="1" applyFont="1" applyFill="1" applyBorder="1" applyAlignment="1">
      <alignment horizontal="center"/>
    </xf>
    <xf numFmtId="43" fontId="25" fillId="3" borderId="2" xfId="7" applyFont="1" applyFill="1" applyBorder="1"/>
    <xf numFmtId="43" fontId="25" fillId="3" borderId="2" xfId="7" quotePrefix="1" applyFont="1" applyFill="1" applyBorder="1" applyAlignment="1">
      <alignment horizontal="center"/>
    </xf>
    <xf numFmtId="14" fontId="25" fillId="3" borderId="2" xfId="7" applyNumberFormat="1" applyFont="1" applyFill="1" applyBorder="1"/>
    <xf numFmtId="43" fontId="25" fillId="0" borderId="2" xfId="7" applyFont="1" applyBorder="1" applyAlignment="1">
      <alignment horizontal="center"/>
    </xf>
    <xf numFmtId="0" fontId="24" fillId="0" borderId="15" xfId="6" applyFont="1" applyBorder="1" applyAlignment="1">
      <alignment horizontal="center"/>
    </xf>
    <xf numFmtId="0" fontId="24" fillId="0" borderId="19" xfId="6" applyFont="1" applyBorder="1" applyAlignment="1">
      <alignment horizontal="center"/>
    </xf>
    <xf numFmtId="0" fontId="24" fillId="0" borderId="41" xfId="6" applyFont="1" applyBorder="1"/>
    <xf numFmtId="43" fontId="24" fillId="0" borderId="4" xfId="7" applyFont="1" applyBorder="1"/>
    <xf numFmtId="49" fontId="24" fillId="0" borderId="4" xfId="6" quotePrefix="1" applyNumberFormat="1" applyFont="1" applyBorder="1" applyAlignment="1">
      <alignment horizontal="center"/>
    </xf>
    <xf numFmtId="0" fontId="25" fillId="0" borderId="4" xfId="6" applyFont="1" applyBorder="1" applyAlignment="1">
      <alignment horizontal="center"/>
    </xf>
    <xf numFmtId="0" fontId="25" fillId="0" borderId="15" xfId="6" applyFont="1" applyBorder="1" applyAlignment="1">
      <alignment horizontal="center"/>
    </xf>
    <xf numFmtId="0" fontId="25" fillId="0" borderId="19" xfId="6" applyFont="1" applyBorder="1" applyAlignment="1">
      <alignment horizontal="center"/>
    </xf>
    <xf numFmtId="0" fontId="25" fillId="0" borderId="41" xfId="6" applyFont="1" applyBorder="1"/>
    <xf numFmtId="49" fontId="25" fillId="0" borderId="4" xfId="6" applyNumberFormat="1" applyFont="1" applyBorder="1" applyAlignment="1">
      <alignment horizontal="center"/>
    </xf>
    <xf numFmtId="0" fontId="42" fillId="0" borderId="0" xfId="6" applyFont="1"/>
    <xf numFmtId="0" fontId="29" fillId="0" borderId="34" xfId="6" applyFont="1" applyBorder="1" applyAlignment="1">
      <alignment horizontal="center"/>
    </xf>
    <xf numFmtId="165" fontId="25" fillId="0" borderId="2" xfId="7" applyNumberFormat="1" applyFont="1" applyBorder="1" applyAlignment="1">
      <alignment horizontal="center"/>
    </xf>
    <xf numFmtId="0" fontId="25" fillId="0" borderId="11" xfId="6" applyFont="1" applyBorder="1"/>
    <xf numFmtId="0" fontId="25" fillId="0" borderId="18" xfId="6" applyFont="1" applyBorder="1"/>
    <xf numFmtId="0" fontId="25" fillId="0" borderId="18" xfId="6" applyFont="1" applyBorder="1" applyAlignment="1">
      <alignment horizontal="center"/>
    </xf>
    <xf numFmtId="0" fontId="25" fillId="0" borderId="10" xfId="6" applyFont="1" applyBorder="1"/>
    <xf numFmtId="0" fontId="25" fillId="0" borderId="40" xfId="6" applyFont="1" applyBorder="1"/>
    <xf numFmtId="0" fontId="25" fillId="0" borderId="11" xfId="6" applyFont="1" applyBorder="1" applyAlignment="1">
      <alignment horizontal="center"/>
    </xf>
    <xf numFmtId="43" fontId="43" fillId="0" borderId="0" xfId="6" applyNumberFormat="1" applyFont="1"/>
    <xf numFmtId="43" fontId="35" fillId="0" borderId="0" xfId="6" applyNumberFormat="1" applyFont="1"/>
    <xf numFmtId="43" fontId="28" fillId="0" borderId="0" xfId="6" applyNumberFormat="1" applyFont="1"/>
    <xf numFmtId="0" fontId="4" fillId="0" borderId="0" xfId="0" applyFont="1" applyAlignment="1">
      <alignment horizontal="center"/>
    </xf>
    <xf numFmtId="49" fontId="11" fillId="0" borderId="0" xfId="0" applyNumberFormat="1" applyFont="1" applyAlignment="1">
      <alignment horizontal="center"/>
    </xf>
    <xf numFmtId="0" fontId="19" fillId="0" borderId="0" xfId="0" applyFont="1" applyAlignment="1"/>
    <xf numFmtId="0" fontId="45" fillId="0" borderId="0" xfId="0" applyFont="1"/>
    <xf numFmtId="43" fontId="33" fillId="0" borderId="0" xfId="1" applyFont="1"/>
    <xf numFmtId="0" fontId="15" fillId="0" borderId="0" xfId="6" applyFont="1"/>
    <xf numFmtId="0" fontId="15" fillId="0" borderId="0" xfId="6" applyFont="1" applyAlignment="1">
      <alignment horizontal="left"/>
    </xf>
    <xf numFmtId="0" fontId="16" fillId="0" borderId="20" xfId="6" applyFont="1" applyBorder="1" applyAlignment="1">
      <alignment horizontal="center"/>
    </xf>
    <xf numFmtId="0" fontId="16" fillId="0" borderId="29" xfId="6" applyFont="1" applyBorder="1" applyAlignment="1">
      <alignment horizontal="center" wrapText="1"/>
    </xf>
    <xf numFmtId="0" fontId="16" fillId="0" borderId="17" xfId="6" applyFont="1" applyBorder="1" applyAlignment="1">
      <alignment horizontal="center" wrapText="1"/>
    </xf>
    <xf numFmtId="0" fontId="16" fillId="4" borderId="29" xfId="6" applyFont="1" applyFill="1" applyBorder="1" applyAlignment="1">
      <alignment horizontal="center" wrapText="1"/>
    </xf>
    <xf numFmtId="0" fontId="16" fillId="4" borderId="17" xfId="6" applyFont="1" applyFill="1" applyBorder="1" applyAlignment="1">
      <alignment horizontal="center" wrapText="1"/>
    </xf>
    <xf numFmtId="0" fontId="16" fillId="3" borderId="29" xfId="6" applyFont="1" applyFill="1" applyBorder="1" applyAlignment="1">
      <alignment horizontal="center" wrapText="1"/>
    </xf>
    <xf numFmtId="0" fontId="16" fillId="3" borderId="17" xfId="6" applyFont="1" applyFill="1" applyBorder="1" applyAlignment="1">
      <alignment horizontal="center" wrapText="1"/>
    </xf>
    <xf numFmtId="0" fontId="16" fillId="0" borderId="21" xfId="6" applyFont="1" applyBorder="1" applyAlignment="1">
      <alignment horizontal="center" wrapText="1"/>
    </xf>
    <xf numFmtId="0" fontId="16" fillId="0" borderId="0" xfId="6" applyFont="1"/>
    <xf numFmtId="0" fontId="15" fillId="0" borderId="0" xfId="6" applyFont="1" applyAlignment="1">
      <alignment horizontal="right"/>
    </xf>
    <xf numFmtId="0" fontId="15" fillId="0" borderId="30" xfId="6" applyFont="1" applyBorder="1" applyAlignment="1">
      <alignment horizontal="center" wrapText="1"/>
    </xf>
    <xf numFmtId="0" fontId="15" fillId="0" borderId="4" xfId="6" applyFont="1" applyBorder="1"/>
    <xf numFmtId="0" fontId="15" fillId="0" borderId="4" xfId="6" applyFont="1" applyBorder="1" applyAlignment="1">
      <alignment horizontal="center"/>
    </xf>
    <xf numFmtId="43" fontId="15" fillId="0" borderId="4" xfId="6" applyNumberFormat="1" applyFont="1" applyBorder="1" applyAlignment="1"/>
    <xf numFmtId="43" fontId="15" fillId="0" borderId="4" xfId="6" applyNumberFormat="1" applyFont="1" applyBorder="1" applyAlignment="1">
      <alignment horizontal="right"/>
    </xf>
    <xf numFmtId="0" fontId="16" fillId="0" borderId="0" xfId="6" applyFont="1" applyAlignment="1"/>
    <xf numFmtId="0" fontId="16" fillId="0" borderId="0" xfId="6" applyFont="1" applyBorder="1" applyAlignment="1"/>
    <xf numFmtId="0" fontId="15" fillId="0" borderId="20" xfId="6" applyFont="1" applyBorder="1"/>
    <xf numFmtId="0" fontId="15" fillId="0" borderId="17" xfId="6" applyFont="1" applyBorder="1"/>
    <xf numFmtId="0" fontId="15" fillId="0" borderId="29" xfId="6" applyFont="1" applyBorder="1" applyAlignment="1">
      <alignment horizontal="center" wrapText="1"/>
    </xf>
    <xf numFmtId="0" fontId="15" fillId="0" borderId="22" xfId="6" applyFont="1" applyBorder="1"/>
    <xf numFmtId="0" fontId="15" fillId="0" borderId="0" xfId="6" applyFont="1" applyBorder="1"/>
    <xf numFmtId="0" fontId="16" fillId="0" borderId="30" xfId="6" applyFont="1" applyBorder="1" applyAlignment="1">
      <alignment horizontal="center" wrapText="1"/>
    </xf>
    <xf numFmtId="0" fontId="16" fillId="0" borderId="22" xfId="6" applyFont="1" applyBorder="1" applyAlignment="1">
      <alignment horizontal="center"/>
    </xf>
    <xf numFmtId="0" fontId="15" fillId="0" borderId="24" xfId="6" applyFont="1" applyBorder="1" applyAlignment="1">
      <alignment horizontal="center"/>
    </xf>
    <xf numFmtId="0" fontId="15" fillId="0" borderId="14" xfId="6" applyFont="1" applyBorder="1" applyAlignment="1">
      <alignment horizontal="center"/>
    </xf>
    <xf numFmtId="0" fontId="15" fillId="0" borderId="14" xfId="6" applyFont="1" applyBorder="1"/>
    <xf numFmtId="0" fontId="15" fillId="0" borderId="31" xfId="6" applyFont="1" applyBorder="1" applyAlignment="1">
      <alignment horizontal="center" wrapText="1"/>
    </xf>
    <xf numFmtId="0" fontId="15" fillId="0" borderId="3" xfId="6" applyFont="1" applyBorder="1"/>
    <xf numFmtId="43" fontId="15" fillId="0" borderId="3" xfId="6" applyNumberFormat="1" applyFont="1" applyBorder="1" applyAlignment="1">
      <alignment horizontal="right"/>
    </xf>
    <xf numFmtId="0" fontId="15" fillId="0" borderId="1" xfId="6" applyFont="1" applyBorder="1"/>
    <xf numFmtId="0" fontId="15" fillId="0" borderId="1" xfId="6" applyFont="1" applyBorder="1" applyAlignment="1">
      <alignment horizontal="center"/>
    </xf>
    <xf numFmtId="43" fontId="15" fillId="0" borderId="1" xfId="6" applyNumberFormat="1" applyFont="1" applyBorder="1" applyAlignment="1"/>
    <xf numFmtId="0" fontId="16" fillId="0" borderId="57" xfId="6" applyFont="1" applyBorder="1"/>
    <xf numFmtId="0" fontId="16" fillId="0" borderId="50" xfId="6" applyFont="1" applyBorder="1" applyAlignment="1">
      <alignment horizontal="center"/>
    </xf>
    <xf numFmtId="43" fontId="16" fillId="0" borderId="50" xfId="6" applyNumberFormat="1" applyFont="1" applyBorder="1" applyAlignment="1"/>
    <xf numFmtId="43" fontId="16" fillId="0" borderId="51" xfId="6" applyNumberFormat="1" applyFont="1" applyBorder="1" applyAlignment="1"/>
    <xf numFmtId="0" fontId="15" fillId="0" borderId="3" xfId="6" applyFont="1" applyBorder="1" applyAlignment="1">
      <alignment horizontal="center"/>
    </xf>
    <xf numFmtId="43" fontId="15" fillId="0" borderId="3" xfId="6" applyNumberFormat="1" applyFont="1" applyBorder="1" applyAlignment="1"/>
    <xf numFmtId="0" fontId="16" fillId="0" borderId="52" xfId="6" applyFont="1" applyBorder="1" applyAlignment="1">
      <alignment horizontal="center"/>
    </xf>
    <xf numFmtId="0" fontId="15" fillId="0" borderId="56" xfId="6" applyFont="1" applyBorder="1"/>
    <xf numFmtId="43" fontId="15" fillId="0" borderId="1" xfId="6" applyNumberFormat="1" applyFont="1" applyBorder="1" applyAlignment="1">
      <alignment horizontal="right"/>
    </xf>
    <xf numFmtId="0" fontId="16" fillId="0" borderId="4" xfId="6" applyFont="1" applyBorder="1"/>
    <xf numFmtId="49" fontId="16" fillId="0" borderId="19" xfId="6" applyNumberFormat="1" applyFont="1" applyBorder="1" applyAlignment="1">
      <alignment horizontal="center"/>
    </xf>
    <xf numFmtId="0" fontId="15" fillId="0" borderId="15" xfId="6" applyFont="1" applyBorder="1"/>
    <xf numFmtId="0" fontId="15" fillId="0" borderId="41" xfId="6" applyFont="1" applyBorder="1"/>
    <xf numFmtId="43" fontId="16" fillId="0" borderId="4" xfId="6" applyNumberFormat="1" applyFont="1" applyBorder="1" applyAlignment="1"/>
    <xf numFmtId="49" fontId="16" fillId="0" borderId="52" xfId="6" applyNumberFormat="1" applyFont="1" applyBorder="1" applyAlignment="1">
      <alignment horizontal="center"/>
    </xf>
    <xf numFmtId="43" fontId="15" fillId="0" borderId="4" xfId="6" quotePrefix="1" applyNumberFormat="1" applyFont="1" applyBorder="1" applyAlignment="1">
      <alignment horizontal="center"/>
    </xf>
    <xf numFmtId="0" fontId="16" fillId="0" borderId="46" xfId="6" applyFont="1" applyBorder="1"/>
    <xf numFmtId="43" fontId="16" fillId="0" borderId="54" xfId="6" applyNumberFormat="1" applyFont="1" applyBorder="1"/>
    <xf numFmtId="0" fontId="16" fillId="0" borderId="0" xfId="6" applyFont="1" applyBorder="1"/>
    <xf numFmtId="49" fontId="16" fillId="0" borderId="0" xfId="6" applyNumberFormat="1" applyFont="1" applyBorder="1" applyAlignment="1">
      <alignment horizontal="center"/>
    </xf>
    <xf numFmtId="43" fontId="16" fillId="0" borderId="0" xfId="6" applyNumberFormat="1" applyFont="1" applyBorder="1"/>
    <xf numFmtId="49" fontId="15" fillId="0" borderId="4" xfId="6" applyNumberFormat="1" applyFont="1" applyBorder="1" applyAlignment="1">
      <alignment horizontal="center"/>
    </xf>
    <xf numFmtId="43" fontId="15" fillId="0" borderId="0" xfId="6" applyNumberFormat="1" applyFont="1"/>
    <xf numFmtId="49" fontId="15" fillId="0" borderId="1" xfId="6" applyNumberFormat="1" applyFont="1" applyBorder="1" applyAlignment="1">
      <alignment horizontal="center"/>
    </xf>
    <xf numFmtId="0" fontId="16" fillId="0" borderId="0" xfId="6" applyFont="1" applyAlignment="1">
      <alignment horizontal="left"/>
    </xf>
    <xf numFmtId="49" fontId="16" fillId="0" borderId="50" xfId="6" applyNumberFormat="1" applyFont="1" applyBorder="1" applyAlignment="1">
      <alignment horizontal="center"/>
    </xf>
    <xf numFmtId="0" fontId="15" fillId="0" borderId="3" xfId="6" applyFont="1" applyBorder="1" applyAlignment="1">
      <alignment horizontal="left"/>
    </xf>
    <xf numFmtId="0" fontId="15" fillId="0" borderId="4" xfId="6" applyFont="1" applyBorder="1" applyAlignment="1">
      <alignment horizontal="left"/>
    </xf>
    <xf numFmtId="0" fontId="15" fillId="0" borderId="0" xfId="6" applyFont="1" applyAlignment="1"/>
    <xf numFmtId="0" fontId="15" fillId="0" borderId="63" xfId="6" applyFont="1" applyBorder="1"/>
    <xf numFmtId="0" fontId="15" fillId="0" borderId="0" xfId="6" applyFont="1" applyBorder="1" applyAlignment="1">
      <alignment horizontal="left"/>
    </xf>
    <xf numFmtId="0" fontId="15" fillId="0" borderId="0" xfId="6" applyFont="1" applyBorder="1" applyAlignment="1">
      <alignment horizontal="center"/>
    </xf>
    <xf numFmtId="43" fontId="15" fillId="0" borderId="0" xfId="6" applyNumberFormat="1" applyFont="1" applyBorder="1" applyAlignment="1"/>
    <xf numFmtId="43" fontId="15" fillId="0" borderId="0" xfId="6" applyNumberFormat="1" applyFont="1" applyBorder="1" applyAlignment="1">
      <alignment horizontal="right"/>
    </xf>
    <xf numFmtId="0" fontId="15" fillId="0" borderId="31" xfId="6" applyFont="1" applyBorder="1" applyAlignment="1">
      <alignment horizontal="center"/>
    </xf>
    <xf numFmtId="0" fontId="15" fillId="0" borderId="14" xfId="6" applyFont="1" applyBorder="1" applyAlignment="1">
      <alignment horizontal="center" wrapText="1"/>
    </xf>
    <xf numFmtId="0" fontId="15" fillId="4" borderId="31" xfId="6" applyFont="1" applyFill="1" applyBorder="1" applyAlignment="1">
      <alignment horizontal="center" wrapText="1"/>
    </xf>
    <xf numFmtId="0" fontId="15" fillId="4" borderId="14" xfId="6" applyFont="1" applyFill="1" applyBorder="1" applyAlignment="1">
      <alignment horizontal="center" wrapText="1"/>
    </xf>
    <xf numFmtId="0" fontId="15" fillId="3" borderId="31" xfId="6" applyFont="1" applyFill="1" applyBorder="1" applyAlignment="1">
      <alignment horizontal="center" wrapText="1"/>
    </xf>
    <xf numFmtId="0" fontId="15" fillId="3" borderId="14" xfId="6" applyFont="1" applyFill="1" applyBorder="1" applyAlignment="1">
      <alignment horizontal="center" wrapText="1"/>
    </xf>
    <xf numFmtId="0" fontId="15" fillId="0" borderId="25" xfId="6" applyFont="1" applyBorder="1" applyAlignment="1">
      <alignment horizontal="center" wrapText="1"/>
    </xf>
    <xf numFmtId="0" fontId="15" fillId="3" borderId="4" xfId="6" applyFont="1" applyFill="1" applyBorder="1" applyAlignment="1">
      <alignment horizontal="left"/>
    </xf>
    <xf numFmtId="0" fontId="15" fillId="3" borderId="4" xfId="6" applyFont="1" applyFill="1" applyBorder="1" applyAlignment="1">
      <alignment horizontal="center"/>
    </xf>
    <xf numFmtId="43" fontId="15" fillId="3" borderId="4" xfId="6" applyNumberFormat="1" applyFont="1" applyFill="1" applyBorder="1" applyAlignment="1"/>
    <xf numFmtId="43" fontId="15" fillId="3" borderId="4" xfId="6" applyNumberFormat="1" applyFont="1" applyFill="1" applyBorder="1" applyAlignment="1">
      <alignment horizontal="right"/>
    </xf>
    <xf numFmtId="0" fontId="15" fillId="0" borderId="1" xfId="6" applyFont="1" applyBorder="1" applyAlignment="1">
      <alignment horizontal="left"/>
    </xf>
    <xf numFmtId="0" fontId="16" fillId="0" borderId="46" xfId="6" applyFont="1" applyBorder="1" applyAlignment="1">
      <alignment horizontal="left"/>
    </xf>
    <xf numFmtId="43" fontId="16" fillId="0" borderId="50" xfId="6" applyNumberFormat="1" applyFont="1" applyBorder="1"/>
    <xf numFmtId="43" fontId="16" fillId="0" borderId="0" xfId="6" applyNumberFormat="1" applyFont="1"/>
    <xf numFmtId="0" fontId="13" fillId="0" borderId="0" xfId="8" applyFont="1"/>
    <xf numFmtId="0" fontId="13" fillId="0" borderId="0" xfId="8" applyFont="1" applyBorder="1" applyAlignment="1">
      <alignment horizontal="left"/>
    </xf>
    <xf numFmtId="0" fontId="13" fillId="0" borderId="0" xfId="8" applyFont="1" applyBorder="1" applyAlignment="1"/>
    <xf numFmtId="0" fontId="9" fillId="0" borderId="0" xfId="8" applyFont="1" applyBorder="1" applyAlignment="1"/>
    <xf numFmtId="0" fontId="9" fillId="0" borderId="0" xfId="8" applyFont="1"/>
    <xf numFmtId="0" fontId="13" fillId="0" borderId="0" xfId="8" applyFont="1" applyAlignment="1">
      <alignment horizontal="left"/>
    </xf>
    <xf numFmtId="0" fontId="48" fillId="0" borderId="0" xfId="8" applyFont="1" applyAlignment="1">
      <alignment vertical="center"/>
    </xf>
    <xf numFmtId="0" fontId="48" fillId="0" borderId="0" xfId="8" applyFont="1" applyAlignment="1">
      <alignment vertical="center" wrapText="1"/>
    </xf>
    <xf numFmtId="0" fontId="13" fillId="0" borderId="0" xfId="8" applyFont="1" applyAlignment="1"/>
    <xf numFmtId="0" fontId="9" fillId="3" borderId="1" xfId="8" applyFont="1" applyFill="1" applyBorder="1" applyAlignment="1">
      <alignment horizontal="center"/>
    </xf>
    <xf numFmtId="0" fontId="9" fillId="3" borderId="2" xfId="8" applyFont="1" applyFill="1" applyBorder="1" applyAlignment="1">
      <alignment horizontal="center"/>
    </xf>
    <xf numFmtId="0" fontId="9" fillId="3" borderId="15" xfId="8" applyFont="1" applyFill="1" applyBorder="1" applyAlignment="1">
      <alignment horizontal="center"/>
    </xf>
    <xf numFmtId="0" fontId="9" fillId="3" borderId="19" xfId="8" applyFont="1" applyFill="1" applyBorder="1" applyAlignment="1">
      <alignment horizontal="center"/>
    </xf>
    <xf numFmtId="0" fontId="9" fillId="3" borderId="4" xfId="8" applyFont="1" applyFill="1" applyBorder="1" applyAlignment="1">
      <alignment horizontal="center"/>
    </xf>
    <xf numFmtId="0" fontId="9" fillId="3" borderId="41" xfId="8" applyFont="1" applyFill="1" applyBorder="1" applyAlignment="1">
      <alignment horizontal="center"/>
    </xf>
    <xf numFmtId="0" fontId="13" fillId="0" borderId="1" xfId="8" applyFont="1" applyBorder="1" applyAlignment="1">
      <alignment horizontal="center"/>
    </xf>
    <xf numFmtId="0" fontId="13" fillId="0" borderId="2" xfId="8" applyFont="1" applyBorder="1" applyAlignment="1">
      <alignment horizontal="center"/>
    </xf>
    <xf numFmtId="0" fontId="13" fillId="0" borderId="3" xfId="8" applyFont="1" applyBorder="1" applyAlignment="1">
      <alignment horizontal="center"/>
    </xf>
    <xf numFmtId="0" fontId="13" fillId="0" borderId="5" xfId="8" applyFont="1" applyBorder="1" applyAlignment="1">
      <alignment horizontal="center"/>
    </xf>
    <xf numFmtId="0" fontId="13" fillId="0" borderId="1" xfId="8" applyFont="1" applyBorder="1" applyAlignment="1">
      <alignment horizontal="center" vertical="top"/>
    </xf>
    <xf numFmtId="0" fontId="13" fillId="0" borderId="4" xfId="8" applyFont="1" applyFill="1" applyBorder="1" applyAlignment="1">
      <alignment horizontal="left" vertical="top" wrapText="1"/>
    </xf>
    <xf numFmtId="0" fontId="13" fillId="0" borderId="4" xfId="8" applyFont="1" applyBorder="1" applyAlignment="1">
      <alignment horizontal="left" vertical="top" wrapText="1"/>
    </xf>
    <xf numFmtId="0" fontId="13" fillId="0" borderId="4" xfId="8" applyFont="1" applyBorder="1" applyAlignment="1">
      <alignment vertical="top" wrapText="1"/>
    </xf>
    <xf numFmtId="0" fontId="13" fillId="0" borderId="2" xfId="8" applyFont="1" applyFill="1" applyBorder="1" applyAlignment="1">
      <alignment horizontal="left" vertical="top" wrapText="1"/>
    </xf>
    <xf numFmtId="0" fontId="13" fillId="0" borderId="2" xfId="8" applyFont="1" applyBorder="1" applyAlignment="1">
      <alignment horizontal="left" vertical="top" wrapText="1"/>
    </xf>
    <xf numFmtId="0" fontId="13" fillId="0" borderId="3" xfId="8" applyFont="1" applyBorder="1" applyAlignment="1">
      <alignment vertical="top" wrapText="1"/>
    </xf>
    <xf numFmtId="0" fontId="13" fillId="0" borderId="3" xfId="8" applyFont="1" applyBorder="1" applyAlignment="1"/>
    <xf numFmtId="0" fontId="13" fillId="0" borderId="0" xfId="8" applyFont="1" applyBorder="1"/>
    <xf numFmtId="49" fontId="13" fillId="0" borderId="0" xfId="8" applyNumberFormat="1" applyFont="1" applyFill="1" applyBorder="1" applyAlignment="1">
      <alignment horizontal="left" vertical="top" wrapText="1"/>
    </xf>
    <xf numFmtId="43" fontId="13" fillId="0" borderId="0" xfId="9" applyFont="1" applyBorder="1" applyAlignment="1">
      <alignment horizontal="center" vertical="center"/>
    </xf>
    <xf numFmtId="0" fontId="13" fillId="0" borderId="0" xfId="8" applyFont="1" applyBorder="1" applyAlignment="1">
      <alignment vertical="top"/>
    </xf>
    <xf numFmtId="0" fontId="13" fillId="0" borderId="0" xfId="8" applyFont="1" applyBorder="1" applyAlignment="1">
      <alignment horizontal="left" vertical="top"/>
    </xf>
    <xf numFmtId="43" fontId="13" fillId="0" borderId="0" xfId="9" applyFont="1" applyBorder="1" applyAlignment="1">
      <alignment horizontal="left" vertical="top"/>
    </xf>
    <xf numFmtId="0" fontId="13" fillId="0" borderId="0" xfId="8" applyFont="1" applyFill="1" applyBorder="1"/>
    <xf numFmtId="0" fontId="9" fillId="0" borderId="0" xfId="10" applyFont="1" applyFill="1" applyBorder="1" applyAlignment="1"/>
    <xf numFmtId="43" fontId="13" fillId="0" borderId="0" xfId="9" applyFont="1" applyFill="1" applyBorder="1"/>
    <xf numFmtId="0" fontId="13" fillId="0" borderId="0" xfId="10" applyFont="1" applyFill="1" applyBorder="1" applyAlignment="1"/>
    <xf numFmtId="0" fontId="9" fillId="0" borderId="0" xfId="8" applyFont="1" applyFill="1" applyBorder="1" applyAlignment="1"/>
    <xf numFmtId="0" fontId="50" fillId="0" borderId="0" xfId="8" applyFont="1" applyFill="1" applyBorder="1"/>
    <xf numFmtId="43" fontId="50" fillId="0" borderId="0" xfId="9" applyFont="1" applyFill="1" applyBorder="1"/>
    <xf numFmtId="0" fontId="13" fillId="0" borderId="0" xfId="8" applyFont="1" applyFill="1" applyBorder="1" applyAlignment="1"/>
    <xf numFmtId="49" fontId="13" fillId="0" borderId="0" xfId="8" applyNumberFormat="1" applyFont="1" applyBorder="1" applyAlignment="1">
      <alignment horizontal="right" vertical="top" wrapText="1"/>
    </xf>
    <xf numFmtId="43" fontId="16" fillId="0" borderId="0" xfId="8" quotePrefix="1" applyNumberFormat="1" applyFont="1" applyBorder="1" applyAlignment="1">
      <alignment horizontal="left" vertical="center" textRotation="180" wrapText="1"/>
    </xf>
    <xf numFmtId="0" fontId="13" fillId="0" borderId="2" xfId="8" applyFont="1" applyBorder="1"/>
    <xf numFmtId="0" fontId="9" fillId="0" borderId="1" xfId="8" applyFont="1" applyBorder="1" applyAlignment="1">
      <alignment vertical="top" wrapText="1"/>
    </xf>
    <xf numFmtId="0" fontId="13" fillId="0" borderId="1" xfId="8" applyFont="1" applyBorder="1" applyAlignment="1">
      <alignment vertical="top" wrapText="1"/>
    </xf>
    <xf numFmtId="0" fontId="13" fillId="0" borderId="2" xfId="8" quotePrefix="1" applyFont="1" applyBorder="1" applyAlignment="1">
      <alignment vertical="top" wrapText="1"/>
    </xf>
    <xf numFmtId="0" fontId="13" fillId="0" borderId="2" xfId="8" applyFont="1" applyBorder="1" applyAlignment="1">
      <alignment vertical="top" wrapText="1"/>
    </xf>
    <xf numFmtId="0" fontId="13" fillId="0" borderId="3" xfId="8" quotePrefix="1" applyFont="1" applyBorder="1" applyAlignment="1">
      <alignment horizontal="left" vertical="top" wrapText="1"/>
    </xf>
    <xf numFmtId="0" fontId="13" fillId="0" borderId="3" xfId="8" applyFont="1" applyBorder="1" applyAlignment="1">
      <alignment horizontal="left" vertical="top"/>
    </xf>
    <xf numFmtId="0" fontId="9" fillId="0" borderId="5" xfId="8" applyFont="1" applyBorder="1" applyAlignment="1">
      <alignment horizontal="left"/>
    </xf>
    <xf numFmtId="49" fontId="13" fillId="0" borderId="1" xfId="8" applyNumberFormat="1" applyFont="1" applyFill="1" applyBorder="1" applyAlignment="1">
      <alignment wrapText="1"/>
    </xf>
    <xf numFmtId="49" fontId="13" fillId="0" borderId="2" xfId="8" applyNumberFormat="1" applyFont="1" applyFill="1" applyBorder="1" applyAlignment="1">
      <alignment horizontal="left" vertical="top" wrapText="1"/>
    </xf>
    <xf numFmtId="0" fontId="13" fillId="0" borderId="3" xfId="8" applyFont="1" applyBorder="1" applyAlignment="1">
      <alignment horizontal="left" vertical="top" wrapText="1"/>
    </xf>
    <xf numFmtId="0" fontId="13" fillId="0" borderId="5" xfId="8" applyFont="1" applyBorder="1"/>
    <xf numFmtId="0" fontId="13" fillId="0" borderId="7" xfId="8" applyFont="1" applyBorder="1"/>
    <xf numFmtId="43" fontId="13" fillId="0" borderId="0" xfId="9" applyFont="1" applyBorder="1" applyAlignment="1">
      <alignment vertical="center"/>
    </xf>
    <xf numFmtId="0" fontId="13" fillId="0" borderId="0" xfId="8" applyFont="1" applyAlignment="1">
      <alignment horizontal="center"/>
    </xf>
    <xf numFmtId="43" fontId="19" fillId="0" borderId="0" xfId="8" quotePrefix="1" applyNumberFormat="1" applyFont="1" applyBorder="1" applyAlignment="1">
      <alignment vertical="center" textRotation="180" wrapText="1"/>
    </xf>
    <xf numFmtId="0" fontId="9" fillId="0" borderId="0" xfId="8" applyFont="1" applyBorder="1"/>
    <xf numFmtId="0" fontId="9" fillId="3" borderId="1" xfId="8" applyFont="1" applyFill="1" applyBorder="1" applyAlignment="1">
      <alignment horizontal="center" vertical="center"/>
    </xf>
    <xf numFmtId="0" fontId="13" fillId="0" borderId="3" xfId="8" applyFont="1" applyBorder="1" applyAlignment="1">
      <alignment vertical="center"/>
    </xf>
    <xf numFmtId="0" fontId="13" fillId="0" borderId="2" xfId="8" applyFont="1" applyBorder="1" applyAlignment="1">
      <alignment vertical="center"/>
    </xf>
    <xf numFmtId="0" fontId="13" fillId="0" borderId="3" xfId="8" applyFont="1" applyBorder="1"/>
    <xf numFmtId="49" fontId="13" fillId="0" borderId="4" xfId="8" applyNumberFormat="1" applyFont="1" applyFill="1" applyBorder="1" applyAlignment="1">
      <alignment horizontal="left" vertical="top" wrapText="1"/>
    </xf>
    <xf numFmtId="49" fontId="13" fillId="0" borderId="4" xfId="9" applyNumberFormat="1" applyFont="1" applyFill="1" applyBorder="1" applyAlignment="1">
      <alignment horizontal="left" vertical="top" wrapText="1"/>
    </xf>
    <xf numFmtId="0" fontId="13" fillId="0" borderId="26" xfId="8" applyFont="1" applyFill="1" applyBorder="1" applyAlignment="1">
      <alignment horizontal="left" vertical="top" wrapText="1"/>
    </xf>
    <xf numFmtId="49" fontId="13" fillId="0" borderId="12" xfId="8" applyNumberFormat="1" applyFont="1" applyFill="1" applyBorder="1" applyAlignment="1">
      <alignment horizontal="left" vertical="top" wrapText="1"/>
    </xf>
    <xf numFmtId="49" fontId="13" fillId="0" borderId="12" xfId="9" applyNumberFormat="1" applyFont="1" applyFill="1" applyBorder="1" applyAlignment="1">
      <alignment horizontal="left" vertical="top" wrapText="1"/>
    </xf>
    <xf numFmtId="0" fontId="13" fillId="0" borderId="12" xfId="8" applyFont="1" applyBorder="1" applyAlignment="1">
      <alignment horizontal="left" vertical="top" wrapText="1"/>
    </xf>
    <xf numFmtId="43" fontId="9" fillId="0" borderId="10" xfId="9" applyFont="1" applyBorder="1" applyAlignment="1">
      <alignment horizontal="center" vertical="center"/>
    </xf>
    <xf numFmtId="43" fontId="9" fillId="0" borderId="18" xfId="9" applyFont="1" applyBorder="1" applyAlignment="1">
      <alignment horizontal="center" vertical="center"/>
    </xf>
    <xf numFmtId="43" fontId="9" fillId="0" borderId="40" xfId="9" applyFont="1" applyBorder="1" applyAlignment="1">
      <alignment horizontal="center" vertical="center"/>
    </xf>
    <xf numFmtId="0" fontId="51" fillId="0" borderId="0" xfId="8" applyFont="1" applyBorder="1" applyAlignment="1"/>
    <xf numFmtId="0" fontId="52" fillId="0" borderId="0" xfId="8" applyFont="1" applyBorder="1" applyAlignment="1"/>
    <xf numFmtId="0" fontId="36" fillId="0" borderId="0" xfId="8" applyFont="1" applyBorder="1"/>
    <xf numFmtId="0" fontId="37" fillId="0" borderId="0" xfId="8" applyFont="1" applyBorder="1"/>
    <xf numFmtId="0" fontId="37" fillId="3" borderId="28" xfId="8" applyFont="1" applyFill="1" applyBorder="1" applyAlignment="1">
      <alignment horizontal="center" vertical="center" wrapText="1"/>
    </xf>
    <xf numFmtId="0" fontId="37" fillId="3" borderId="1" xfId="8" applyFont="1" applyFill="1" applyBorder="1" applyAlignment="1">
      <alignment horizontal="center" vertical="center" wrapText="1"/>
    </xf>
    <xf numFmtId="0" fontId="37" fillId="3" borderId="0" xfId="8" applyFont="1" applyFill="1" applyBorder="1" applyAlignment="1">
      <alignment horizontal="center" vertical="center" wrapText="1"/>
    </xf>
    <xf numFmtId="0" fontId="37" fillId="3" borderId="2" xfId="8" applyFont="1" applyFill="1" applyBorder="1" applyAlignment="1">
      <alignment horizontal="center" vertical="center" wrapText="1"/>
    </xf>
    <xf numFmtId="0" fontId="37" fillId="3" borderId="7" xfId="8" applyFont="1" applyFill="1" applyBorder="1" applyAlignment="1">
      <alignment horizontal="center" vertical="center"/>
    </xf>
    <xf numFmtId="0" fontId="37" fillId="3" borderId="12" xfId="8" applyFont="1" applyFill="1" applyBorder="1" applyAlignment="1">
      <alignment horizontal="center" vertical="center"/>
    </xf>
    <xf numFmtId="0" fontId="37" fillId="3" borderId="26" xfId="8" applyFont="1" applyFill="1" applyBorder="1" applyAlignment="1">
      <alignment horizontal="center" vertical="center"/>
    </xf>
    <xf numFmtId="0" fontId="36" fillId="0" borderId="1" xfId="8" applyFont="1" applyBorder="1" applyAlignment="1">
      <alignment horizontal="center" vertical="top" wrapText="1"/>
    </xf>
    <xf numFmtId="0" fontId="36" fillId="0" borderId="28" xfId="8" applyFont="1" applyFill="1" applyBorder="1" applyAlignment="1">
      <alignment horizontal="left" vertical="top" wrapText="1"/>
    </xf>
    <xf numFmtId="0" fontId="3" fillId="0" borderId="1" xfId="8" applyFont="1" applyBorder="1" applyAlignment="1">
      <alignment horizontal="left" vertical="top" wrapText="1"/>
    </xf>
    <xf numFmtId="49" fontId="36" fillId="0" borderId="28" xfId="9" applyNumberFormat="1" applyFont="1" applyFill="1" applyBorder="1" applyAlignment="1">
      <alignment horizontal="left" vertical="top" wrapText="1"/>
    </xf>
    <xf numFmtId="0" fontId="36" fillId="0" borderId="1" xfId="8" applyFont="1" applyFill="1" applyBorder="1" applyAlignment="1">
      <alignment horizontal="left" vertical="top" wrapText="1"/>
    </xf>
    <xf numFmtId="0" fontId="36" fillId="0" borderId="3" xfId="8" applyFont="1" applyBorder="1" applyAlignment="1">
      <alignment horizontal="center" vertical="top" wrapText="1"/>
    </xf>
    <xf numFmtId="0" fontId="36" fillId="0" borderId="12" xfId="8" applyFont="1" applyFill="1" applyBorder="1" applyAlignment="1">
      <alignment horizontal="left" vertical="top" wrapText="1"/>
    </xf>
    <xf numFmtId="0" fontId="3" fillId="0" borderId="3" xfId="8" applyFont="1" applyBorder="1" applyAlignment="1">
      <alignment horizontal="left" vertical="top" wrapText="1"/>
    </xf>
    <xf numFmtId="49" fontId="36" fillId="0" borderId="12" xfId="9" applyNumberFormat="1" applyFont="1" applyFill="1" applyBorder="1" applyAlignment="1">
      <alignment horizontal="left" vertical="top" wrapText="1"/>
    </xf>
    <xf numFmtId="0" fontId="36" fillId="0" borderId="3" xfId="8" applyFont="1" applyFill="1" applyBorder="1" applyAlignment="1">
      <alignment horizontal="left" vertical="top" wrapText="1"/>
    </xf>
    <xf numFmtId="49" fontId="36" fillId="0" borderId="1" xfId="9" applyNumberFormat="1" applyFont="1" applyFill="1" applyBorder="1" applyAlignment="1">
      <alignment horizontal="left" vertical="top" wrapText="1"/>
    </xf>
    <xf numFmtId="49" fontId="36" fillId="0" borderId="28" xfId="8" applyNumberFormat="1" applyFont="1" applyFill="1" applyBorder="1" applyAlignment="1">
      <alignment horizontal="left" vertical="top" wrapText="1"/>
    </xf>
    <xf numFmtId="49" fontId="36" fillId="0" borderId="3" xfId="9" applyNumberFormat="1" applyFont="1" applyFill="1" applyBorder="1" applyAlignment="1">
      <alignment horizontal="left" vertical="top" wrapText="1"/>
    </xf>
    <xf numFmtId="0" fontId="3" fillId="0" borderId="12" xfId="8" applyFont="1" applyBorder="1" applyAlignment="1">
      <alignment horizontal="left" vertical="top" wrapText="1"/>
    </xf>
    <xf numFmtId="49" fontId="36" fillId="0" borderId="12" xfId="8" applyNumberFormat="1" applyFont="1" applyFill="1" applyBorder="1" applyAlignment="1">
      <alignment horizontal="left" vertical="top" wrapText="1"/>
    </xf>
    <xf numFmtId="0" fontId="36" fillId="0" borderId="2" xfId="8" applyFont="1" applyBorder="1" applyAlignment="1">
      <alignment horizontal="center" vertical="top" wrapText="1"/>
    </xf>
    <xf numFmtId="49" fontId="36" fillId="0" borderId="0" xfId="8" applyNumberFormat="1" applyFont="1" applyFill="1" applyBorder="1" applyAlignment="1">
      <alignment horizontal="left" vertical="top" wrapText="1"/>
    </xf>
    <xf numFmtId="49" fontId="36" fillId="0" borderId="2" xfId="9" applyNumberFormat="1" applyFont="1" applyFill="1" applyBorder="1" applyAlignment="1">
      <alignment horizontal="left" vertical="top" wrapText="1"/>
    </xf>
    <xf numFmtId="0" fontId="36" fillId="0" borderId="2" xfId="8" applyFont="1" applyFill="1" applyBorder="1" applyAlignment="1">
      <alignment horizontal="left" vertical="top" wrapText="1"/>
    </xf>
    <xf numFmtId="0" fontId="3" fillId="0" borderId="2" xfId="8" applyFont="1" applyBorder="1" applyAlignment="1">
      <alignment horizontal="left" vertical="top" wrapText="1"/>
    </xf>
    <xf numFmtId="0" fontId="36" fillId="0" borderId="1" xfId="8" applyFont="1" applyBorder="1" applyAlignment="1">
      <alignment horizontal="left" vertical="top" wrapText="1"/>
    </xf>
    <xf numFmtId="0" fontId="36" fillId="0" borderId="12" xfId="8" applyFont="1" applyBorder="1" applyAlignment="1">
      <alignment horizontal="left" vertical="top" wrapText="1"/>
    </xf>
    <xf numFmtId="0" fontId="36" fillId="0" borderId="3" xfId="8" applyFont="1" applyBorder="1" applyAlignment="1">
      <alignment horizontal="left" vertical="top" wrapText="1"/>
    </xf>
    <xf numFmtId="49" fontId="36" fillId="0" borderId="1" xfId="8" quotePrefix="1" applyNumberFormat="1" applyFont="1" applyFill="1" applyBorder="1" applyAlignment="1">
      <alignment horizontal="left" vertical="top" wrapText="1"/>
    </xf>
    <xf numFmtId="49" fontId="36" fillId="0" borderId="3" xfId="8" quotePrefix="1" applyNumberFormat="1" applyFont="1" applyFill="1" applyBorder="1" applyAlignment="1">
      <alignment horizontal="left" vertical="top" wrapText="1"/>
    </xf>
    <xf numFmtId="49" fontId="36" fillId="0" borderId="2" xfId="8" applyNumberFormat="1" applyFont="1" applyFill="1" applyBorder="1" applyAlignment="1">
      <alignment horizontal="left" vertical="top" wrapText="1"/>
    </xf>
    <xf numFmtId="49" fontId="36" fillId="0" borderId="3" xfId="8" applyNumberFormat="1" applyFont="1" applyFill="1" applyBorder="1" applyAlignment="1">
      <alignment horizontal="left" vertical="top" wrapText="1"/>
    </xf>
    <xf numFmtId="0" fontId="3" fillId="0" borderId="0" xfId="8" applyFont="1" applyBorder="1"/>
    <xf numFmtId="43" fontId="36" fillId="0" borderId="0" xfId="9" applyFont="1" applyBorder="1" applyAlignment="1">
      <alignment horizontal="left" vertical="top"/>
    </xf>
    <xf numFmtId="0" fontId="36" fillId="0" borderId="0" xfId="8" applyFont="1" applyBorder="1" applyAlignment="1">
      <alignment horizontal="left" vertical="top"/>
    </xf>
    <xf numFmtId="0" fontId="37" fillId="0" borderId="0" xfId="8" applyFont="1" applyFill="1" applyBorder="1" applyAlignment="1">
      <alignment horizontal="center"/>
    </xf>
    <xf numFmtId="0" fontId="36" fillId="0" borderId="0" xfId="8" applyFont="1" applyFill="1" applyBorder="1" applyAlignment="1">
      <alignment horizontal="center"/>
    </xf>
    <xf numFmtId="0" fontId="36" fillId="0" borderId="0" xfId="8" applyFont="1" applyFill="1" applyBorder="1"/>
    <xf numFmtId="0" fontId="37" fillId="0" borderId="0" xfId="10" applyFont="1" applyFill="1" applyBorder="1" applyAlignment="1"/>
    <xf numFmtId="43" fontId="36" fillId="0" borderId="0" xfId="9" applyFont="1" applyFill="1" applyBorder="1"/>
    <xf numFmtId="0" fontId="36" fillId="0" borderId="0" xfId="10" applyFont="1" applyFill="1" applyBorder="1" applyAlignment="1"/>
    <xf numFmtId="0" fontId="36" fillId="0" borderId="0" xfId="10" applyFont="1" applyFill="1" applyBorder="1"/>
    <xf numFmtId="0" fontId="37" fillId="0" borderId="0" xfId="8" applyFont="1" applyFill="1" applyBorder="1" applyAlignment="1"/>
    <xf numFmtId="0" fontId="53" fillId="0" borderId="0" xfId="8" applyFont="1" applyFill="1" applyBorder="1"/>
    <xf numFmtId="0" fontId="36" fillId="0" borderId="0" xfId="8" applyFont="1" applyFill="1" applyBorder="1" applyAlignment="1"/>
    <xf numFmtId="49" fontId="36" fillId="0" borderId="0" xfId="8" applyNumberFormat="1" applyFont="1" applyBorder="1" applyAlignment="1">
      <alignment horizontal="right" vertical="top" wrapText="1"/>
    </xf>
    <xf numFmtId="0" fontId="13" fillId="0" borderId="0" xfId="8" applyFont="1" applyBorder="1" applyAlignment="1">
      <alignment wrapText="1"/>
    </xf>
    <xf numFmtId="0" fontId="13" fillId="0" borderId="0" xfId="8" applyFont="1" applyAlignment="1">
      <alignment vertical="top"/>
    </xf>
    <xf numFmtId="0" fontId="13" fillId="0" borderId="0" xfId="8" applyFont="1" applyBorder="1" applyAlignment="1">
      <alignment vertical="top" wrapText="1"/>
    </xf>
    <xf numFmtId="0" fontId="9" fillId="3" borderId="3" xfId="8" applyFont="1" applyFill="1" applyBorder="1" applyAlignment="1">
      <alignment horizontal="center"/>
    </xf>
    <xf numFmtId="0" fontId="13" fillId="0" borderId="1" xfId="8" applyFont="1" applyBorder="1" applyAlignment="1">
      <alignment vertical="top"/>
    </xf>
    <xf numFmtId="0" fontId="13" fillId="0" borderId="3" xfId="8" applyFont="1" applyFill="1" applyBorder="1" applyAlignment="1">
      <alignment horizontal="left" vertical="center"/>
    </xf>
    <xf numFmtId="49" fontId="13" fillId="0" borderId="3" xfId="8" applyNumberFormat="1" applyFont="1" applyFill="1" applyBorder="1" applyAlignment="1">
      <alignment vertical="center" wrapText="1"/>
    </xf>
    <xf numFmtId="0" fontId="13" fillId="0" borderId="1" xfId="8" applyFont="1" applyFill="1" applyBorder="1" applyAlignment="1">
      <alignment horizontal="left" vertical="top" wrapText="1"/>
    </xf>
    <xf numFmtId="0" fontId="13" fillId="0" borderId="3" xfId="8" applyFont="1" applyFill="1" applyBorder="1" applyAlignment="1">
      <alignment horizontal="left" vertical="top" wrapText="1"/>
    </xf>
    <xf numFmtId="0" fontId="13" fillId="0" borderId="3" xfId="8" applyFont="1" applyBorder="1" applyAlignment="1">
      <alignment vertical="top"/>
    </xf>
    <xf numFmtId="49" fontId="13" fillId="0" borderId="1" xfId="8" applyNumberFormat="1" applyFont="1" applyFill="1" applyBorder="1" applyAlignment="1">
      <alignment vertical="top" wrapText="1"/>
    </xf>
    <xf numFmtId="0" fontId="13" fillId="3" borderId="3" xfId="8" applyFont="1" applyFill="1" applyBorder="1" applyAlignment="1">
      <alignment horizontal="center" vertical="top" wrapText="1"/>
    </xf>
    <xf numFmtId="0" fontId="13" fillId="3" borderId="3" xfId="8" applyFont="1" applyFill="1" applyBorder="1" applyAlignment="1">
      <alignment vertical="top" wrapText="1"/>
    </xf>
    <xf numFmtId="49" fontId="13" fillId="0" borderId="2" xfId="8" applyNumberFormat="1" applyFont="1" applyFill="1" applyBorder="1" applyAlignment="1">
      <alignment vertical="top" wrapText="1"/>
    </xf>
    <xf numFmtId="0" fontId="13" fillId="3" borderId="0" xfId="8" applyFont="1" applyFill="1"/>
    <xf numFmtId="0" fontId="13" fillId="3" borderId="0" xfId="8" applyFont="1" applyFill="1" applyBorder="1" applyAlignment="1">
      <alignment vertical="top" wrapText="1"/>
    </xf>
    <xf numFmtId="0" fontId="13" fillId="3" borderId="2" xfId="8" applyFont="1" applyFill="1" applyBorder="1" applyAlignment="1">
      <alignment vertical="top" wrapText="1"/>
    </xf>
    <xf numFmtId="0" fontId="13" fillId="3" borderId="6" xfId="8" applyFont="1" applyFill="1" applyBorder="1" applyAlignment="1">
      <alignment vertical="top" wrapText="1"/>
    </xf>
    <xf numFmtId="49" fontId="13" fillId="3" borderId="1" xfId="8" applyNumberFormat="1" applyFont="1" applyFill="1" applyBorder="1" applyAlignment="1">
      <alignment vertical="top" wrapText="1"/>
    </xf>
    <xf numFmtId="49" fontId="13" fillId="0" borderId="2" xfId="8" applyNumberFormat="1" applyFont="1" applyFill="1" applyBorder="1" applyAlignment="1">
      <alignment vertical="center" wrapText="1"/>
    </xf>
    <xf numFmtId="0" fontId="44" fillId="0" borderId="0" xfId="8" applyFont="1" applyAlignment="1">
      <alignment horizontal="center" vertical="distributed" textRotation="180"/>
    </xf>
    <xf numFmtId="0" fontId="13" fillId="0" borderId="1" xfId="8" applyFont="1" applyFill="1" applyBorder="1" applyAlignment="1">
      <alignment vertical="top" wrapText="1"/>
    </xf>
    <xf numFmtId="0" fontId="13" fillId="0" borderId="3" xfId="8" applyFont="1" applyBorder="1" applyAlignment="1">
      <alignment horizontal="center" vertical="top"/>
    </xf>
    <xf numFmtId="0" fontId="13" fillId="0" borderId="3" xfId="8" applyFont="1" applyFill="1" applyBorder="1" applyAlignment="1">
      <alignment vertical="top" wrapText="1"/>
    </xf>
    <xf numFmtId="49" fontId="13" fillId="0" borderId="3" xfId="8" applyNumberFormat="1" applyFont="1" applyFill="1" applyBorder="1" applyAlignment="1">
      <alignment vertical="top" wrapText="1"/>
    </xf>
    <xf numFmtId="0" fontId="13" fillId="0" borderId="2" xfId="8" applyFont="1" applyBorder="1" applyAlignment="1">
      <alignment horizontal="center" vertical="top"/>
    </xf>
    <xf numFmtId="0" fontId="13" fillId="0" borderId="2" xfId="8" applyFont="1" applyFill="1" applyBorder="1" applyAlignment="1">
      <alignment vertical="top" wrapText="1"/>
    </xf>
    <xf numFmtId="49" fontId="13" fillId="0" borderId="1" xfId="8" applyNumberFormat="1" applyFont="1" applyFill="1" applyBorder="1" applyAlignment="1">
      <alignment horizontal="left" vertical="top" wrapText="1"/>
    </xf>
    <xf numFmtId="49" fontId="13" fillId="0" borderId="3" xfId="8" applyNumberFormat="1" applyFont="1" applyFill="1" applyBorder="1" applyAlignment="1">
      <alignment horizontal="left" vertical="top" wrapText="1"/>
    </xf>
    <xf numFmtId="0" fontId="13" fillId="0" borderId="19" xfId="8" applyFont="1" applyBorder="1" applyAlignment="1">
      <alignment horizontal="center"/>
    </xf>
    <xf numFmtId="0" fontId="13" fillId="0" borderId="15" xfId="8" applyFont="1" applyFill="1" applyBorder="1" applyAlignment="1">
      <alignment vertical="top" wrapText="1"/>
    </xf>
    <xf numFmtId="49" fontId="13" fillId="0" borderId="15" xfId="8" applyNumberFormat="1" applyFont="1" applyFill="1" applyBorder="1" applyAlignment="1">
      <alignment horizontal="left" vertical="top" wrapText="1"/>
    </xf>
    <xf numFmtId="49" fontId="13" fillId="0" borderId="15" xfId="8" applyNumberFormat="1" applyFont="1" applyFill="1" applyBorder="1" applyAlignment="1">
      <alignment vertical="top" wrapText="1"/>
    </xf>
    <xf numFmtId="49" fontId="13" fillId="0" borderId="26" xfId="8" applyNumberFormat="1" applyFont="1" applyFill="1" applyBorder="1" applyAlignment="1">
      <alignment vertical="top" wrapText="1"/>
    </xf>
    <xf numFmtId="43" fontId="9" fillId="0" borderId="58" xfId="9" applyFont="1" applyBorder="1" applyAlignment="1">
      <alignment vertical="center"/>
    </xf>
    <xf numFmtId="0" fontId="13" fillId="0" borderId="0" xfId="8" applyFont="1" applyFill="1" applyBorder="1" applyAlignment="1">
      <alignment horizontal="center"/>
    </xf>
    <xf numFmtId="0" fontId="3" fillId="0" borderId="0" xfId="8"/>
    <xf numFmtId="0" fontId="9" fillId="3" borderId="28" xfId="8" applyFont="1" applyFill="1" applyBorder="1" applyAlignment="1">
      <alignment horizontal="center"/>
    </xf>
    <xf numFmtId="0" fontId="9" fillId="3" borderId="9" xfId="8" applyFont="1" applyFill="1" applyBorder="1" applyAlignment="1">
      <alignment horizontal="center"/>
    </xf>
    <xf numFmtId="0" fontId="9" fillId="3" borderId="27" xfId="8" applyFont="1" applyFill="1" applyBorder="1" applyAlignment="1">
      <alignment horizontal="center"/>
    </xf>
    <xf numFmtId="0" fontId="13" fillId="0" borderId="7" xfId="8" applyFont="1" applyBorder="1" applyAlignment="1">
      <alignment horizontal="center"/>
    </xf>
    <xf numFmtId="0" fontId="9" fillId="0" borderId="0" xfId="8" applyFont="1" applyFill="1" applyBorder="1" applyAlignment="1">
      <alignment horizontal="center"/>
    </xf>
    <xf numFmtId="49" fontId="13" fillId="0" borderId="1" xfId="8" applyNumberFormat="1" applyFont="1" applyBorder="1" applyAlignment="1">
      <alignment horizontal="center"/>
    </xf>
    <xf numFmtId="49" fontId="13" fillId="0" borderId="3" xfId="8" applyNumberFormat="1" applyFont="1" applyBorder="1" applyAlignment="1">
      <alignment horizontal="center"/>
    </xf>
    <xf numFmtId="49" fontId="13" fillId="0" borderId="2" xfId="8" applyNumberFormat="1" applyFont="1" applyBorder="1" applyAlignment="1">
      <alignment horizontal="center"/>
    </xf>
    <xf numFmtId="49" fontId="13" fillId="0" borderId="5" xfId="8" applyNumberFormat="1" applyFont="1" applyBorder="1" applyAlignment="1">
      <alignment horizontal="center"/>
    </xf>
    <xf numFmtId="49" fontId="13" fillId="0" borderId="7" xfId="8" applyNumberFormat="1" applyFont="1" applyBorder="1" applyAlignment="1">
      <alignment horizontal="center"/>
    </xf>
    <xf numFmtId="0" fontId="36" fillId="0" borderId="0" xfId="8" applyFont="1" applyAlignment="1">
      <alignment horizontal="left" vertical="top"/>
    </xf>
    <xf numFmtId="0" fontId="37" fillId="0" borderId="0" xfId="8" applyFont="1"/>
    <xf numFmtId="0" fontId="36" fillId="0" borderId="0" xfId="8" applyFont="1"/>
    <xf numFmtId="0" fontId="36" fillId="0" borderId="0" xfId="8" applyFont="1" applyBorder="1" applyAlignment="1"/>
    <xf numFmtId="0" fontId="36" fillId="0" borderId="0" xfId="8" applyFont="1" applyBorder="1" applyAlignment="1">
      <alignment horizontal="left" wrapText="1"/>
    </xf>
    <xf numFmtId="49" fontId="36" fillId="0" borderId="19" xfId="8" applyNumberFormat="1" applyFont="1" applyBorder="1" applyAlignment="1">
      <alignment horizontal="center" vertical="top"/>
    </xf>
    <xf numFmtId="0" fontId="36" fillId="0" borderId="4" xfId="8" applyFont="1" applyFill="1" applyBorder="1" applyAlignment="1">
      <alignment horizontal="left" vertical="top" wrapText="1"/>
    </xf>
    <xf numFmtId="49" fontId="36" fillId="0" borderId="4" xfId="9" applyNumberFormat="1" applyFont="1" applyFill="1" applyBorder="1" applyAlignment="1">
      <alignment horizontal="left" vertical="top" wrapText="1"/>
    </xf>
    <xf numFmtId="0" fontId="36" fillId="0" borderId="4" xfId="8" applyFont="1" applyFill="1" applyBorder="1" applyAlignment="1">
      <alignment horizontal="center" vertical="center"/>
    </xf>
    <xf numFmtId="49" fontId="36" fillId="0" borderId="7" xfId="8" applyNumberFormat="1" applyFont="1" applyBorder="1" applyAlignment="1">
      <alignment horizontal="center" vertical="top"/>
    </xf>
    <xf numFmtId="49" fontId="36" fillId="0" borderId="4" xfId="8" applyNumberFormat="1" applyFont="1" applyBorder="1" applyAlignment="1">
      <alignment horizontal="center" vertical="top"/>
    </xf>
    <xf numFmtId="0" fontId="36" fillId="0" borderId="12" xfId="8" applyFont="1" applyFill="1" applyBorder="1" applyAlignment="1">
      <alignment horizontal="center" vertical="center"/>
    </xf>
    <xf numFmtId="49" fontId="36" fillId="0" borderId="0" xfId="8" applyNumberFormat="1" applyFont="1" applyBorder="1" applyAlignment="1">
      <alignment horizontal="center" vertical="top"/>
    </xf>
    <xf numFmtId="0" fontId="36" fillId="0" borderId="4" xfId="8" applyFont="1" applyBorder="1"/>
    <xf numFmtId="43" fontId="37" fillId="0" borderId="19" xfId="9" applyNumberFormat="1" applyFont="1" applyBorder="1" applyAlignment="1">
      <alignment horizontal="right" vertical="center"/>
    </xf>
    <xf numFmtId="43" fontId="37" fillId="0" borderId="15" xfId="9" applyNumberFormat="1" applyFont="1" applyBorder="1" applyAlignment="1">
      <alignment horizontal="right" vertical="center"/>
    </xf>
    <xf numFmtId="43" fontId="37" fillId="0" borderId="41" xfId="9" applyNumberFormat="1" applyFont="1" applyBorder="1" applyAlignment="1">
      <alignment horizontal="right" vertical="center"/>
    </xf>
    <xf numFmtId="0" fontId="36" fillId="0" borderId="0" xfId="8" applyFont="1" applyFill="1" applyBorder="1" applyAlignment="1">
      <alignment horizontal="left" vertical="top" wrapText="1"/>
    </xf>
    <xf numFmtId="49" fontId="36" fillId="0" borderId="0" xfId="9" applyNumberFormat="1" applyFont="1" applyFill="1" applyBorder="1" applyAlignment="1">
      <alignment horizontal="left" vertical="top" wrapText="1"/>
    </xf>
    <xf numFmtId="0" fontId="36" fillId="0" borderId="0" xfId="8" applyFont="1" applyFill="1" applyBorder="1" applyAlignment="1">
      <alignment horizontal="center" vertical="center"/>
    </xf>
    <xf numFmtId="43" fontId="37" fillId="0" borderId="0" xfId="9" applyNumberFormat="1" applyFont="1" applyBorder="1" applyAlignment="1">
      <alignment horizontal="right" vertical="center"/>
    </xf>
    <xf numFmtId="0" fontId="36" fillId="0" borderId="0" xfId="8" applyFont="1" applyBorder="1" applyAlignment="1">
      <alignment vertical="center"/>
    </xf>
    <xf numFmtId="49" fontId="37" fillId="0" borderId="0" xfId="8" applyNumberFormat="1" applyFont="1" applyFill="1" applyBorder="1" applyAlignment="1">
      <alignment horizontal="left" vertical="top" wrapText="1"/>
    </xf>
    <xf numFmtId="0" fontId="36" fillId="0" borderId="0" xfId="8" applyFont="1" applyBorder="1" applyAlignment="1">
      <alignment horizontal="center"/>
    </xf>
    <xf numFmtId="0" fontId="36" fillId="0" borderId="0" xfId="10" applyFont="1" applyFill="1" applyBorder="1" applyAlignment="1">
      <alignment horizontal="center"/>
    </xf>
    <xf numFmtId="43" fontId="53" fillId="0" borderId="0" xfId="9" applyFont="1" applyFill="1" applyBorder="1"/>
    <xf numFmtId="0" fontId="36" fillId="0" borderId="0" xfId="8" applyFont="1" applyAlignment="1">
      <alignment horizontal="left"/>
    </xf>
    <xf numFmtId="0" fontId="36" fillId="0" borderId="0" xfId="8" applyFont="1" applyAlignment="1"/>
    <xf numFmtId="49" fontId="36" fillId="0" borderId="0" xfId="8" applyNumberFormat="1" applyFont="1" applyBorder="1" applyAlignment="1">
      <alignment horizontal="center"/>
    </xf>
    <xf numFmtId="49" fontId="36" fillId="0" borderId="2" xfId="8" applyNumberFormat="1" applyFont="1" applyBorder="1" applyAlignment="1">
      <alignment horizontal="center"/>
    </xf>
    <xf numFmtId="0" fontId="36" fillId="0" borderId="2" xfId="8" applyFont="1" applyFill="1" applyBorder="1" applyAlignment="1">
      <alignment horizontal="left" wrapText="1"/>
    </xf>
    <xf numFmtId="0" fontId="3" fillId="0" borderId="0" xfId="8" applyFont="1" applyBorder="1" applyAlignment="1">
      <alignment horizontal="left" vertical="top"/>
    </xf>
    <xf numFmtId="0" fontId="36" fillId="0" borderId="2" xfId="8" applyFont="1" applyFill="1" applyBorder="1" applyAlignment="1">
      <alignment horizontal="left" vertical="top"/>
    </xf>
    <xf numFmtId="0" fontId="36" fillId="0" borderId="2" xfId="8" applyFont="1" applyBorder="1" applyAlignment="1">
      <alignment vertical="center"/>
    </xf>
    <xf numFmtId="0" fontId="37" fillId="0" borderId="2" xfId="8" applyFont="1" applyFill="1" applyBorder="1" applyAlignment="1">
      <alignment horizontal="left" wrapText="1"/>
    </xf>
    <xf numFmtId="0" fontId="36" fillId="0" borderId="2" xfId="8" applyFont="1" applyFill="1" applyBorder="1" applyAlignment="1">
      <alignment vertical="top" wrapText="1"/>
    </xf>
    <xf numFmtId="49" fontId="36" fillId="0" borderId="3" xfId="8" applyNumberFormat="1" applyFont="1" applyBorder="1" applyAlignment="1">
      <alignment horizontal="center"/>
    </xf>
    <xf numFmtId="0" fontId="36" fillId="0" borderId="3" xfId="8" applyFont="1" applyFill="1" applyBorder="1" applyAlignment="1">
      <alignment horizontal="left" vertical="top"/>
    </xf>
    <xf numFmtId="49" fontId="36" fillId="0" borderId="1" xfId="8" applyNumberFormat="1" applyFont="1" applyBorder="1" applyAlignment="1">
      <alignment horizontal="center"/>
    </xf>
    <xf numFmtId="0" fontId="37" fillId="0" borderId="2" xfId="8" applyFont="1" applyFill="1" applyBorder="1" applyAlignment="1">
      <alignment horizontal="left" vertical="top" wrapText="1"/>
    </xf>
    <xf numFmtId="49" fontId="36" fillId="0" borderId="9" xfId="9" applyNumberFormat="1" applyFont="1" applyFill="1" applyBorder="1" applyAlignment="1">
      <alignment horizontal="left" vertical="top" wrapText="1"/>
    </xf>
    <xf numFmtId="49" fontId="36" fillId="0" borderId="1" xfId="8" applyNumberFormat="1" applyFont="1" applyFill="1" applyBorder="1" applyAlignment="1">
      <alignment horizontal="left" vertical="top" wrapText="1"/>
    </xf>
    <xf numFmtId="0" fontId="36" fillId="0" borderId="1" xfId="8" applyFont="1" applyFill="1" applyBorder="1" applyAlignment="1">
      <alignment horizontal="left" vertical="top"/>
    </xf>
    <xf numFmtId="49" fontId="36" fillId="0" borderId="4" xfId="8" applyNumberFormat="1" applyFont="1" applyBorder="1" applyAlignment="1">
      <alignment horizontal="center"/>
    </xf>
    <xf numFmtId="49" fontId="36" fillId="0" borderId="15" xfId="9" applyNumberFormat="1" applyFont="1" applyFill="1" applyBorder="1" applyAlignment="1">
      <alignment horizontal="left" vertical="top" wrapText="1"/>
    </xf>
    <xf numFmtId="49" fontId="36" fillId="0" borderId="4" xfId="8" applyNumberFormat="1" applyFont="1" applyFill="1" applyBorder="1" applyAlignment="1">
      <alignment horizontal="left" vertical="top" wrapText="1"/>
    </xf>
    <xf numFmtId="0" fontId="36" fillId="0" borderId="4" xfId="8" applyFont="1" applyBorder="1" applyAlignment="1">
      <alignment vertical="center"/>
    </xf>
    <xf numFmtId="49" fontId="37" fillId="0" borderId="2" xfId="8" applyNumberFormat="1" applyFont="1" applyFill="1" applyBorder="1" applyAlignment="1">
      <alignment horizontal="left" vertical="top" wrapText="1"/>
    </xf>
    <xf numFmtId="0" fontId="36" fillId="0" borderId="3" xfId="8" applyFont="1" applyBorder="1" applyAlignment="1">
      <alignment vertical="center"/>
    </xf>
    <xf numFmtId="49" fontId="36" fillId="0" borderId="2" xfId="8" applyNumberFormat="1" applyFont="1" applyBorder="1" applyAlignment="1">
      <alignment horizontal="center" vertical="top"/>
    </xf>
    <xf numFmtId="0" fontId="36" fillId="0" borderId="19" xfId="8" applyFont="1" applyBorder="1" applyAlignment="1">
      <alignment vertical="center"/>
    </xf>
    <xf numFmtId="0" fontId="36" fillId="0" borderId="15" xfId="8" applyFont="1" applyBorder="1" applyAlignment="1">
      <alignment vertical="center"/>
    </xf>
    <xf numFmtId="49" fontId="36" fillId="0" borderId="15" xfId="8" applyNumberFormat="1" applyFont="1" applyFill="1" applyBorder="1" applyAlignment="1">
      <alignment horizontal="left" vertical="top" wrapText="1"/>
    </xf>
    <xf numFmtId="49" fontId="36" fillId="0" borderId="41" xfId="8" applyNumberFormat="1" applyFont="1" applyFill="1" applyBorder="1" applyAlignment="1">
      <alignment horizontal="left" vertical="top" wrapText="1"/>
    </xf>
    <xf numFmtId="43" fontId="37" fillId="0" borderId="10" xfId="8" applyNumberFormat="1" applyFont="1" applyFill="1" applyBorder="1" applyAlignment="1">
      <alignment horizontal="left" vertical="top" wrapText="1"/>
    </xf>
    <xf numFmtId="43" fontId="37" fillId="0" borderId="18" xfId="8" applyNumberFormat="1" applyFont="1" applyFill="1" applyBorder="1" applyAlignment="1">
      <alignment horizontal="left" vertical="top" wrapText="1"/>
    </xf>
    <xf numFmtId="43" fontId="37" fillId="0" borderId="40" xfId="8" applyNumberFormat="1" applyFont="1" applyFill="1" applyBorder="1" applyAlignment="1">
      <alignment horizontal="left" vertical="top" wrapText="1"/>
    </xf>
    <xf numFmtId="43" fontId="36" fillId="0" borderId="0" xfId="9" applyFont="1" applyBorder="1" applyAlignment="1">
      <alignment vertical="top"/>
    </xf>
    <xf numFmtId="0" fontId="9" fillId="3" borderId="6" xfId="8" applyFont="1" applyFill="1" applyBorder="1" applyAlignment="1">
      <alignment horizontal="center"/>
    </xf>
    <xf numFmtId="49" fontId="13" fillId="0" borderId="2" xfId="8" applyNumberFormat="1" applyFont="1" applyBorder="1"/>
    <xf numFmtId="0" fontId="13" fillId="0" borderId="1" xfId="8" applyFont="1" applyBorder="1"/>
    <xf numFmtId="0" fontId="13" fillId="0" borderId="0" xfId="8" applyFont="1" applyBorder="1" applyAlignment="1">
      <alignment horizontal="left" vertical="top" wrapText="1"/>
    </xf>
    <xf numFmtId="49" fontId="13" fillId="0" borderId="3" xfId="8" applyNumberFormat="1" applyFont="1" applyBorder="1"/>
    <xf numFmtId="0" fontId="13" fillId="0" borderId="4" xfId="8" applyFont="1" applyFill="1" applyBorder="1" applyAlignment="1">
      <alignment vertical="top" wrapText="1"/>
    </xf>
    <xf numFmtId="49" fontId="13" fillId="0" borderId="2" xfId="8" applyNumberFormat="1" applyFont="1" applyBorder="1" applyAlignment="1">
      <alignment horizontal="center" vertical="top"/>
    </xf>
    <xf numFmtId="49" fontId="13" fillId="0" borderId="1" xfId="8" applyNumberFormat="1" applyFont="1" applyBorder="1" applyAlignment="1">
      <alignment horizontal="center" vertical="top"/>
    </xf>
    <xf numFmtId="49" fontId="13" fillId="0" borderId="4" xfId="8" applyNumberFormat="1" applyFont="1" applyBorder="1" applyAlignment="1">
      <alignment horizontal="center" vertical="top"/>
    </xf>
    <xf numFmtId="49" fontId="13" fillId="0" borderId="19" xfId="8" applyNumberFormat="1" applyFont="1" applyBorder="1"/>
    <xf numFmtId="0" fontId="13" fillId="0" borderId="15" xfId="8" applyFont="1" applyBorder="1" applyAlignment="1">
      <alignment horizontal="left" vertical="top" wrapText="1"/>
    </xf>
    <xf numFmtId="0" fontId="13" fillId="0" borderId="15" xfId="8" applyFont="1" applyFill="1" applyBorder="1" applyAlignment="1">
      <alignment horizontal="left" vertical="top" wrapText="1"/>
    </xf>
    <xf numFmtId="0" fontId="13" fillId="0" borderId="26" xfId="8" applyFont="1" applyBorder="1" applyAlignment="1">
      <alignment vertical="top" wrapText="1"/>
    </xf>
    <xf numFmtId="43" fontId="9" fillId="0" borderId="11" xfId="9" applyFont="1" applyBorder="1" applyAlignment="1">
      <alignment vertical="center"/>
    </xf>
    <xf numFmtId="0" fontId="13" fillId="0" borderId="2" xfId="8" applyFont="1" applyBorder="1" applyAlignment="1">
      <alignment horizontal="left" vertical="center" wrapText="1"/>
    </xf>
    <xf numFmtId="0" fontId="13" fillId="0" borderId="3" xfId="8" applyFont="1" applyBorder="1" applyAlignment="1">
      <alignment horizontal="left" vertical="center" wrapText="1"/>
    </xf>
    <xf numFmtId="0" fontId="13" fillId="0" borderId="15" xfId="8" applyFont="1" applyBorder="1" applyAlignment="1">
      <alignment horizontal="left" vertical="center" wrapText="1"/>
    </xf>
    <xf numFmtId="0" fontId="13" fillId="0" borderId="41" xfId="8" applyFont="1" applyBorder="1" applyAlignment="1">
      <alignment horizontal="left" vertical="top" wrapText="1"/>
    </xf>
    <xf numFmtId="43" fontId="9" fillId="0" borderId="18" xfId="9" applyFont="1" applyBorder="1" applyAlignment="1">
      <alignment vertical="center"/>
    </xf>
    <xf numFmtId="43" fontId="9" fillId="0" borderId="40" xfId="9" applyFont="1" applyBorder="1" applyAlignment="1">
      <alignment vertical="center"/>
    </xf>
    <xf numFmtId="0" fontId="13" fillId="0" borderId="0" xfId="8" applyFont="1" applyAlignment="1">
      <alignment horizontal="left" vertical="top"/>
    </xf>
    <xf numFmtId="0" fontId="13" fillId="0" borderId="2" xfId="8" applyFont="1" applyBorder="1" applyAlignment="1">
      <alignment vertical="center" wrapText="1"/>
    </xf>
    <xf numFmtId="43" fontId="13" fillId="0" borderId="0" xfId="8" applyNumberFormat="1" applyFont="1"/>
    <xf numFmtId="0" fontId="13" fillId="0" borderId="15" xfId="8" applyFont="1" applyBorder="1" applyAlignment="1">
      <alignment vertical="center" wrapText="1"/>
    </xf>
    <xf numFmtId="0" fontId="20" fillId="0" borderId="0" xfId="8" applyFont="1"/>
    <xf numFmtId="4" fontId="11" fillId="0" borderId="0" xfId="0" applyNumberFormat="1" applyFont="1" applyBorder="1"/>
    <xf numFmtId="43" fontId="13" fillId="0" borderId="0" xfId="1" applyFont="1"/>
    <xf numFmtId="43" fontId="13" fillId="0" borderId="12" xfId="1" applyFont="1" applyBorder="1"/>
    <xf numFmtId="43" fontId="13" fillId="0" borderId="12" xfId="8" applyNumberFormat="1" applyFont="1" applyBorder="1"/>
    <xf numFmtId="43" fontId="9" fillId="0" borderId="18" xfId="8" applyNumberFormat="1" applyFont="1" applyBorder="1"/>
    <xf numFmtId="0" fontId="13" fillId="3" borderId="2" xfId="8" applyFont="1" applyFill="1" applyBorder="1" applyAlignment="1">
      <alignment horizontal="center" vertical="top" wrapText="1"/>
    </xf>
    <xf numFmtId="49" fontId="13" fillId="3" borderId="2" xfId="8" applyNumberFormat="1" applyFont="1" applyFill="1" applyBorder="1" applyAlignment="1">
      <alignment vertical="top" wrapText="1"/>
    </xf>
    <xf numFmtId="0" fontId="4" fillId="0" borderId="0" xfId="0" applyFont="1" applyBorder="1"/>
    <xf numFmtId="0" fontId="5" fillId="0" borderId="0" xfId="0" applyFont="1" applyBorder="1"/>
    <xf numFmtId="40" fontId="4" fillId="0" borderId="0" xfId="0" applyNumberFormat="1" applyFont="1" applyBorder="1"/>
    <xf numFmtId="0" fontId="7" fillId="0" borderId="0" xfId="0" applyFont="1" applyBorder="1" applyAlignment="1">
      <alignment horizontal="right"/>
    </xf>
    <xf numFmtId="40" fontId="7" fillId="0" borderId="0" xfId="0" applyNumberFormat="1" applyFont="1" applyAlignment="1">
      <alignment horizontal="center"/>
    </xf>
    <xf numFmtId="0" fontId="5" fillId="0" borderId="20" xfId="0" applyFont="1" applyBorder="1"/>
    <xf numFmtId="0" fontId="5" fillId="0" borderId="17" xfId="0" applyFont="1" applyBorder="1"/>
    <xf numFmtId="0" fontId="5" fillId="0" borderId="34" xfId="0" applyFont="1" applyBorder="1" applyAlignment="1">
      <alignment horizontal="center"/>
    </xf>
    <xf numFmtId="0" fontId="55" fillId="0" borderId="34" xfId="0" applyFont="1" applyBorder="1" applyAlignment="1">
      <alignment horizontal="center"/>
    </xf>
    <xf numFmtId="0" fontId="55" fillId="0" borderId="21" xfId="0" applyFont="1" applyBorder="1" applyAlignment="1"/>
    <xf numFmtId="0" fontId="55" fillId="0" borderId="2" xfId="0" applyFont="1" applyBorder="1" applyAlignment="1">
      <alignment horizontal="center"/>
    </xf>
    <xf numFmtId="0" fontId="6" fillId="0" borderId="2" xfId="0" applyFont="1" applyBorder="1" applyAlignment="1">
      <alignment horizontal="center"/>
    </xf>
    <xf numFmtId="0" fontId="55" fillId="0" borderId="36" xfId="0" applyFont="1" applyBorder="1" applyAlignment="1">
      <alignment horizontal="center"/>
    </xf>
    <xf numFmtId="0" fontId="5" fillId="0" borderId="22" xfId="0" applyFont="1" applyBorder="1"/>
    <xf numFmtId="0" fontId="5" fillId="0" borderId="2" xfId="0" applyFont="1" applyBorder="1" applyAlignment="1">
      <alignment horizontal="center"/>
    </xf>
    <xf numFmtId="0" fontId="55" fillId="0" borderId="2" xfId="0" quotePrefix="1" applyFont="1" applyBorder="1" applyAlignment="1">
      <alignment horizontal="center"/>
    </xf>
    <xf numFmtId="40" fontId="55" fillId="0" borderId="2" xfId="0" applyNumberFormat="1" applyFont="1" applyBorder="1" applyAlignment="1">
      <alignment horizontal="center"/>
    </xf>
    <xf numFmtId="0" fontId="55" fillId="0" borderId="36" xfId="0" quotePrefix="1" applyFont="1" applyBorder="1" applyAlignment="1">
      <alignment horizontal="center"/>
    </xf>
    <xf numFmtId="0" fontId="5" fillId="0" borderId="38" xfId="0" applyFont="1" applyBorder="1" applyAlignment="1">
      <alignment horizontal="center"/>
    </xf>
    <xf numFmtId="40" fontId="5" fillId="0" borderId="38" xfId="0" applyNumberFormat="1" applyFont="1" applyBorder="1" applyAlignment="1">
      <alignment horizontal="center"/>
    </xf>
    <xf numFmtId="0" fontId="5" fillId="0" borderId="39" xfId="0" applyFont="1" applyBorder="1" applyAlignment="1">
      <alignment horizontal="center"/>
    </xf>
    <xf numFmtId="0" fontId="55" fillId="0" borderId="47" xfId="0" applyFont="1" applyBorder="1"/>
    <xf numFmtId="0" fontId="55" fillId="0" borderId="48" xfId="0" applyFont="1" applyBorder="1"/>
    <xf numFmtId="0" fontId="55" fillId="0" borderId="55" xfId="0" applyFont="1" applyBorder="1" applyAlignment="1">
      <alignment horizontal="center"/>
    </xf>
    <xf numFmtId="0" fontId="15" fillId="0" borderId="55" xfId="0" applyFont="1" applyBorder="1" applyAlignment="1">
      <alignment horizontal="center"/>
    </xf>
    <xf numFmtId="43" fontId="15" fillId="0" borderId="55" xfId="0" applyNumberFormat="1" applyFont="1" applyBorder="1" applyAlignment="1">
      <alignment horizontal="center"/>
    </xf>
    <xf numFmtId="43" fontId="15" fillId="0" borderId="55" xfId="0" applyNumberFormat="1" applyFont="1" applyBorder="1" applyAlignment="1"/>
    <xf numFmtId="40" fontId="15" fillId="0" borderId="55" xfId="0" applyNumberFormat="1" applyFont="1" applyBorder="1" applyAlignment="1"/>
    <xf numFmtId="0" fontId="5" fillId="0" borderId="19" xfId="0" applyFont="1" applyBorder="1"/>
    <xf numFmtId="0" fontId="5" fillId="0" borderId="15" xfId="0" applyFont="1" applyBorder="1" applyAlignment="1">
      <alignment horizontal="left"/>
    </xf>
    <xf numFmtId="0" fontId="5" fillId="0" borderId="15" xfId="0" applyFont="1" applyBorder="1"/>
    <xf numFmtId="0" fontId="5" fillId="0" borderId="4" xfId="0" applyFont="1" applyBorder="1" applyAlignment="1">
      <alignment horizontal="center"/>
    </xf>
    <xf numFmtId="0" fontId="15" fillId="0" borderId="4" xfId="0" applyFont="1" applyBorder="1" applyAlignment="1">
      <alignment horizontal="center"/>
    </xf>
    <xf numFmtId="43" fontId="15" fillId="0" borderId="4" xfId="0" applyNumberFormat="1" applyFont="1" applyBorder="1" applyAlignment="1">
      <alignment horizontal="center"/>
    </xf>
    <xf numFmtId="43" fontId="15" fillId="0" borderId="4" xfId="0" applyNumberFormat="1" applyFont="1" applyBorder="1" applyAlignment="1"/>
    <xf numFmtId="43" fontId="15" fillId="0" borderId="4" xfId="2" applyNumberFormat="1" applyFont="1" applyBorder="1" applyAlignment="1"/>
    <xf numFmtId="43" fontId="15" fillId="0" borderId="4" xfId="1" quotePrefix="1" applyNumberFormat="1" applyFont="1" applyBorder="1" applyAlignment="1"/>
    <xf numFmtId="0" fontId="5" fillId="0" borderId="9" xfId="0" applyFont="1" applyBorder="1"/>
    <xf numFmtId="0" fontId="5" fillId="0" borderId="28" xfId="0" applyFont="1" applyBorder="1"/>
    <xf numFmtId="0" fontId="5" fillId="0" borderId="1" xfId="0" applyFont="1" applyBorder="1" applyAlignment="1">
      <alignment horizontal="center"/>
    </xf>
    <xf numFmtId="0" fontId="15" fillId="0" borderId="1" xfId="0" applyFont="1" applyBorder="1" applyAlignment="1">
      <alignment horizontal="center"/>
    </xf>
    <xf numFmtId="43" fontId="15" fillId="0" borderId="1" xfId="0" applyNumberFormat="1" applyFont="1" applyBorder="1" applyAlignment="1">
      <alignment horizontal="center"/>
    </xf>
    <xf numFmtId="43" fontId="15" fillId="0" borderId="2" xfId="0" applyNumberFormat="1" applyFont="1" applyBorder="1" applyAlignment="1"/>
    <xf numFmtId="43" fontId="15" fillId="0" borderId="2" xfId="1" applyNumberFormat="1" applyFont="1" applyBorder="1" applyAlignment="1"/>
    <xf numFmtId="40" fontId="15" fillId="0" borderId="2" xfId="1" quotePrefix="1" applyNumberFormat="1" applyFont="1" applyBorder="1" applyAlignment="1"/>
    <xf numFmtId="43" fontId="15" fillId="0" borderId="2" xfId="2" applyNumberFormat="1" applyFont="1" applyBorder="1" applyAlignment="1"/>
    <xf numFmtId="43" fontId="15" fillId="0" borderId="2" xfId="1" quotePrefix="1" applyNumberFormat="1" applyFont="1" applyBorder="1" applyAlignment="1"/>
    <xf numFmtId="0" fontId="55" fillId="0" borderId="52" xfId="0" applyFont="1" applyBorder="1"/>
    <xf numFmtId="0" fontId="55" fillId="0" borderId="56" xfId="0" applyFont="1" applyBorder="1"/>
    <xf numFmtId="0" fontId="55" fillId="0" borderId="50" xfId="0" applyFont="1" applyBorder="1" applyAlignment="1">
      <alignment horizontal="center"/>
    </xf>
    <xf numFmtId="0" fontId="16" fillId="0" borderId="50" xfId="0" applyFont="1" applyBorder="1" applyAlignment="1">
      <alignment horizontal="center"/>
    </xf>
    <xf numFmtId="43" fontId="16" fillId="0" borderId="50" xfId="0" applyNumberFormat="1" applyFont="1" applyBorder="1" applyAlignment="1">
      <alignment horizontal="center"/>
    </xf>
    <xf numFmtId="43" fontId="16" fillId="0" borderId="50" xfId="1" applyNumberFormat="1" applyFont="1" applyBorder="1" applyAlignment="1"/>
    <xf numFmtId="43" fontId="16" fillId="0" borderId="50" xfId="2" applyNumberFormat="1" applyFont="1" applyBorder="1" applyAlignment="1"/>
    <xf numFmtId="0" fontId="55" fillId="0" borderId="7" xfId="0" applyFont="1" applyBorder="1"/>
    <xf numFmtId="0" fontId="55" fillId="0" borderId="12" xfId="0" applyFont="1" applyBorder="1"/>
    <xf numFmtId="0" fontId="55" fillId="0" borderId="3" xfId="0" applyFont="1" applyBorder="1" applyAlignment="1">
      <alignment horizontal="center"/>
    </xf>
    <xf numFmtId="0" fontId="15" fillId="0" borderId="3" xfId="0" applyFont="1" applyBorder="1" applyAlignment="1">
      <alignment horizontal="center"/>
    </xf>
    <xf numFmtId="43" fontId="15" fillId="0" borderId="3" xfId="0" applyNumberFormat="1" applyFont="1" applyBorder="1" applyAlignment="1">
      <alignment horizontal="center"/>
    </xf>
    <xf numFmtId="43" fontId="15" fillId="0" borderId="3" xfId="0" applyNumberFormat="1" applyFont="1" applyBorder="1" applyAlignment="1"/>
    <xf numFmtId="43" fontId="15" fillId="0" borderId="3" xfId="1" applyNumberFormat="1" applyFont="1" applyBorder="1" applyAlignment="1"/>
    <xf numFmtId="40" fontId="15" fillId="0" borderId="3" xfId="1" applyNumberFormat="1" applyFont="1" applyBorder="1" applyAlignment="1"/>
    <xf numFmtId="0" fontId="55" fillId="0" borderId="19" xfId="0" applyFont="1" applyBorder="1"/>
    <xf numFmtId="0" fontId="55" fillId="0" borderId="15" xfId="0" applyFont="1" applyBorder="1"/>
    <xf numFmtId="0" fontId="55" fillId="0" borderId="4" xfId="0" applyFont="1" applyBorder="1" applyAlignment="1">
      <alignment horizontal="center"/>
    </xf>
    <xf numFmtId="43" fontId="15" fillId="0" borderId="4" xfId="1" applyNumberFormat="1" applyFont="1" applyBorder="1" applyAlignment="1"/>
    <xf numFmtId="40" fontId="15" fillId="0" borderId="4" xfId="1" applyNumberFormat="1" applyFont="1" applyBorder="1" applyAlignment="1"/>
    <xf numFmtId="0" fontId="5" fillId="0" borderId="4" xfId="0" quotePrefix="1" applyFont="1" applyBorder="1" applyAlignment="1">
      <alignment horizontal="center"/>
    </xf>
    <xf numFmtId="0" fontId="5" fillId="0" borderId="1" xfId="0" quotePrefix="1" applyFont="1" applyBorder="1" applyAlignment="1">
      <alignment horizontal="center"/>
    </xf>
    <xf numFmtId="43" fontId="15" fillId="0" borderId="1" xfId="0" applyNumberFormat="1" applyFont="1" applyBorder="1" applyAlignment="1"/>
    <xf numFmtId="43" fontId="15" fillId="0" borderId="1" xfId="1" applyNumberFormat="1" applyFont="1" applyBorder="1" applyAlignment="1"/>
    <xf numFmtId="40" fontId="15" fillId="0" borderId="1" xfId="1" applyNumberFormat="1" applyFont="1" applyBorder="1" applyAlignment="1"/>
    <xf numFmtId="43" fontId="16" fillId="0" borderId="50" xfId="0" applyNumberFormat="1" applyFont="1" applyBorder="1" applyAlignment="1"/>
    <xf numFmtId="40" fontId="16" fillId="0" borderId="50" xfId="0" applyNumberFormat="1" applyFont="1" applyBorder="1" applyAlignment="1"/>
    <xf numFmtId="0" fontId="5" fillId="0" borderId="7" xfId="0" applyFont="1" applyBorder="1"/>
    <xf numFmtId="0" fontId="5" fillId="0" borderId="12" xfId="0" applyFont="1" applyBorder="1"/>
    <xf numFmtId="0" fontId="5" fillId="0" borderId="3" xfId="0" applyFont="1" applyBorder="1" applyAlignment="1">
      <alignment horizontal="center"/>
    </xf>
    <xf numFmtId="4" fontId="4" fillId="0" borderId="0" xfId="0" quotePrefix="1" applyNumberFormat="1" applyFont="1"/>
    <xf numFmtId="4" fontId="4" fillId="0" borderId="0" xfId="0" applyNumberFormat="1" applyFont="1"/>
    <xf numFmtId="0" fontId="5" fillId="3" borderId="4" xfId="0" quotePrefix="1" applyFont="1" applyFill="1" applyBorder="1" applyAlignment="1">
      <alignment horizontal="center"/>
    </xf>
    <xf numFmtId="0" fontId="5" fillId="0" borderId="52" xfId="0" applyFont="1" applyBorder="1"/>
    <xf numFmtId="40" fontId="15" fillId="0" borderId="3" xfId="0" applyNumberFormat="1" applyFont="1" applyBorder="1" applyAlignment="1"/>
    <xf numFmtId="0" fontId="55" fillId="0" borderId="46" xfId="0" applyFont="1" applyBorder="1"/>
    <xf numFmtId="43" fontId="16" fillId="0" borderId="51" xfId="0" applyNumberFormat="1" applyFont="1" applyBorder="1" applyAlignment="1"/>
    <xf numFmtId="0" fontId="55" fillId="0" borderId="0" xfId="0" applyFont="1" applyBorder="1"/>
    <xf numFmtId="4" fontId="16" fillId="0" borderId="0" xfId="0" applyNumberFormat="1" applyFont="1" applyBorder="1" applyAlignment="1">
      <alignment horizontal="center"/>
    </xf>
    <xf numFmtId="43" fontId="16" fillId="0" borderId="0" xfId="0" applyNumberFormat="1" applyFont="1" applyBorder="1" applyAlignment="1"/>
    <xf numFmtId="40" fontId="16" fillId="0" borderId="0" xfId="0" applyNumberFormat="1" applyFont="1" applyBorder="1" applyAlignment="1"/>
    <xf numFmtId="0" fontId="57" fillId="0" borderId="0" xfId="0" applyFont="1"/>
    <xf numFmtId="40" fontId="55" fillId="0" borderId="2" xfId="0" quotePrefix="1" applyNumberFormat="1" applyFont="1" applyBorder="1" applyAlignment="1">
      <alignment horizontal="center"/>
    </xf>
    <xf numFmtId="4" fontId="15" fillId="0" borderId="4" xfId="0" applyNumberFormat="1" applyFont="1" applyBorder="1" applyAlignment="1">
      <alignment horizontal="center"/>
    </xf>
    <xf numFmtId="0" fontId="5" fillId="0" borderId="41" xfId="0" applyFont="1" applyBorder="1"/>
    <xf numFmtId="0" fontId="5" fillId="3" borderId="15" xfId="0" applyFont="1" applyFill="1" applyBorder="1"/>
    <xf numFmtId="0" fontId="15" fillId="3" borderId="4" xfId="0" applyFont="1" applyFill="1" applyBorder="1" applyAlignment="1">
      <alignment horizontal="center"/>
    </xf>
    <xf numFmtId="4" fontId="15" fillId="0" borderId="1" xfId="0" applyNumberFormat="1" applyFont="1" applyBorder="1" applyAlignment="1">
      <alignment horizontal="center"/>
    </xf>
    <xf numFmtId="0" fontId="55" fillId="0" borderId="50" xfId="0" quotePrefix="1" applyFont="1" applyBorder="1" applyAlignment="1">
      <alignment horizontal="center"/>
    </xf>
    <xf numFmtId="4" fontId="16" fillId="0" borderId="50" xfId="0" applyNumberFormat="1" applyFont="1" applyBorder="1" applyAlignment="1">
      <alignment horizontal="center"/>
    </xf>
    <xf numFmtId="0" fontId="55" fillId="0" borderId="3" xfId="0" quotePrefix="1" applyFont="1" applyBorder="1" applyAlignment="1">
      <alignment horizontal="center"/>
    </xf>
    <xf numFmtId="0" fontId="16" fillId="0" borderId="3" xfId="0" applyFont="1" applyBorder="1" applyAlignment="1">
      <alignment horizontal="center"/>
    </xf>
    <xf numFmtId="4" fontId="16" fillId="0" borderId="3" xfId="0" applyNumberFormat="1" applyFont="1" applyBorder="1" applyAlignment="1">
      <alignment horizontal="center"/>
    </xf>
    <xf numFmtId="43" fontId="16" fillId="0" borderId="3" xfId="0" applyNumberFormat="1" applyFont="1" applyBorder="1" applyAlignment="1"/>
    <xf numFmtId="0" fontId="5" fillId="0" borderId="3" xfId="0" quotePrefix="1" applyFont="1" applyBorder="1" applyAlignment="1">
      <alignment horizontal="center"/>
    </xf>
    <xf numFmtId="4" fontId="15" fillId="0" borderId="3" xfId="0" applyNumberFormat="1" applyFont="1" applyBorder="1" applyAlignment="1">
      <alignment horizontal="center"/>
    </xf>
    <xf numFmtId="0" fontId="55" fillId="0" borderId="28" xfId="0" applyFont="1" applyBorder="1"/>
    <xf numFmtId="40" fontId="15" fillId="0" borderId="2" xfId="1" applyNumberFormat="1" applyFont="1" applyBorder="1" applyAlignment="1"/>
    <xf numFmtId="0" fontId="5" fillId="0" borderId="56" xfId="0" applyFont="1" applyBorder="1"/>
    <xf numFmtId="0" fontId="5" fillId="0" borderId="50" xfId="0" quotePrefix="1" applyFont="1" applyBorder="1" applyAlignment="1">
      <alignment horizontal="center"/>
    </xf>
    <xf numFmtId="0" fontId="15" fillId="0" borderId="50" xfId="0" applyFont="1" applyBorder="1" applyAlignment="1">
      <alignment horizontal="center"/>
    </xf>
    <xf numFmtId="4" fontId="15" fillId="0" borderId="50" xfId="0" applyNumberFormat="1" applyFont="1" applyBorder="1" applyAlignment="1">
      <alignment horizontal="center"/>
    </xf>
    <xf numFmtId="43" fontId="16" fillId="0" borderId="3" xfId="1" applyNumberFormat="1" applyFont="1" applyBorder="1" applyAlignment="1"/>
    <xf numFmtId="40" fontId="16" fillId="0" borderId="3" xfId="1" applyNumberFormat="1" applyFont="1" applyBorder="1" applyAlignment="1"/>
    <xf numFmtId="43" fontId="15" fillId="0" borderId="4" xfId="1" applyNumberFormat="1" applyFont="1" applyBorder="1"/>
    <xf numFmtId="43" fontId="16" fillId="0" borderId="53" xfId="0" applyNumberFormat="1" applyFont="1" applyBorder="1" applyAlignment="1"/>
    <xf numFmtId="0" fontId="5" fillId="0" borderId="0" xfId="0" applyFont="1" applyBorder="1" applyAlignment="1">
      <alignment horizontal="center"/>
    </xf>
    <xf numFmtId="43" fontId="4" fillId="0" borderId="0" xfId="1" applyFont="1" applyBorder="1"/>
    <xf numFmtId="40" fontId="4" fillId="0" borderId="0" xfId="1" applyNumberFormat="1" applyFont="1" applyBorder="1"/>
    <xf numFmtId="0" fontId="59" fillId="0" borderId="0" xfId="0" applyFont="1" applyBorder="1" applyAlignment="1">
      <alignment horizontal="center"/>
    </xf>
    <xf numFmtId="40" fontId="59" fillId="0" borderId="0" xfId="0" applyNumberFormat="1" applyFont="1" applyBorder="1" applyAlignment="1">
      <alignment horizontal="center"/>
    </xf>
    <xf numFmtId="0" fontId="7" fillId="0" borderId="0" xfId="0" applyFont="1" applyBorder="1" applyAlignment="1">
      <alignment horizontal="left"/>
    </xf>
    <xf numFmtId="43" fontId="7" fillId="0" borderId="0" xfId="1" applyFont="1" applyBorder="1" applyAlignment="1"/>
    <xf numFmtId="43" fontId="4" fillId="0" borderId="0" xfId="1" applyFont="1" applyBorder="1" applyAlignment="1"/>
    <xf numFmtId="40" fontId="4" fillId="0" borderId="0" xfId="0" applyNumberFormat="1" applyFont="1"/>
    <xf numFmtId="0" fontId="5" fillId="0" borderId="55" xfId="0" applyFont="1" applyBorder="1" applyAlignment="1">
      <alignment horizontal="center"/>
    </xf>
    <xf numFmtId="4" fontId="15" fillId="0" borderId="55" xfId="0" applyNumberFormat="1" applyFont="1" applyBorder="1" applyAlignment="1">
      <alignment horizontal="center"/>
    </xf>
    <xf numFmtId="43" fontId="60" fillId="0" borderId="55" xfId="2" applyNumberFormat="1" applyFont="1" applyBorder="1"/>
    <xf numFmtId="43" fontId="60" fillId="0" borderId="4" xfId="0" applyNumberFormat="1" applyFont="1" applyBorder="1" applyAlignment="1">
      <alignment horizontal="right"/>
    </xf>
    <xf numFmtId="43" fontId="60" fillId="0" borderId="4" xfId="1" applyNumberFormat="1" applyFont="1" applyBorder="1" applyAlignment="1">
      <alignment horizontal="right"/>
    </xf>
    <xf numFmtId="40" fontId="60" fillId="0" borderId="4" xfId="1" applyNumberFormat="1" applyFont="1" applyBorder="1" applyAlignment="1">
      <alignment horizontal="right"/>
    </xf>
    <xf numFmtId="43" fontId="15" fillId="0" borderId="4" xfId="0" applyNumberFormat="1" applyFont="1" applyBorder="1" applyAlignment="1">
      <alignment horizontal="right"/>
    </xf>
    <xf numFmtId="43" fontId="15" fillId="0" borderId="4" xfId="1" applyNumberFormat="1" applyFont="1" applyBorder="1" applyAlignment="1">
      <alignment horizontal="right"/>
    </xf>
    <xf numFmtId="40" fontId="15" fillId="0" borderId="4" xfId="1" applyNumberFormat="1" applyFont="1" applyBorder="1" applyAlignment="1">
      <alignment horizontal="right"/>
    </xf>
    <xf numFmtId="43" fontId="15" fillId="0" borderId="2" xfId="0" applyNumberFormat="1" applyFont="1" applyBorder="1" applyAlignment="1">
      <alignment horizontal="right"/>
    </xf>
    <xf numFmtId="43" fontId="15" fillId="0" borderId="2" xfId="1" applyNumberFormat="1" applyFont="1" applyBorder="1" applyAlignment="1">
      <alignment horizontal="right"/>
    </xf>
    <xf numFmtId="43" fontId="16" fillId="0" borderId="50" xfId="0" applyNumberFormat="1" applyFont="1" applyBorder="1" applyAlignment="1">
      <alignment horizontal="right"/>
    </xf>
    <xf numFmtId="40" fontId="16" fillId="0" borderId="50" xfId="0" applyNumberFormat="1" applyFont="1" applyBorder="1" applyAlignment="1">
      <alignment horizontal="right"/>
    </xf>
    <xf numFmtId="43" fontId="15" fillId="0" borderId="3" xfId="0" applyNumberFormat="1" applyFont="1" applyBorder="1" applyAlignment="1">
      <alignment horizontal="right"/>
    </xf>
    <xf numFmtId="43" fontId="15" fillId="0" borderId="3" xfId="1" applyNumberFormat="1" applyFont="1" applyBorder="1" applyAlignment="1">
      <alignment horizontal="right"/>
    </xf>
    <xf numFmtId="40" fontId="15" fillId="0" borderId="3" xfId="1" applyNumberFormat="1" applyFont="1" applyBorder="1" applyAlignment="1">
      <alignment horizontal="right"/>
    </xf>
    <xf numFmtId="43" fontId="15" fillId="0" borderId="1" xfId="0" applyNumberFormat="1" applyFont="1" applyBorder="1" applyAlignment="1">
      <alignment horizontal="right"/>
    </xf>
    <xf numFmtId="43" fontId="15" fillId="0" borderId="1" xfId="1" applyNumberFormat="1" applyFont="1" applyBorder="1" applyAlignment="1">
      <alignment horizontal="right"/>
    </xf>
    <xf numFmtId="43" fontId="15" fillId="0" borderId="1" xfId="2" applyNumberFormat="1" applyFont="1" applyBorder="1"/>
    <xf numFmtId="43" fontId="16" fillId="0" borderId="51" xfId="0" applyNumberFormat="1" applyFont="1" applyBorder="1" applyAlignment="1">
      <alignment horizontal="right"/>
    </xf>
    <xf numFmtId="43" fontId="16" fillId="0" borderId="0" xfId="0" applyNumberFormat="1" applyFont="1" applyBorder="1" applyAlignment="1">
      <alignment horizontal="right"/>
    </xf>
    <xf numFmtId="40" fontId="16" fillId="0" borderId="0" xfId="0" applyNumberFormat="1" applyFont="1" applyBorder="1" applyAlignment="1">
      <alignment horizontal="right"/>
    </xf>
    <xf numFmtId="0" fontId="5" fillId="0" borderId="24" xfId="0" applyFont="1" applyBorder="1"/>
    <xf numFmtId="0" fontId="5" fillId="0" borderId="14" xfId="0" applyFont="1" applyBorder="1"/>
    <xf numFmtId="43" fontId="15" fillId="0" borderId="4" xfId="2" applyNumberFormat="1" applyFont="1" applyBorder="1"/>
    <xf numFmtId="0" fontId="5" fillId="0" borderId="60" xfId="0" applyFont="1" applyBorder="1"/>
    <xf numFmtId="4" fontId="15" fillId="0" borderId="2" xfId="0" applyNumberFormat="1" applyFont="1" applyBorder="1" applyAlignment="1">
      <alignment horizontal="center"/>
    </xf>
    <xf numFmtId="43" fontId="15" fillId="0" borderId="2" xfId="2" applyNumberFormat="1" applyFont="1" applyBorder="1"/>
    <xf numFmtId="0" fontId="55" fillId="0" borderId="26" xfId="0" applyFont="1" applyBorder="1"/>
    <xf numFmtId="0" fontId="55" fillId="0" borderId="3" xfId="0" applyFont="1" applyBorder="1"/>
    <xf numFmtId="43" fontId="16" fillId="0" borderId="3" xfId="0" applyNumberFormat="1" applyFont="1" applyBorder="1" applyAlignment="1">
      <alignment horizontal="right"/>
    </xf>
    <xf numFmtId="40" fontId="16" fillId="0" borderId="3" xfId="0" applyNumberFormat="1" applyFont="1" applyBorder="1" applyAlignment="1">
      <alignment horizontal="right"/>
    </xf>
    <xf numFmtId="0" fontId="61" fillId="0" borderId="0" xfId="0" applyFont="1" applyBorder="1"/>
    <xf numFmtId="0" fontId="61" fillId="0" borderId="0" xfId="0" applyFont="1" applyBorder="1" applyAlignment="1">
      <alignment horizontal="center"/>
    </xf>
    <xf numFmtId="0" fontId="8" fillId="0" borderId="0" xfId="0" applyFont="1" applyBorder="1" applyAlignment="1">
      <alignment horizontal="center"/>
    </xf>
    <xf numFmtId="43" fontId="8" fillId="0" borderId="0" xfId="1" applyFont="1" applyBorder="1"/>
    <xf numFmtId="40" fontId="8" fillId="0" borderId="0" xfId="1" applyNumberFormat="1" applyFont="1" applyBorder="1"/>
    <xf numFmtId="0" fontId="8" fillId="0" borderId="0" xfId="0" applyFont="1"/>
    <xf numFmtId="0" fontId="63" fillId="0" borderId="0" xfId="0" applyFont="1" applyBorder="1" applyAlignment="1">
      <alignment horizontal="center"/>
    </xf>
    <xf numFmtId="0" fontId="17" fillId="0" borderId="0" xfId="0" applyFont="1" applyBorder="1" applyAlignment="1">
      <alignment horizontal="left"/>
    </xf>
    <xf numFmtId="0" fontId="64" fillId="0" borderId="0" xfId="0" applyFont="1" applyBorder="1" applyAlignment="1">
      <alignment horizontal="center"/>
    </xf>
    <xf numFmtId="40" fontId="63" fillId="0" borderId="0" xfId="0" applyNumberFormat="1" applyFont="1" applyBorder="1" applyAlignment="1">
      <alignment horizontal="center"/>
    </xf>
    <xf numFmtId="0" fontId="60" fillId="0" borderId="0" xfId="0" applyFont="1" applyBorder="1"/>
    <xf numFmtId="0" fontId="17" fillId="0" borderId="0" xfId="0" applyFont="1" applyBorder="1"/>
    <xf numFmtId="43" fontId="60" fillId="0" borderId="0" xfId="1" applyFont="1" applyBorder="1"/>
    <xf numFmtId="40" fontId="60" fillId="0" borderId="0" xfId="1" applyNumberFormat="1" applyFont="1" applyBorder="1"/>
    <xf numFmtId="0" fontId="60" fillId="0" borderId="0" xfId="0" applyFont="1"/>
    <xf numFmtId="43" fontId="17" fillId="0" borderId="0" xfId="1" applyFont="1" applyBorder="1" applyAlignment="1"/>
    <xf numFmtId="43" fontId="60" fillId="0" borderId="0" xfId="1" applyFont="1" applyBorder="1" applyAlignment="1"/>
    <xf numFmtId="0" fontId="8" fillId="0" borderId="0" xfId="0" applyFont="1" applyBorder="1"/>
    <xf numFmtId="43" fontId="8" fillId="0" borderId="0" xfId="0" applyNumberFormat="1" applyFont="1" applyBorder="1" applyAlignment="1">
      <alignment horizontal="center"/>
    </xf>
    <xf numFmtId="43" fontId="8" fillId="0" borderId="0" xfId="1" applyFont="1" applyAlignment="1">
      <alignment horizontal="center"/>
    </xf>
    <xf numFmtId="43" fontId="8" fillId="0" borderId="0" xfId="1" applyFont="1"/>
    <xf numFmtId="43" fontId="10" fillId="0" borderId="0" xfId="1" applyFont="1"/>
    <xf numFmtId="0" fontId="16" fillId="0" borderId="0" xfId="0" applyFont="1" applyBorder="1"/>
    <xf numFmtId="0" fontId="15" fillId="0" borderId="0" xfId="0" applyFont="1" applyBorder="1"/>
    <xf numFmtId="0" fontId="16" fillId="0" borderId="0" xfId="0" applyFont="1" applyBorder="1" applyAlignment="1">
      <alignment horizontal="right"/>
    </xf>
    <xf numFmtId="0" fontId="55" fillId="0" borderId="35" xfId="0" applyFont="1" applyBorder="1" applyAlignment="1">
      <alignment horizontal="center"/>
    </xf>
    <xf numFmtId="0" fontId="5" fillId="0" borderId="41" xfId="0" quotePrefix="1" applyFont="1" applyBorder="1" applyAlignment="1">
      <alignment horizontal="center"/>
    </xf>
    <xf numFmtId="43" fontId="15" fillId="0" borderId="0" xfId="0" applyNumberFormat="1" applyFont="1" applyBorder="1" applyAlignment="1">
      <alignment horizontal="center"/>
    </xf>
    <xf numFmtId="0" fontId="15" fillId="0" borderId="0" xfId="0" applyFont="1" applyBorder="1" applyAlignment="1">
      <alignment horizontal="left"/>
    </xf>
    <xf numFmtId="43" fontId="4" fillId="0" borderId="0" xfId="0" applyNumberFormat="1" applyFont="1"/>
    <xf numFmtId="0" fontId="4" fillId="2" borderId="0" xfId="0" applyFont="1" applyFill="1"/>
    <xf numFmtId="0" fontId="15" fillId="0" borderId="0" xfId="0" applyFont="1"/>
    <xf numFmtId="0" fontId="5" fillId="0" borderId="42" xfId="0" applyFont="1" applyBorder="1"/>
    <xf numFmtId="0" fontId="55" fillId="0" borderId="43" xfId="0" applyFont="1" applyBorder="1" applyAlignment="1">
      <alignment horizontal="center"/>
    </xf>
    <xf numFmtId="0" fontId="5" fillId="0" borderId="44" xfId="0" applyFont="1" applyBorder="1" applyAlignment="1">
      <alignment horizontal="center"/>
    </xf>
    <xf numFmtId="0" fontId="5" fillId="0" borderId="47" xfId="0" applyFont="1" applyBorder="1" applyAlignment="1">
      <alignment horizontal="left"/>
    </xf>
    <xf numFmtId="0" fontId="5" fillId="0" borderId="48" xfId="0" applyFont="1" applyBorder="1" applyAlignment="1">
      <alignment horizontal="left"/>
    </xf>
    <xf numFmtId="0" fontId="5" fillId="0" borderId="49" xfId="0" applyFont="1" applyBorder="1" applyAlignment="1">
      <alignment horizontal="left"/>
    </xf>
    <xf numFmtId="0" fontId="5" fillId="0" borderId="55" xfId="0" applyFont="1" applyBorder="1" applyAlignment="1">
      <alignment horizontal="left"/>
    </xf>
    <xf numFmtId="43" fontId="5" fillId="0" borderId="49" xfId="0" applyNumberFormat="1" applyFont="1" applyBorder="1" applyAlignment="1">
      <alignment horizontal="center"/>
    </xf>
    <xf numFmtId="43" fontId="5" fillId="0" borderId="55" xfId="1" applyNumberFormat="1" applyFont="1" applyBorder="1"/>
    <xf numFmtId="0" fontId="15" fillId="0" borderId="19" xfId="0" applyFont="1" applyBorder="1" applyAlignment="1">
      <alignment horizontal="center"/>
    </xf>
    <xf numFmtId="0" fontId="13" fillId="0" borderId="19" xfId="0" applyFont="1" applyBorder="1" applyAlignment="1">
      <alignment horizontal="left"/>
    </xf>
    <xf numFmtId="0" fontId="13" fillId="0" borderId="15" xfId="0" applyFont="1" applyBorder="1" applyAlignment="1">
      <alignment horizontal="left"/>
    </xf>
    <xf numFmtId="0" fontId="13" fillId="0" borderId="41" xfId="0" applyFont="1" applyBorder="1" applyAlignment="1">
      <alignment horizontal="left"/>
    </xf>
    <xf numFmtId="43" fontId="15" fillId="0" borderId="15" xfId="0" applyNumberFormat="1" applyFont="1" applyBorder="1"/>
    <xf numFmtId="0" fontId="15" fillId="0" borderId="9" xfId="0" applyFont="1" applyBorder="1" applyAlignment="1">
      <alignment horizontal="center"/>
    </xf>
    <xf numFmtId="0" fontId="13" fillId="0" borderId="9" xfId="0" applyFont="1" applyBorder="1" applyAlignment="1">
      <alignment horizontal="left"/>
    </xf>
    <xf numFmtId="0" fontId="13" fillId="0" borderId="28" xfId="0" applyFont="1" applyBorder="1" applyAlignment="1">
      <alignment horizontal="left"/>
    </xf>
    <xf numFmtId="0" fontId="13" fillId="0" borderId="27" xfId="0" applyFont="1" applyBorder="1" applyAlignment="1">
      <alignment horizontal="left"/>
    </xf>
    <xf numFmtId="43" fontId="15" fillId="0" borderId="28" xfId="0" applyNumberFormat="1" applyFont="1" applyBorder="1"/>
    <xf numFmtId="43" fontId="15" fillId="0" borderId="1" xfId="1" applyNumberFormat="1" applyFont="1" applyBorder="1"/>
    <xf numFmtId="0" fontId="5" fillId="3" borderId="0" xfId="0" applyFont="1" applyFill="1"/>
    <xf numFmtId="0" fontId="16" fillId="0" borderId="0" xfId="0" applyFont="1"/>
    <xf numFmtId="43" fontId="5" fillId="0" borderId="0" xfId="1" applyFont="1" applyBorder="1"/>
    <xf numFmtId="43" fontId="19" fillId="0" borderId="0" xfId="0" quotePrefix="1" applyNumberFormat="1" applyFont="1" applyBorder="1" applyAlignment="1"/>
    <xf numFmtId="43" fontId="5" fillId="0" borderId="0" xfId="0" applyNumberFormat="1" applyFont="1"/>
    <xf numFmtId="0" fontId="16" fillId="0" borderId="46" xfId="0" applyFont="1" applyBorder="1" applyAlignment="1">
      <alignment horizontal="left"/>
    </xf>
    <xf numFmtId="0" fontId="13" fillId="0" borderId="52" xfId="0" applyFont="1" applyBorder="1" applyAlignment="1">
      <alignment horizontal="left"/>
    </xf>
    <xf numFmtId="0" fontId="13" fillId="0" borderId="56" xfId="0" applyFont="1" applyBorder="1" applyAlignment="1">
      <alignment horizontal="left"/>
    </xf>
    <xf numFmtId="0" fontId="13" fillId="0" borderId="59" xfId="0" applyFont="1" applyBorder="1" applyAlignment="1">
      <alignment horizontal="left"/>
    </xf>
    <xf numFmtId="43" fontId="16" fillId="0" borderId="50" xfId="0" applyNumberFormat="1" applyFont="1" applyBorder="1"/>
    <xf numFmtId="0" fontId="55" fillId="0" borderId="0" xfId="0" applyFont="1"/>
    <xf numFmtId="0" fontId="15" fillId="0" borderId="22" xfId="0" applyFont="1" applyBorder="1" applyAlignment="1">
      <alignment horizontal="center"/>
    </xf>
    <xf numFmtId="0" fontId="15" fillId="0" borderId="2" xfId="0" applyFont="1" applyBorder="1" applyAlignment="1">
      <alignment horizontal="center"/>
    </xf>
    <xf numFmtId="0" fontId="13" fillId="0" borderId="5" xfId="0" applyFont="1" applyBorder="1" applyAlignment="1">
      <alignment horizontal="left"/>
    </xf>
    <xf numFmtId="0" fontId="13" fillId="0" borderId="0" xfId="0" applyFont="1" applyBorder="1" applyAlignment="1">
      <alignment horizontal="left"/>
    </xf>
    <xf numFmtId="0" fontId="13" fillId="0" borderId="6" xfId="0" applyFont="1" applyBorder="1" applyAlignment="1">
      <alignment horizontal="left"/>
    </xf>
    <xf numFmtId="0" fontId="15" fillId="0" borderId="46" xfId="0" applyFont="1" applyBorder="1" applyAlignment="1">
      <alignment horizontal="center"/>
    </xf>
    <xf numFmtId="0" fontId="9" fillId="0" borderId="52" xfId="0" applyFont="1" applyBorder="1" applyAlignment="1">
      <alignment horizontal="left"/>
    </xf>
    <xf numFmtId="0" fontId="9" fillId="0" borderId="56" xfId="0" applyFont="1" applyBorder="1" applyAlignment="1">
      <alignment horizontal="left"/>
    </xf>
    <xf numFmtId="0" fontId="9" fillId="0" borderId="59" xfId="0" applyFont="1" applyBorder="1" applyAlignment="1">
      <alignment horizontal="left"/>
    </xf>
    <xf numFmtId="43" fontId="16" fillId="0" borderId="51" xfId="0" applyNumberFormat="1" applyFont="1" applyBorder="1"/>
    <xf numFmtId="43" fontId="15" fillId="0" borderId="0" xfId="1" applyFont="1" applyBorder="1" applyAlignment="1">
      <alignment horizontal="left"/>
    </xf>
    <xf numFmtId="4" fontId="5" fillId="0" borderId="0" xfId="0" applyNumberFormat="1" applyFont="1"/>
    <xf numFmtId="0" fontId="5" fillId="4" borderId="0" xfId="0" applyFont="1" applyFill="1"/>
    <xf numFmtId="43" fontId="5" fillId="4" borderId="0" xfId="0" applyNumberFormat="1" applyFont="1" applyFill="1"/>
    <xf numFmtId="43" fontId="5" fillId="2" borderId="0" xfId="0" applyNumberFormat="1" applyFont="1" applyFill="1"/>
    <xf numFmtId="43" fontId="5" fillId="0" borderId="0" xfId="1" applyFont="1"/>
    <xf numFmtId="0" fontId="7" fillId="0" borderId="0" xfId="0" applyFont="1" applyAlignment="1">
      <alignment horizontal="center"/>
    </xf>
    <xf numFmtId="0" fontId="55" fillId="0" borderId="0" xfId="0" applyFont="1" applyBorder="1" applyAlignment="1">
      <alignment horizontal="center"/>
    </xf>
    <xf numFmtId="0" fontId="17" fillId="0" borderId="0" xfId="0" applyFont="1" applyBorder="1" applyAlignment="1">
      <alignment horizontal="center"/>
    </xf>
    <xf numFmtId="0" fontId="60" fillId="0" borderId="0" xfId="0" applyFont="1" applyBorder="1" applyAlignment="1">
      <alignment horizontal="center"/>
    </xf>
    <xf numFmtId="0" fontId="4" fillId="0" borderId="0" xfId="0" applyFont="1" applyBorder="1" applyAlignment="1">
      <alignment horizontal="center"/>
    </xf>
    <xf numFmtId="0" fontId="7" fillId="0" borderId="0" xfId="0" applyFont="1" applyBorder="1" applyAlignment="1">
      <alignment horizontal="center"/>
    </xf>
    <xf numFmtId="0" fontId="58" fillId="0" borderId="0" xfId="0" applyFont="1" applyBorder="1" applyAlignment="1">
      <alignment horizontal="center"/>
    </xf>
    <xf numFmtId="0" fontId="55" fillId="0" borderId="0" xfId="0" applyFont="1" applyAlignment="1">
      <alignment horizontal="center"/>
    </xf>
    <xf numFmtId="0" fontId="15" fillId="0" borderId="0" xfId="0" applyFont="1" applyBorder="1" applyAlignment="1">
      <alignment horizontal="center"/>
    </xf>
    <xf numFmtId="0" fontId="16" fillId="0" borderId="0" xfId="0" applyFont="1" applyBorder="1" applyAlignment="1">
      <alignment horizontal="center"/>
    </xf>
    <xf numFmtId="0" fontId="4" fillId="0" borderId="0" xfId="0" applyFont="1" applyAlignment="1">
      <alignment horizontal="center"/>
    </xf>
    <xf numFmtId="0" fontId="10" fillId="0" borderId="0" xfId="0" applyFont="1" applyBorder="1" applyAlignment="1">
      <alignment horizontal="center"/>
    </xf>
    <xf numFmtId="43" fontId="4" fillId="3" borderId="0" xfId="0" applyNumberFormat="1" applyFont="1" applyFill="1"/>
    <xf numFmtId="0" fontId="15" fillId="3" borderId="19" xfId="0" applyFont="1" applyFill="1" applyBorder="1" applyAlignment="1">
      <alignment horizontal="center"/>
    </xf>
    <xf numFmtId="0" fontId="13" fillId="3" borderId="19" xfId="0" applyFont="1" applyFill="1" applyBorder="1" applyAlignment="1">
      <alignment horizontal="left"/>
    </xf>
    <xf numFmtId="0" fontId="13" fillId="3" borderId="15" xfId="0" applyFont="1" applyFill="1" applyBorder="1" applyAlignment="1">
      <alignment horizontal="left"/>
    </xf>
    <xf numFmtId="0" fontId="13" fillId="3" borderId="41" xfId="0" applyFont="1" applyFill="1" applyBorder="1" applyAlignment="1">
      <alignment horizontal="left"/>
    </xf>
    <xf numFmtId="43" fontId="15" fillId="3" borderId="4" xfId="1" applyNumberFormat="1" applyFont="1" applyFill="1" applyBorder="1"/>
    <xf numFmtId="0" fontId="16" fillId="0" borderId="24" xfId="0" applyFont="1" applyBorder="1"/>
    <xf numFmtId="0" fontId="16" fillId="0" borderId="38" xfId="0" applyFont="1" applyBorder="1" applyAlignment="1">
      <alignment horizontal="center"/>
    </xf>
    <xf numFmtId="0" fontId="16" fillId="0" borderId="60" xfId="0" applyFont="1" applyBorder="1" applyAlignment="1">
      <alignment horizontal="left"/>
    </xf>
    <xf numFmtId="0" fontId="16" fillId="0" borderId="14" xfId="0" applyFont="1" applyBorder="1" applyAlignment="1">
      <alignment horizontal="left"/>
    </xf>
    <xf numFmtId="0" fontId="16" fillId="0" borderId="37" xfId="0" applyFont="1" applyBorder="1" applyAlignment="1">
      <alignment horizontal="left"/>
    </xf>
    <xf numFmtId="0" fontId="16" fillId="0" borderId="38" xfId="0" applyFont="1" applyBorder="1" applyAlignment="1">
      <alignment horizontal="left"/>
    </xf>
    <xf numFmtId="43" fontId="16" fillId="0" borderId="37" xfId="0" applyNumberFormat="1" applyFont="1" applyBorder="1" applyAlignment="1">
      <alignment horizontal="right"/>
    </xf>
    <xf numFmtId="43" fontId="15" fillId="3" borderId="41" xfId="1" applyNumberFormat="1" applyFont="1" applyFill="1" applyBorder="1"/>
    <xf numFmtId="43" fontId="15" fillId="3" borderId="4" xfId="0" applyNumberFormat="1" applyFont="1" applyFill="1" applyBorder="1"/>
    <xf numFmtId="43" fontId="7" fillId="0" borderId="0" xfId="0" applyNumberFormat="1" applyFont="1" applyBorder="1"/>
    <xf numFmtId="49" fontId="36" fillId="0" borderId="9" xfId="8" applyNumberFormat="1" applyFont="1" applyBorder="1" applyAlignment="1">
      <alignment horizontal="center" vertical="top"/>
    </xf>
    <xf numFmtId="43" fontId="15" fillId="0" borderId="4" xfId="7" applyNumberFormat="1" applyFont="1" applyBorder="1" applyAlignment="1"/>
    <xf numFmtId="43" fontId="24" fillId="0" borderId="0" xfId="7" applyNumberFormat="1" applyFont="1" applyBorder="1"/>
    <xf numFmtId="0" fontId="15" fillId="0" borderId="0" xfId="0" applyFont="1" applyBorder="1" applyAlignment="1">
      <alignment horizontal="center"/>
    </xf>
    <xf numFmtId="43" fontId="15" fillId="0" borderId="0" xfId="1" applyFont="1" applyBorder="1" applyAlignment="1">
      <alignment horizontal="center"/>
    </xf>
    <xf numFmtId="0" fontId="16" fillId="0" borderId="0" xfId="0" applyFont="1" applyAlignment="1">
      <alignment horizontal="center"/>
    </xf>
    <xf numFmtId="0" fontId="16" fillId="0" borderId="0" xfId="0" applyFont="1" applyBorder="1" applyAlignment="1">
      <alignment horizontal="center"/>
    </xf>
    <xf numFmtId="43" fontId="15" fillId="3" borderId="15" xfId="0" applyNumberFormat="1" applyFont="1" applyFill="1" applyBorder="1"/>
    <xf numFmtId="0" fontId="15" fillId="3" borderId="0" xfId="0" applyFont="1" applyFill="1"/>
    <xf numFmtId="0" fontId="5" fillId="3" borderId="19" xfId="0" applyFont="1" applyFill="1" applyBorder="1"/>
    <xf numFmtId="4" fontId="15" fillId="3" borderId="4" xfId="0" applyNumberFormat="1" applyFont="1" applyFill="1" applyBorder="1" applyAlignment="1">
      <alignment horizontal="center"/>
    </xf>
    <xf numFmtId="43" fontId="15" fillId="3" borderId="4" xfId="0" applyNumberFormat="1" applyFont="1" applyFill="1" applyBorder="1" applyAlignment="1"/>
    <xf numFmtId="43" fontId="15" fillId="3" borderId="4" xfId="1" applyNumberFormat="1" applyFont="1" applyFill="1" applyBorder="1" applyAlignment="1"/>
    <xf numFmtId="40" fontId="15" fillId="3" borderId="4" xfId="1" applyNumberFormat="1" applyFont="1" applyFill="1" applyBorder="1" applyAlignment="1"/>
    <xf numFmtId="0" fontId="4" fillId="3" borderId="0" xfId="0" applyFont="1" applyFill="1"/>
    <xf numFmtId="0" fontId="13" fillId="0" borderId="2" xfId="8" applyFont="1" applyBorder="1" applyAlignment="1">
      <alignment horizontal="left" vertical="top" wrapText="1"/>
    </xf>
    <xf numFmtId="0" fontId="13" fillId="0" borderId="2" xfId="8" applyFont="1" applyFill="1" applyBorder="1" applyAlignment="1">
      <alignment horizontal="left" vertical="top" wrapText="1"/>
    </xf>
    <xf numFmtId="0" fontId="13" fillId="0" borderId="2" xfId="8" applyFont="1" applyBorder="1" applyAlignment="1">
      <alignment horizontal="left" vertical="center" wrapText="1"/>
    </xf>
    <xf numFmtId="0" fontId="13" fillId="0" borderId="2" xfId="8" applyFont="1" applyBorder="1" applyAlignment="1">
      <alignment vertical="top" wrapText="1"/>
    </xf>
    <xf numFmtId="0" fontId="13" fillId="0" borderId="3" xfId="8" applyFont="1" applyBorder="1" applyAlignment="1">
      <alignment vertical="top" wrapText="1"/>
    </xf>
    <xf numFmtId="0" fontId="44" fillId="0" borderId="0" xfId="8" quotePrefix="1" applyFont="1" applyAlignment="1">
      <alignment vertical="distributed" textRotation="180"/>
    </xf>
    <xf numFmtId="0" fontId="44" fillId="0" borderId="0" xfId="8" applyFont="1" applyAlignment="1">
      <alignment vertical="distributed" textRotation="180"/>
    </xf>
    <xf numFmtId="0" fontId="13" fillId="0" borderId="3" xfId="8" applyFont="1" applyBorder="1" applyAlignment="1">
      <alignment vertical="center" wrapText="1"/>
    </xf>
    <xf numFmtId="0" fontId="13" fillId="0" borderId="4" xfId="8" applyFont="1" applyBorder="1" applyAlignment="1">
      <alignment vertical="center"/>
    </xf>
    <xf numFmtId="0" fontId="5" fillId="3" borderId="9" xfId="0" applyFont="1" applyFill="1" applyBorder="1"/>
    <xf numFmtId="0" fontId="5" fillId="3" borderId="28" xfId="0" applyFont="1" applyFill="1" applyBorder="1"/>
    <xf numFmtId="0" fontId="5" fillId="3" borderId="1" xfId="0" quotePrefix="1" applyFont="1" applyFill="1" applyBorder="1" applyAlignment="1">
      <alignment horizontal="center"/>
    </xf>
    <xf numFmtId="0" fontId="15" fillId="3" borderId="1" xfId="0" applyFont="1" applyFill="1" applyBorder="1" applyAlignment="1">
      <alignment horizontal="center"/>
    </xf>
    <xf numFmtId="4" fontId="15" fillId="3" borderId="1" xfId="0" applyNumberFormat="1" applyFont="1" applyFill="1" applyBorder="1" applyAlignment="1">
      <alignment horizontal="center"/>
    </xf>
    <xf numFmtId="43" fontId="15" fillId="3" borderId="1" xfId="0" applyNumberFormat="1" applyFont="1" applyFill="1" applyBorder="1" applyAlignment="1"/>
    <xf numFmtId="49" fontId="16" fillId="4" borderId="29" xfId="6" applyNumberFormat="1" applyFont="1" applyFill="1" applyBorder="1" applyAlignment="1">
      <alignment horizontal="center" wrapText="1"/>
    </xf>
    <xf numFmtId="0" fontId="15" fillId="5" borderId="0" xfId="6" applyFont="1" applyFill="1"/>
    <xf numFmtId="49" fontId="36" fillId="0" borderId="5" xfId="8" applyNumberFormat="1" applyFont="1" applyBorder="1" applyAlignment="1">
      <alignment horizontal="center" vertical="top"/>
    </xf>
    <xf numFmtId="0" fontId="37" fillId="3" borderId="0" xfId="8" applyFont="1" applyFill="1" applyBorder="1" applyAlignment="1">
      <alignment horizontal="center" vertical="center"/>
    </xf>
    <xf numFmtId="0" fontId="37" fillId="3" borderId="6" xfId="8" applyFont="1" applyFill="1" applyBorder="1" applyAlignment="1">
      <alignment horizontal="center" vertical="center"/>
    </xf>
    <xf numFmtId="0" fontId="16" fillId="0" borderId="0" xfId="13" applyFont="1" applyBorder="1"/>
    <xf numFmtId="0" fontId="15" fillId="0" borderId="0" xfId="13" applyFont="1" applyBorder="1"/>
    <xf numFmtId="0" fontId="16" fillId="0" borderId="0" xfId="13" applyFont="1" applyBorder="1" applyAlignment="1">
      <alignment horizontal="right"/>
    </xf>
    <xf numFmtId="0" fontId="60" fillId="0" borderId="0" xfId="13" applyFont="1"/>
    <xf numFmtId="0" fontId="4" fillId="0" borderId="0" xfId="13" applyFont="1"/>
    <xf numFmtId="0" fontId="5" fillId="0" borderId="20" xfId="13" applyFont="1" applyBorder="1"/>
    <xf numFmtId="0" fontId="5" fillId="0" borderId="17" xfId="13" applyFont="1" applyBorder="1"/>
    <xf numFmtId="0" fontId="5" fillId="0" borderId="33" xfId="13" applyFont="1" applyBorder="1"/>
    <xf numFmtId="0" fontId="5" fillId="0" borderId="33" xfId="13" applyFont="1" applyBorder="1" applyAlignment="1">
      <alignment horizontal="center"/>
    </xf>
    <xf numFmtId="0" fontId="55" fillId="0" borderId="34" xfId="13" applyFont="1" applyBorder="1" applyAlignment="1">
      <alignment horizontal="center"/>
    </xf>
    <xf numFmtId="0" fontId="55" fillId="0" borderId="35" xfId="13" applyFont="1" applyBorder="1" applyAlignment="1">
      <alignment horizontal="center"/>
    </xf>
    <xf numFmtId="0" fontId="55" fillId="0" borderId="2" xfId="13" applyFont="1" applyBorder="1" applyAlignment="1">
      <alignment horizontal="center"/>
    </xf>
    <xf numFmtId="0" fontId="55" fillId="0" borderId="36" xfId="13" applyFont="1" applyBorder="1" applyAlignment="1">
      <alignment horizontal="center"/>
    </xf>
    <xf numFmtId="0" fontId="5" fillId="0" borderId="6" xfId="13" applyFont="1" applyBorder="1" applyAlignment="1">
      <alignment horizontal="center"/>
    </xf>
    <xf numFmtId="0" fontId="6" fillId="0" borderId="2" xfId="13" applyFont="1" applyBorder="1" applyAlignment="1">
      <alignment horizontal="center"/>
    </xf>
    <xf numFmtId="0" fontId="5" fillId="0" borderId="22" xfId="13" applyFont="1" applyBorder="1"/>
    <xf numFmtId="0" fontId="5" fillId="0" borderId="0" xfId="13" applyFont="1" applyBorder="1"/>
    <xf numFmtId="0" fontId="5" fillId="0" borderId="6" xfId="13" applyFont="1" applyBorder="1"/>
    <xf numFmtId="0" fontId="5" fillId="0" borderId="38" xfId="13" applyFont="1" applyBorder="1" applyAlignment="1">
      <alignment horizontal="center"/>
    </xf>
    <xf numFmtId="0" fontId="5" fillId="0" borderId="39" xfId="13" applyFont="1" applyBorder="1" applyAlignment="1">
      <alignment horizontal="center"/>
    </xf>
    <xf numFmtId="0" fontId="5" fillId="0" borderId="47" xfId="13" applyFont="1" applyBorder="1"/>
    <xf numFmtId="0" fontId="5" fillId="0" borderId="48" xfId="13" applyFont="1" applyBorder="1"/>
    <xf numFmtId="0" fontId="55" fillId="0" borderId="48" xfId="13" applyFont="1" applyBorder="1"/>
    <xf numFmtId="0" fontId="5" fillId="0" borderId="49" xfId="13" applyFont="1" applyBorder="1"/>
    <xf numFmtId="0" fontId="5" fillId="0" borderId="49" xfId="13" applyFont="1" applyBorder="1" applyAlignment="1">
      <alignment horizontal="center"/>
    </xf>
    <xf numFmtId="49" fontId="60" fillId="0" borderId="55" xfId="13" applyNumberFormat="1" applyFont="1" applyBorder="1" applyAlignment="1">
      <alignment horizontal="center"/>
    </xf>
    <xf numFmtId="43" fontId="60" fillId="0" borderId="55" xfId="13" applyNumberFormat="1" applyFont="1" applyBorder="1" applyAlignment="1">
      <alignment horizontal="center"/>
    </xf>
    <xf numFmtId="43" fontId="60" fillId="0" borderId="55" xfId="7" applyNumberFormat="1" applyFont="1" applyBorder="1"/>
    <xf numFmtId="0" fontId="5" fillId="0" borderId="19" xfId="13" applyFont="1" applyBorder="1"/>
    <xf numFmtId="0" fontId="5" fillId="0" borderId="15" xfId="13" applyFont="1" applyBorder="1"/>
    <xf numFmtId="0" fontId="5" fillId="0" borderId="41" xfId="13" applyFont="1" applyBorder="1"/>
    <xf numFmtId="0" fontId="5" fillId="0" borderId="41" xfId="13" quotePrefix="1" applyFont="1" applyBorder="1" applyAlignment="1">
      <alignment horizontal="center"/>
    </xf>
    <xf numFmtId="49" fontId="17" fillId="0" borderId="4" xfId="13" applyNumberFormat="1" applyFont="1" applyBorder="1" applyAlignment="1">
      <alignment horizontal="center"/>
    </xf>
    <xf numFmtId="43" fontId="60" fillId="0" borderId="4" xfId="13" applyNumberFormat="1" applyFont="1" applyBorder="1" applyAlignment="1">
      <alignment horizontal="center"/>
    </xf>
    <xf numFmtId="43" fontId="60" fillId="0" borderId="4" xfId="7" applyNumberFormat="1" applyFont="1" applyBorder="1"/>
    <xf numFmtId="0" fontId="15" fillId="0" borderId="4" xfId="13" applyFont="1" applyBorder="1" applyAlignment="1">
      <alignment horizontal="center"/>
    </xf>
    <xf numFmtId="43" fontId="15" fillId="0" borderId="4" xfId="13" applyNumberFormat="1" applyFont="1" applyBorder="1" applyAlignment="1">
      <alignment horizontal="right"/>
    </xf>
    <xf numFmtId="43" fontId="15" fillId="0" borderId="4" xfId="7" applyNumberFormat="1" applyFont="1" applyBorder="1" applyAlignment="1">
      <alignment horizontal="right"/>
    </xf>
    <xf numFmtId="49" fontId="60" fillId="0" borderId="4" xfId="13" applyNumberFormat="1" applyFont="1" applyBorder="1" applyAlignment="1">
      <alignment horizontal="center"/>
    </xf>
    <xf numFmtId="0" fontId="5" fillId="0" borderId="4" xfId="13" quotePrefix="1" applyFont="1" applyBorder="1" applyAlignment="1">
      <alignment horizontal="center"/>
    </xf>
    <xf numFmtId="0" fontId="55" fillId="0" borderId="19" xfId="13" applyFont="1" applyBorder="1"/>
    <xf numFmtId="0" fontId="55" fillId="0" borderId="15" xfId="13" applyFont="1" applyBorder="1"/>
    <xf numFmtId="0" fontId="55" fillId="0" borderId="41" xfId="13" applyFont="1" applyBorder="1"/>
    <xf numFmtId="0" fontId="55" fillId="0" borderId="41" xfId="13" quotePrefix="1" applyFont="1" applyBorder="1" applyAlignment="1">
      <alignment horizontal="center"/>
    </xf>
    <xf numFmtId="43" fontId="16" fillId="0" borderId="4" xfId="13" applyNumberFormat="1" applyFont="1" applyBorder="1" applyAlignment="1">
      <alignment horizontal="right"/>
    </xf>
    <xf numFmtId="0" fontId="7" fillId="0" borderId="0" xfId="13" applyFont="1"/>
    <xf numFmtId="0" fontId="4" fillId="0" borderId="0" xfId="13" quotePrefix="1" applyFont="1"/>
    <xf numFmtId="43" fontId="16" fillId="0" borderId="4" xfId="7" applyNumberFormat="1" applyFont="1" applyBorder="1" applyAlignment="1">
      <alignment horizontal="right"/>
    </xf>
    <xf numFmtId="0" fontId="55" fillId="0" borderId="7" xfId="13" applyFont="1" applyBorder="1"/>
    <xf numFmtId="0" fontId="55" fillId="0" borderId="12" xfId="13" applyFont="1" applyBorder="1"/>
    <xf numFmtId="0" fontId="55" fillId="0" borderId="26" xfId="13" applyFont="1" applyBorder="1"/>
    <xf numFmtId="0" fontId="55" fillId="0" borderId="26" xfId="13" applyFont="1" applyBorder="1" applyAlignment="1">
      <alignment horizontal="center"/>
    </xf>
    <xf numFmtId="49" fontId="17" fillId="0" borderId="3" xfId="13" applyNumberFormat="1" applyFont="1" applyBorder="1" applyAlignment="1">
      <alignment horizontal="center"/>
    </xf>
    <xf numFmtId="43" fontId="16" fillId="0" borderId="3" xfId="13" applyNumberFormat="1" applyFont="1" applyBorder="1" applyAlignment="1">
      <alignment horizontal="right"/>
    </xf>
    <xf numFmtId="0" fontId="55" fillId="0" borderId="0" xfId="13" applyFont="1" applyBorder="1"/>
    <xf numFmtId="0" fontId="15" fillId="0" borderId="0" xfId="13" applyFont="1" applyBorder="1" applyAlignment="1">
      <alignment horizontal="center"/>
    </xf>
    <xf numFmtId="43" fontId="15" fillId="0" borderId="0" xfId="7" applyFont="1" applyBorder="1"/>
    <xf numFmtId="0" fontId="15" fillId="0" borderId="0" xfId="13" applyFont="1" applyBorder="1" applyAlignment="1">
      <alignment horizontal="left"/>
    </xf>
    <xf numFmtId="0" fontId="15" fillId="0" borderId="0" xfId="13" applyFont="1" applyBorder="1" applyAlignment="1"/>
    <xf numFmtId="43" fontId="15" fillId="0" borderId="0" xfId="7" applyFont="1" applyBorder="1" applyAlignment="1">
      <alignment horizontal="center"/>
    </xf>
    <xf numFmtId="49" fontId="15" fillId="0" borderId="55" xfId="13" applyNumberFormat="1" applyFont="1" applyBorder="1" applyAlignment="1">
      <alignment horizontal="center"/>
    </xf>
    <xf numFmtId="0" fontId="15" fillId="0" borderId="55" xfId="13" applyFont="1" applyBorder="1" applyAlignment="1">
      <alignment horizontal="center"/>
    </xf>
    <xf numFmtId="43" fontId="15" fillId="0" borderId="55" xfId="7" applyFont="1" applyBorder="1"/>
    <xf numFmtId="49" fontId="15" fillId="0" borderId="4" xfId="13" applyNumberFormat="1" applyFont="1" applyBorder="1" applyAlignment="1">
      <alignment horizontal="center"/>
    </xf>
    <xf numFmtId="4" fontId="15" fillId="0" borderId="4" xfId="13" applyNumberFormat="1" applyFont="1" applyBorder="1" applyAlignment="1">
      <alignment horizontal="center"/>
    </xf>
    <xf numFmtId="4" fontId="15" fillId="0" borderId="4" xfId="7" applyNumberFormat="1" applyFont="1" applyBorder="1"/>
    <xf numFmtId="49" fontId="16" fillId="0" borderId="4" xfId="13" applyNumberFormat="1" applyFont="1" applyBorder="1" applyAlignment="1">
      <alignment horizontal="center"/>
    </xf>
    <xf numFmtId="49" fontId="16" fillId="0" borderId="3" xfId="13" applyNumberFormat="1" applyFont="1" applyBorder="1" applyAlignment="1">
      <alignment horizontal="center"/>
    </xf>
    <xf numFmtId="4" fontId="15" fillId="0" borderId="0" xfId="13" applyNumberFormat="1" applyFont="1" applyBorder="1" applyAlignment="1">
      <alignment horizontal="center"/>
    </xf>
    <xf numFmtId="43" fontId="15" fillId="0" borderId="55" xfId="13" applyNumberFormat="1" applyFont="1" applyBorder="1" applyAlignment="1">
      <alignment horizontal="center"/>
    </xf>
    <xf numFmtId="43" fontId="15" fillId="0" borderId="55" xfId="7" applyNumberFormat="1" applyFont="1" applyBorder="1"/>
    <xf numFmtId="43" fontId="15" fillId="0" borderId="4" xfId="13" applyNumberFormat="1" applyFont="1" applyBorder="1" applyAlignment="1">
      <alignment horizontal="center"/>
    </xf>
    <xf numFmtId="43" fontId="15" fillId="0" borderId="4" xfId="7" applyNumberFormat="1" applyFont="1" applyBorder="1"/>
    <xf numFmtId="0" fontId="45" fillId="0" borderId="0" xfId="13" applyFont="1"/>
    <xf numFmtId="43" fontId="19" fillId="0" borderId="0" xfId="13" quotePrefix="1" applyNumberFormat="1" applyFont="1" applyBorder="1" applyAlignment="1">
      <alignment horizontal="right"/>
    </xf>
    <xf numFmtId="43" fontId="4" fillId="0" borderId="0" xfId="13" applyNumberFormat="1" applyFont="1"/>
    <xf numFmtId="0" fontId="55" fillId="2" borderId="19" xfId="13" applyFont="1" applyFill="1" applyBorder="1"/>
    <xf numFmtId="0" fontId="5" fillId="2" borderId="15" xfId="13" applyFont="1" applyFill="1" applyBorder="1"/>
    <xf numFmtId="0" fontId="55" fillId="2" borderId="15" xfId="13" applyFont="1" applyFill="1" applyBorder="1"/>
    <xf numFmtId="0" fontId="55" fillId="2" borderId="41" xfId="13" applyFont="1" applyFill="1" applyBorder="1"/>
    <xf numFmtId="0" fontId="55" fillId="2" borderId="41" xfId="13" quotePrefix="1" applyFont="1" applyFill="1" applyBorder="1" applyAlignment="1">
      <alignment horizontal="center"/>
    </xf>
    <xf numFmtId="49" fontId="15" fillId="2" borderId="4" xfId="13" applyNumberFormat="1" applyFont="1" applyFill="1" applyBorder="1" applyAlignment="1">
      <alignment horizontal="center"/>
    </xf>
    <xf numFmtId="43" fontId="15" fillId="2" borderId="4" xfId="13" applyNumberFormat="1" applyFont="1" applyFill="1" applyBorder="1" applyAlignment="1">
      <alignment horizontal="right"/>
    </xf>
    <xf numFmtId="43" fontId="15" fillId="2" borderId="4" xfId="7" applyNumberFormat="1" applyFont="1" applyFill="1" applyBorder="1" applyAlignment="1">
      <alignment horizontal="right"/>
    </xf>
    <xf numFmtId="0" fontId="4" fillId="2" borderId="0" xfId="13" applyFont="1" applyFill="1"/>
    <xf numFmtId="0" fontId="55" fillId="2" borderId="7" xfId="13" applyFont="1" applyFill="1" applyBorder="1"/>
    <xf numFmtId="0" fontId="55" fillId="2" borderId="12" xfId="13" applyFont="1" applyFill="1" applyBorder="1"/>
    <xf numFmtId="0" fontId="55" fillId="2" borderId="26" xfId="13" applyFont="1" applyFill="1" applyBorder="1"/>
    <xf numFmtId="0" fontId="55" fillId="2" borderId="26" xfId="13" quotePrefix="1" applyFont="1" applyFill="1" applyBorder="1" applyAlignment="1">
      <alignment horizontal="center"/>
    </xf>
    <xf numFmtId="49" fontId="16" fillId="2" borderId="3" xfId="13" applyNumberFormat="1" applyFont="1" applyFill="1" applyBorder="1" applyAlignment="1">
      <alignment horizontal="center"/>
    </xf>
    <xf numFmtId="43" fontId="16" fillId="2" borderId="3" xfId="13" applyNumberFormat="1" applyFont="1" applyFill="1" applyBorder="1" applyAlignment="1">
      <alignment horizontal="right"/>
    </xf>
    <xf numFmtId="43" fontId="16" fillId="2" borderId="3" xfId="7" applyNumberFormat="1" applyFont="1" applyFill="1" applyBorder="1" applyAlignment="1">
      <alignment horizontal="right"/>
    </xf>
    <xf numFmtId="43" fontId="16" fillId="2" borderId="4" xfId="7" applyNumberFormat="1" applyFont="1" applyFill="1" applyBorder="1" applyAlignment="1">
      <alignment horizontal="right"/>
    </xf>
    <xf numFmtId="0" fontId="7" fillId="2" borderId="0" xfId="13" applyFont="1" applyFill="1"/>
    <xf numFmtId="0" fontId="8" fillId="0" borderId="0" xfId="13" applyFont="1"/>
    <xf numFmtId="43" fontId="8" fillId="0" borderId="0" xfId="13" applyNumberFormat="1" applyFont="1"/>
    <xf numFmtId="0" fontId="37" fillId="3" borderId="5" xfId="8" applyFont="1" applyFill="1" applyBorder="1" applyAlignment="1">
      <alignment horizontal="center" vertical="center"/>
    </xf>
    <xf numFmtId="43" fontId="56" fillId="3" borderId="0" xfId="1" applyFont="1" applyFill="1"/>
    <xf numFmtId="43" fontId="29" fillId="0" borderId="0" xfId="7" applyFont="1" applyBorder="1" applyAlignment="1">
      <alignment horizontal="center"/>
    </xf>
    <xf numFmtId="43" fontId="27" fillId="0" borderId="0" xfId="7" applyFont="1" applyBorder="1" applyAlignment="1">
      <alignment horizontal="center"/>
    </xf>
    <xf numFmtId="43" fontId="28" fillId="0" borderId="0" xfId="7" applyFont="1" applyBorder="1"/>
    <xf numFmtId="43" fontId="25" fillId="0" borderId="0" xfId="7" quotePrefix="1" applyFont="1" applyBorder="1" applyAlignment="1">
      <alignment horizontal="center"/>
    </xf>
    <xf numFmtId="43" fontId="29" fillId="0" borderId="0" xfId="7" applyFont="1" applyBorder="1"/>
    <xf numFmtId="43" fontId="24" fillId="0" borderId="0" xfId="7" quotePrefix="1" applyFont="1" applyBorder="1" applyAlignment="1">
      <alignment horizontal="center"/>
    </xf>
    <xf numFmtId="43" fontId="25" fillId="3" borderId="0" xfId="7" quotePrefix="1" applyFont="1" applyFill="1" applyBorder="1" applyAlignment="1">
      <alignment horizontal="center"/>
    </xf>
    <xf numFmtId="43" fontId="31" fillId="0" borderId="0" xfId="1" quotePrefix="1" applyFont="1" applyAlignment="1">
      <alignment horizontal="center"/>
    </xf>
    <xf numFmtId="0" fontId="15" fillId="0" borderId="19" xfId="0" applyFont="1" applyBorder="1" applyAlignment="1">
      <alignment horizontal="center" vertical="center"/>
    </xf>
    <xf numFmtId="0" fontId="15" fillId="0" borderId="4" xfId="0" applyFont="1" applyBorder="1" applyAlignment="1">
      <alignment horizontal="center" vertical="center"/>
    </xf>
    <xf numFmtId="43" fontId="15" fillId="0" borderId="15" xfId="0" applyNumberFormat="1" applyFont="1" applyBorder="1" applyAlignment="1">
      <alignment vertical="center"/>
    </xf>
    <xf numFmtId="43" fontId="15" fillId="0" borderId="4" xfId="1" applyNumberFormat="1" applyFont="1" applyBorder="1" applyAlignment="1">
      <alignment vertical="center"/>
    </xf>
    <xf numFmtId="0" fontId="5" fillId="0" borderId="0" xfId="0" applyFont="1" applyAlignment="1">
      <alignment vertical="center"/>
    </xf>
    <xf numFmtId="0" fontId="16" fillId="0" borderId="0" xfId="0" applyFont="1" applyAlignment="1">
      <alignment horizontal="center"/>
    </xf>
    <xf numFmtId="0" fontId="15" fillId="0" borderId="0" xfId="0" applyFont="1" applyBorder="1" applyAlignment="1">
      <alignment horizontal="center"/>
    </xf>
    <xf numFmtId="0" fontId="4" fillId="3" borderId="0" xfId="13" applyFont="1" applyFill="1"/>
    <xf numFmtId="43" fontId="15" fillId="0" borderId="52" xfId="1" applyNumberFormat="1" applyFont="1" applyBorder="1"/>
    <xf numFmtId="43" fontId="15" fillId="0" borderId="50" xfId="1" applyNumberFormat="1" applyFont="1" applyBorder="1"/>
    <xf numFmtId="0" fontId="5" fillId="0" borderId="5" xfId="0" applyFont="1" applyBorder="1"/>
    <xf numFmtId="0" fontId="5" fillId="0" borderId="2" xfId="0" quotePrefix="1" applyFont="1" applyBorder="1" applyAlignment="1">
      <alignment horizontal="center"/>
    </xf>
    <xf numFmtId="43" fontId="7" fillId="0" borderId="0" xfId="13" applyNumberFormat="1" applyFont="1"/>
    <xf numFmtId="0" fontId="5" fillId="3" borderId="4" xfId="0" applyFont="1" applyFill="1" applyBorder="1" applyAlignment="1">
      <alignment horizontal="center"/>
    </xf>
    <xf numFmtId="0" fontId="5" fillId="3" borderId="41" xfId="0" applyFont="1" applyFill="1" applyBorder="1"/>
    <xf numFmtId="0" fontId="15" fillId="3" borderId="4" xfId="13" applyFont="1" applyFill="1" applyBorder="1" applyAlignment="1">
      <alignment horizontal="center"/>
    </xf>
    <xf numFmtId="0" fontId="55" fillId="3" borderId="56" xfId="0" applyFont="1" applyFill="1" applyBorder="1"/>
    <xf numFmtId="0" fontId="55" fillId="3" borderId="50" xfId="0" quotePrefix="1" applyFont="1" applyFill="1" applyBorder="1" applyAlignment="1">
      <alignment horizontal="center"/>
    </xf>
    <xf numFmtId="0" fontId="16" fillId="3" borderId="50" xfId="0" applyFont="1" applyFill="1" applyBorder="1" applyAlignment="1">
      <alignment horizontal="center"/>
    </xf>
    <xf numFmtId="4" fontId="16" fillId="3" borderId="50" xfId="0" applyNumberFormat="1" applyFont="1" applyFill="1" applyBorder="1" applyAlignment="1">
      <alignment horizontal="center"/>
    </xf>
    <xf numFmtId="43" fontId="16" fillId="3" borderId="50" xfId="0" applyNumberFormat="1" applyFont="1" applyFill="1" applyBorder="1" applyAlignment="1"/>
    <xf numFmtId="40" fontId="16" fillId="3" borderId="50" xfId="0" applyNumberFormat="1" applyFont="1" applyFill="1" applyBorder="1" applyAlignment="1"/>
    <xf numFmtId="0" fontId="55" fillId="3" borderId="12" xfId="0" applyFont="1" applyFill="1" applyBorder="1"/>
    <xf numFmtId="0" fontId="55" fillId="3" borderId="3" xfId="0" quotePrefix="1" applyFont="1" applyFill="1" applyBorder="1" applyAlignment="1">
      <alignment horizontal="center"/>
    </xf>
    <xf numFmtId="0" fontId="16" fillId="3" borderId="3" xfId="0" applyFont="1" applyFill="1" applyBorder="1" applyAlignment="1">
      <alignment horizontal="center"/>
    </xf>
    <xf numFmtId="4" fontId="16" fillId="3" borderId="3" xfId="0" applyNumberFormat="1" applyFont="1" applyFill="1" applyBorder="1" applyAlignment="1">
      <alignment horizontal="center"/>
    </xf>
    <xf numFmtId="43" fontId="16" fillId="3" borderId="3" xfId="0" applyNumberFormat="1" applyFont="1" applyFill="1" applyBorder="1" applyAlignment="1"/>
    <xf numFmtId="40" fontId="16" fillId="3" borderId="3" xfId="0" applyNumberFormat="1" applyFont="1" applyFill="1" applyBorder="1" applyAlignment="1"/>
    <xf numFmtId="0" fontId="37" fillId="0" borderId="0" xfId="6" applyFont="1" applyAlignment="1">
      <alignment horizontal="center"/>
    </xf>
    <xf numFmtId="0" fontId="39" fillId="0" borderId="0" xfId="6" applyFont="1" applyAlignment="1">
      <alignment horizontal="center"/>
    </xf>
    <xf numFmtId="0" fontId="29" fillId="0" borderId="0" xfId="6" applyFont="1" applyAlignment="1">
      <alignment horizontal="center"/>
    </xf>
    <xf numFmtId="0" fontId="27" fillId="0" borderId="32" xfId="6" applyFont="1" applyBorder="1" applyAlignment="1">
      <alignment horizontal="center"/>
    </xf>
    <xf numFmtId="0" fontId="24" fillId="0" borderId="0" xfId="6" applyFont="1" applyAlignment="1">
      <alignment horizontal="center"/>
    </xf>
    <xf numFmtId="0" fontId="25" fillId="0" borderId="0" xfId="6" applyFont="1" applyAlignment="1">
      <alignment horizontal="center"/>
    </xf>
    <xf numFmtId="0" fontId="27" fillId="0" borderId="5" xfId="6" applyFont="1" applyBorder="1" applyAlignment="1">
      <alignment horizontal="center"/>
    </xf>
    <xf numFmtId="0" fontId="27" fillId="0" borderId="0" xfId="6" applyFont="1" applyBorder="1" applyAlignment="1">
      <alignment horizontal="center"/>
    </xf>
    <xf numFmtId="0" fontId="27" fillId="0" borderId="6" xfId="6" applyFont="1" applyBorder="1" applyAlignment="1">
      <alignment horizontal="center"/>
    </xf>
    <xf numFmtId="0" fontId="27" fillId="0" borderId="0" xfId="6" applyFont="1" applyAlignment="1">
      <alignment horizontal="center"/>
    </xf>
    <xf numFmtId="43" fontId="32" fillId="0" borderId="0" xfId="6" quotePrefix="1" applyNumberFormat="1" applyFont="1" applyBorder="1" applyAlignment="1">
      <alignment horizontal="center"/>
    </xf>
    <xf numFmtId="0" fontId="25" fillId="0" borderId="5" xfId="6" applyFont="1" applyBorder="1" applyAlignment="1">
      <alignment horizontal="center"/>
    </xf>
    <xf numFmtId="0" fontId="25" fillId="0" borderId="0" xfId="6" applyFont="1" applyBorder="1" applyAlignment="1">
      <alignment horizontal="center"/>
    </xf>
    <xf numFmtId="0" fontId="25" fillId="0" borderId="6" xfId="6" applyFont="1" applyBorder="1" applyAlignment="1">
      <alignment horizontal="center"/>
    </xf>
    <xf numFmtId="43" fontId="34" fillId="0" borderId="0" xfId="6" quotePrefix="1" applyNumberFormat="1" applyFont="1" applyBorder="1" applyAlignment="1">
      <alignment horizontal="center"/>
    </xf>
    <xf numFmtId="43" fontId="25" fillId="0" borderId="6" xfId="7" quotePrefix="1" applyFont="1" applyBorder="1" applyAlignment="1">
      <alignment horizontal="center"/>
    </xf>
    <xf numFmtId="0" fontId="25" fillId="0" borderId="0" xfId="6" applyFont="1" applyBorder="1" applyAlignment="1">
      <alignment horizontal="center"/>
    </xf>
    <xf numFmtId="0" fontId="29" fillId="0" borderId="0" xfId="6" applyFont="1" applyAlignment="1">
      <alignment horizontal="center"/>
    </xf>
    <xf numFmtId="0" fontId="27" fillId="0" borderId="32" xfId="6" applyFont="1" applyBorder="1" applyAlignment="1">
      <alignment horizontal="center"/>
    </xf>
    <xf numFmtId="0" fontId="27" fillId="0" borderId="5" xfId="6" applyFont="1" applyBorder="1" applyAlignment="1">
      <alignment horizontal="center"/>
    </xf>
    <xf numFmtId="0" fontId="27" fillId="0" borderId="0" xfId="6" applyFont="1" applyBorder="1" applyAlignment="1">
      <alignment horizontal="center"/>
    </xf>
    <xf numFmtId="0" fontId="27" fillId="0" borderId="6" xfId="6" applyFont="1" applyBorder="1" applyAlignment="1">
      <alignment horizontal="center"/>
    </xf>
    <xf numFmtId="0" fontId="25" fillId="0" borderId="5" xfId="6" applyFont="1" applyBorder="1" applyAlignment="1">
      <alignment horizontal="center"/>
    </xf>
    <xf numFmtId="0" fontId="25" fillId="0" borderId="0" xfId="6" applyFont="1" applyBorder="1" applyAlignment="1">
      <alignment horizontal="center"/>
    </xf>
    <xf numFmtId="49" fontId="25" fillId="0" borderId="6" xfId="6" applyNumberFormat="1" applyFont="1" applyBorder="1"/>
    <xf numFmtId="0" fontId="25" fillId="0" borderId="0" xfId="6" applyFont="1" applyBorder="1" applyAlignment="1">
      <alignment horizontal="center"/>
    </xf>
    <xf numFmtId="43" fontId="25" fillId="0" borderId="3" xfId="7" applyFont="1" applyBorder="1"/>
    <xf numFmtId="0" fontId="25" fillId="0" borderId="10" xfId="6" applyFont="1" applyBorder="1" applyAlignment="1">
      <alignment horizontal="center"/>
    </xf>
    <xf numFmtId="0" fontId="24" fillId="0" borderId="10" xfId="6" applyFont="1" applyBorder="1" applyAlignment="1">
      <alignment horizontal="left"/>
    </xf>
    <xf numFmtId="49" fontId="24" fillId="0" borderId="18" xfId="6" applyNumberFormat="1" applyFont="1" applyBorder="1" applyAlignment="1">
      <alignment horizontal="center"/>
    </xf>
    <xf numFmtId="0" fontId="25" fillId="0" borderId="0" xfId="6" applyFont="1" applyBorder="1" applyAlignment="1">
      <alignment horizontal="left"/>
    </xf>
    <xf numFmtId="0" fontId="25" fillId="0" borderId="7" xfId="6" applyFont="1" applyBorder="1"/>
    <xf numFmtId="49" fontId="26" fillId="0" borderId="12" xfId="6" applyNumberFormat="1" applyFont="1" applyBorder="1"/>
    <xf numFmtId="0" fontId="24" fillId="0" borderId="16" xfId="6" applyFont="1" applyBorder="1" applyAlignment="1">
      <alignment horizontal="center"/>
    </xf>
    <xf numFmtId="0" fontId="24" fillId="0" borderId="64" xfId="6" applyFont="1" applyBorder="1" applyAlignment="1">
      <alignment horizontal="center"/>
    </xf>
    <xf numFmtId="0" fontId="24" fillId="0" borderId="65" xfId="6" applyFont="1" applyBorder="1"/>
    <xf numFmtId="49" fontId="24" fillId="0" borderId="58" xfId="6" applyNumberFormat="1" applyFont="1" applyBorder="1" applyAlignment="1">
      <alignment horizontal="center"/>
    </xf>
    <xf numFmtId="43" fontId="24" fillId="0" borderId="58" xfId="6" applyNumberFormat="1" applyFont="1" applyBorder="1"/>
    <xf numFmtId="0" fontId="24" fillId="0" borderId="19" xfId="6" applyFont="1" applyBorder="1"/>
    <xf numFmtId="0" fontId="24" fillId="0" borderId="15" xfId="6" applyFont="1" applyBorder="1"/>
    <xf numFmtId="0" fontId="24" fillId="0" borderId="4" xfId="6" applyFont="1" applyBorder="1"/>
    <xf numFmtId="43" fontId="24" fillId="0" borderId="4" xfId="6" applyNumberFormat="1" applyFont="1" applyBorder="1"/>
    <xf numFmtId="0" fontId="55" fillId="0" borderId="0" xfId="0" applyFont="1" applyBorder="1" applyAlignment="1">
      <alignment horizontal="center"/>
    </xf>
    <xf numFmtId="0" fontId="4" fillId="0" borderId="0" xfId="0" applyFont="1" applyBorder="1" applyAlignment="1">
      <alignment horizontal="center"/>
    </xf>
    <xf numFmtId="0" fontId="55" fillId="0" borderId="66" xfId="0" applyFont="1" applyBorder="1"/>
    <xf numFmtId="0" fontId="55" fillId="0" borderId="67" xfId="0" applyFont="1" applyBorder="1"/>
    <xf numFmtId="0" fontId="55" fillId="0" borderId="53" xfId="0" applyFont="1" applyBorder="1" applyAlignment="1">
      <alignment horizontal="center"/>
    </xf>
    <xf numFmtId="0" fontId="16" fillId="0" borderId="53" xfId="0" applyFont="1" applyBorder="1" applyAlignment="1">
      <alignment horizontal="center"/>
    </xf>
    <xf numFmtId="4" fontId="16" fillId="0" borderId="53" xfId="0" applyNumberFormat="1" applyFont="1" applyBorder="1" applyAlignment="1">
      <alignment horizontal="center"/>
    </xf>
    <xf numFmtId="0" fontId="16" fillId="0" borderId="0" xfId="6" applyFont="1" applyAlignment="1">
      <alignment horizontal="center"/>
    </xf>
    <xf numFmtId="0" fontId="15" fillId="0" borderId="0" xfId="6" applyFont="1" applyAlignment="1">
      <alignment horizontal="center"/>
    </xf>
    <xf numFmtId="0" fontId="55" fillId="0" borderId="0" xfId="0" applyFont="1" applyBorder="1" applyAlignment="1">
      <alignment horizontal="center"/>
    </xf>
    <xf numFmtId="0" fontId="55" fillId="0" borderId="32" xfId="0" applyFont="1" applyBorder="1" applyAlignment="1">
      <alignment horizontal="center"/>
    </xf>
    <xf numFmtId="0" fontId="55" fillId="0" borderId="17" xfId="0" applyFont="1" applyBorder="1" applyAlignment="1">
      <alignment horizontal="center"/>
    </xf>
    <xf numFmtId="0" fontId="55" fillId="0" borderId="33" xfId="0" applyFont="1" applyBorder="1" applyAlignment="1">
      <alignment horizontal="center"/>
    </xf>
    <xf numFmtId="0" fontId="4" fillId="0" borderId="0" xfId="0" applyFont="1" applyBorder="1" applyAlignment="1">
      <alignment horizontal="center"/>
    </xf>
    <xf numFmtId="0" fontId="15" fillId="0" borderId="0" xfId="13" applyFont="1" applyBorder="1" applyAlignment="1">
      <alignment horizontal="center"/>
    </xf>
    <xf numFmtId="43" fontId="44" fillId="0" borderId="0" xfId="13" quotePrefix="1" applyNumberFormat="1" applyFont="1" applyBorder="1" applyAlignment="1">
      <alignment horizontal="center"/>
    </xf>
    <xf numFmtId="0" fontId="55" fillId="0" borderId="6" xfId="13" applyFont="1" applyBorder="1" applyAlignment="1">
      <alignment horizontal="center"/>
    </xf>
    <xf numFmtId="0" fontId="5" fillId="0" borderId="37" xfId="13" applyFont="1" applyBorder="1" applyAlignment="1">
      <alignment horizontal="center"/>
    </xf>
    <xf numFmtId="0" fontId="15" fillId="0" borderId="0" xfId="0" applyFont="1" applyBorder="1" applyAlignment="1">
      <alignment horizontal="center"/>
    </xf>
    <xf numFmtId="0" fontId="55" fillId="0" borderId="5" xfId="0" applyFont="1" applyBorder="1" applyAlignment="1">
      <alignment horizontal="center"/>
    </xf>
    <xf numFmtId="0" fontId="55" fillId="0" borderId="6" xfId="0" applyFont="1" applyBorder="1" applyAlignment="1">
      <alignment horizontal="center"/>
    </xf>
    <xf numFmtId="0" fontId="25" fillId="0" borderId="0" xfId="6" applyFont="1" applyAlignment="1">
      <alignment horizontal="center"/>
    </xf>
    <xf numFmtId="0" fontId="4" fillId="0" borderId="0" xfId="0" applyFont="1" applyAlignment="1">
      <alignment horizontal="center"/>
    </xf>
    <xf numFmtId="0" fontId="26" fillId="0" borderId="0" xfId="0" applyFont="1"/>
    <xf numFmtId="0" fontId="66" fillId="0" borderId="0" xfId="0" applyFont="1"/>
    <xf numFmtId="0" fontId="66" fillId="0" borderId="0" xfId="0" applyFont="1" applyAlignment="1">
      <alignment horizontal="center"/>
    </xf>
    <xf numFmtId="40" fontId="66" fillId="0" borderId="0" xfId="0" applyNumberFormat="1" applyFont="1"/>
    <xf numFmtId="0" fontId="26" fillId="0" borderId="0" xfId="0" applyFont="1" applyAlignment="1">
      <alignment horizontal="left" vertical="justify" wrapText="1"/>
    </xf>
    <xf numFmtId="0" fontId="66" fillId="0" borderId="0" xfId="0" quotePrefix="1" applyFont="1"/>
    <xf numFmtId="0" fontId="66" fillId="0" borderId="0" xfId="0" applyFont="1" applyAlignment="1"/>
    <xf numFmtId="0" fontId="66" fillId="0" borderId="9" xfId="0" applyFont="1" applyBorder="1"/>
    <xf numFmtId="0" fontId="66" fillId="0" borderId="28" xfId="0" applyFont="1" applyBorder="1"/>
    <xf numFmtId="0" fontId="66" fillId="0" borderId="28" xfId="0" quotePrefix="1" applyFont="1" applyBorder="1"/>
    <xf numFmtId="0" fontId="66" fillId="0" borderId="28" xfId="0" applyFont="1" applyBorder="1" applyAlignment="1">
      <alignment horizontal="center"/>
    </xf>
    <xf numFmtId="40" fontId="66" fillId="0" borderId="28" xfId="0" applyNumberFormat="1" applyFont="1" applyBorder="1"/>
    <xf numFmtId="0" fontId="66" fillId="0" borderId="27" xfId="0" applyFont="1" applyBorder="1"/>
    <xf numFmtId="0" fontId="68" fillId="0" borderId="5" xfId="0" applyFont="1" applyBorder="1"/>
    <xf numFmtId="0" fontId="66" fillId="0" borderId="0" xfId="0" applyFont="1" applyBorder="1"/>
    <xf numFmtId="0" fontId="66" fillId="0" borderId="0" xfId="0" quotePrefix="1" applyFont="1" applyBorder="1"/>
    <xf numFmtId="0" fontId="66" fillId="0" borderId="0" xfId="0" applyFont="1" applyBorder="1" applyAlignment="1">
      <alignment horizontal="center"/>
    </xf>
    <xf numFmtId="40" fontId="66" fillId="0" borderId="0" xfId="0" applyNumberFormat="1" applyFont="1" applyBorder="1"/>
    <xf numFmtId="0" fontId="66" fillId="0" borderId="6" xfId="0" applyFont="1" applyBorder="1"/>
    <xf numFmtId="0" fontId="66" fillId="0" borderId="7" xfId="0" applyFont="1" applyBorder="1"/>
    <xf numFmtId="0" fontId="66" fillId="0" borderId="12" xfId="0" applyFont="1" applyBorder="1"/>
    <xf numFmtId="0" fontId="66" fillId="0" borderId="12" xfId="0" quotePrefix="1" applyFont="1" applyBorder="1"/>
    <xf numFmtId="0" fontId="66" fillId="0" borderId="12" xfId="0" applyFont="1" applyBorder="1" applyAlignment="1">
      <alignment horizontal="center"/>
    </xf>
    <xf numFmtId="40" fontId="66" fillId="0" borderId="12" xfId="0" applyNumberFormat="1" applyFont="1" applyBorder="1"/>
    <xf numFmtId="0" fontId="66" fillId="0" borderId="26" xfId="0" applyFont="1" applyBorder="1"/>
    <xf numFmtId="0" fontId="68" fillId="0" borderId="0" xfId="0" applyFont="1" applyAlignment="1">
      <alignment horizontal="justify" vertical="justify" wrapText="1"/>
    </xf>
    <xf numFmtId="0" fontId="66" fillId="0" borderId="0" xfId="0" applyFont="1" applyAlignment="1">
      <alignment horizontal="center" vertical="justify" wrapText="1"/>
    </xf>
    <xf numFmtId="0" fontId="66" fillId="0" borderId="0" xfId="0" applyFont="1" applyAlignment="1">
      <alignment vertical="justify" wrapText="1"/>
    </xf>
    <xf numFmtId="0" fontId="66" fillId="0" borderId="0" xfId="0" applyFont="1" applyAlignment="1">
      <alignment horizontal="justify" vertical="top" wrapText="1"/>
    </xf>
    <xf numFmtId="0" fontId="66" fillId="0" borderId="0" xfId="0" quotePrefix="1" applyFont="1" applyAlignment="1">
      <alignment horizontal="left" vertical="justify" wrapText="1"/>
    </xf>
    <xf numFmtId="0" fontId="66" fillId="0" borderId="0" xfId="0" quotePrefix="1" applyFont="1" applyAlignment="1">
      <alignment horizontal="center"/>
    </xf>
    <xf numFmtId="0" fontId="26" fillId="0" borderId="0" xfId="0" applyFont="1" applyAlignment="1">
      <alignment vertical="justify" wrapText="1"/>
    </xf>
    <xf numFmtId="0" fontId="26" fillId="0" borderId="0" xfId="0" applyFont="1" applyAlignment="1">
      <alignment horizontal="center"/>
    </xf>
    <xf numFmtId="40" fontId="26" fillId="0" borderId="0" xfId="0" applyNumberFormat="1" applyFont="1"/>
    <xf numFmtId="0" fontId="29" fillId="0" borderId="0" xfId="6" applyFont="1" applyAlignment="1">
      <alignment horizontal="center"/>
    </xf>
    <xf numFmtId="0" fontId="25" fillId="0" borderId="0" xfId="6" applyFont="1" applyBorder="1" applyAlignment="1">
      <alignment horizontal="center"/>
    </xf>
    <xf numFmtId="0" fontId="13" fillId="0" borderId="2" xfId="8" applyFont="1" applyBorder="1" applyAlignment="1">
      <alignment vertical="top" wrapText="1"/>
    </xf>
    <xf numFmtId="0" fontId="13" fillId="0" borderId="3" xfId="8" applyFont="1" applyBorder="1" applyAlignment="1">
      <alignment vertical="top" wrapText="1"/>
    </xf>
    <xf numFmtId="0" fontId="47" fillId="0" borderId="0" xfId="8" applyFont="1" applyBorder="1" applyAlignment="1">
      <alignment horizontal="center" vertical="center"/>
    </xf>
    <xf numFmtId="0" fontId="13" fillId="0" borderId="2" xfId="8" applyFont="1" applyBorder="1" applyAlignment="1">
      <alignment horizontal="left" vertical="top" wrapText="1"/>
    </xf>
    <xf numFmtId="0" fontId="13" fillId="0" borderId="2" xfId="8" applyFont="1" applyFill="1" applyBorder="1" applyAlignment="1">
      <alignment horizontal="left" vertical="top" wrapText="1"/>
    </xf>
    <xf numFmtId="0" fontId="13" fillId="0" borderId="1" xfId="8" applyFont="1" applyBorder="1" applyAlignment="1">
      <alignment horizontal="left" vertical="center" wrapText="1"/>
    </xf>
    <xf numFmtId="0" fontId="13" fillId="0" borderId="2" xfId="8" applyFont="1" applyBorder="1" applyAlignment="1">
      <alignment horizontal="left" vertical="center" wrapText="1"/>
    </xf>
    <xf numFmtId="0" fontId="52" fillId="0" borderId="0" xfId="8" applyFont="1" applyBorder="1" applyAlignment="1">
      <alignment horizontal="center"/>
    </xf>
    <xf numFmtId="0" fontId="13" fillId="0" borderId="3" xfId="8" applyFont="1" applyFill="1" applyBorder="1" applyAlignment="1">
      <alignment horizontal="left" vertical="top" wrapText="1"/>
    </xf>
    <xf numFmtId="0" fontId="13" fillId="0" borderId="3" xfId="8" applyFont="1" applyBorder="1" applyAlignment="1">
      <alignment horizontal="left" vertical="top" wrapText="1"/>
    </xf>
    <xf numFmtId="49" fontId="13" fillId="0" borderId="3" xfId="8" applyNumberFormat="1" applyFont="1" applyFill="1" applyBorder="1" applyAlignment="1">
      <alignment horizontal="left" vertical="top" wrapText="1"/>
    </xf>
    <xf numFmtId="0" fontId="25" fillId="0" borderId="0" xfId="0" applyFont="1"/>
    <xf numFmtId="0" fontId="26" fillId="0" borderId="0" xfId="0" quotePrefix="1" applyFont="1"/>
    <xf numFmtId="0" fontId="26" fillId="0" borderId="0" xfId="6" applyFont="1" applyAlignment="1">
      <alignment horizontal="center"/>
    </xf>
    <xf numFmtId="40" fontId="26" fillId="0" borderId="0" xfId="6" applyNumberFormat="1" applyFont="1"/>
    <xf numFmtId="0" fontId="26" fillId="0" borderId="0" xfId="6" quotePrefix="1" applyFont="1"/>
    <xf numFmtId="0" fontId="26" fillId="0" borderId="0" xfId="0" applyFont="1" applyAlignment="1"/>
    <xf numFmtId="0" fontId="30" fillId="0" borderId="0" xfId="0" applyFont="1" applyAlignment="1"/>
    <xf numFmtId="0" fontId="26" fillId="0" borderId="0" xfId="0" quotePrefix="1" applyFont="1" applyAlignment="1"/>
    <xf numFmtId="0" fontId="7" fillId="3" borderId="0" xfId="13" applyFont="1" applyFill="1"/>
    <xf numFmtId="0" fontId="24" fillId="0" borderId="0" xfId="0" applyFont="1" applyAlignment="1">
      <alignment horizontal="center"/>
    </xf>
    <xf numFmtId="0" fontId="24" fillId="0" borderId="0" xfId="0" applyFont="1" applyAlignment="1"/>
    <xf numFmtId="0" fontId="26" fillId="0" borderId="0" xfId="0" applyFont="1" applyAlignment="1">
      <alignment horizontal="left"/>
    </xf>
    <xf numFmtId="0" fontId="26" fillId="0" borderId="0" xfId="0" applyFont="1" applyAlignment="1">
      <alignment vertical="justify"/>
    </xf>
    <xf numFmtId="43" fontId="15" fillId="0" borderId="0" xfId="0" applyNumberFormat="1" applyFont="1" applyBorder="1"/>
    <xf numFmtId="43" fontId="15" fillId="0" borderId="0" xfId="1" applyNumberFormat="1" applyFont="1" applyBorder="1"/>
    <xf numFmtId="0" fontId="13" fillId="0" borderId="4" xfId="0" applyFont="1" applyBorder="1" applyAlignment="1">
      <alignment horizontal="left"/>
    </xf>
    <xf numFmtId="43" fontId="15" fillId="0" borderId="4" xfId="0" applyNumberFormat="1" applyFont="1" applyBorder="1"/>
    <xf numFmtId="0" fontId="25" fillId="0" borderId="0" xfId="6" applyFont="1" applyAlignment="1"/>
    <xf numFmtId="0" fontId="25" fillId="0" borderId="0" xfId="6" quotePrefix="1" applyFont="1" applyAlignment="1"/>
    <xf numFmtId="40" fontId="25" fillId="0" borderId="0" xfId="6" applyNumberFormat="1" applyFont="1"/>
    <xf numFmtId="0" fontId="25" fillId="0" borderId="0" xfId="6" quotePrefix="1" applyFont="1"/>
    <xf numFmtId="0" fontId="25" fillId="0" borderId="0" xfId="6" applyFont="1" applyAlignment="1">
      <alignment horizontal="left"/>
    </xf>
    <xf numFmtId="0" fontId="25" fillId="0" borderId="0" xfId="6" applyFont="1" applyAlignment="1">
      <alignment vertical="justify"/>
    </xf>
    <xf numFmtId="0" fontId="25" fillId="0" borderId="0" xfId="6" applyFont="1" applyAlignment="1">
      <alignment vertical="justify" wrapText="1"/>
    </xf>
    <xf numFmtId="0" fontId="16" fillId="0" borderId="28" xfId="6" applyFont="1" applyBorder="1" applyAlignment="1">
      <alignment horizontal="center" vertical="center"/>
    </xf>
    <xf numFmtId="0" fontId="16" fillId="0" borderId="1" xfId="6" applyFont="1" applyBorder="1" applyAlignment="1">
      <alignment horizontal="center" vertical="center"/>
    </xf>
    <xf numFmtId="0" fontId="16" fillId="0" borderId="1" xfId="6" applyFont="1" applyBorder="1" applyAlignment="1">
      <alignment horizontal="center"/>
    </xf>
    <xf numFmtId="0" fontId="16" fillId="0" borderId="12" xfId="6" applyFont="1" applyBorder="1" applyAlignment="1">
      <alignment horizontal="center" vertical="center"/>
    </xf>
    <xf numFmtId="0" fontId="16" fillId="0" borderId="3" xfId="6" applyFont="1" applyBorder="1" applyAlignment="1">
      <alignment horizontal="center" vertical="center"/>
    </xf>
    <xf numFmtId="0" fontId="16" fillId="0" borderId="3" xfId="6" applyFont="1" applyBorder="1" applyAlignment="1">
      <alignment horizontal="center"/>
    </xf>
    <xf numFmtId="0" fontId="15" fillId="0" borderId="19" xfId="6" applyFont="1" applyBorder="1"/>
    <xf numFmtId="43" fontId="15" fillId="0" borderId="4" xfId="6" applyNumberFormat="1" applyFont="1" applyBorder="1"/>
    <xf numFmtId="43" fontId="15" fillId="0" borderId="15" xfId="6" applyNumberFormat="1" applyFont="1" applyBorder="1"/>
    <xf numFmtId="43" fontId="15" fillId="0" borderId="15" xfId="1" applyNumberFormat="1" applyFont="1" applyBorder="1"/>
    <xf numFmtId="0" fontId="16" fillId="0" borderId="19" xfId="6" applyFont="1" applyBorder="1"/>
    <xf numFmtId="0" fontId="16" fillId="0" borderId="15" xfId="6" applyFont="1" applyBorder="1"/>
    <xf numFmtId="0" fontId="16" fillId="0" borderId="41" xfId="6" applyFont="1" applyBorder="1"/>
    <xf numFmtId="43" fontId="16" fillId="0" borderId="4" xfId="6" applyNumberFormat="1" applyFont="1" applyBorder="1"/>
    <xf numFmtId="0" fontId="70" fillId="0" borderId="0" xfId="6" applyFont="1" applyAlignment="1">
      <alignment vertical="justify" wrapText="1"/>
    </xf>
    <xf numFmtId="0" fontId="70" fillId="0" borderId="0" xfId="6" applyFont="1"/>
    <xf numFmtId="0" fontId="70" fillId="0" borderId="0" xfId="6" quotePrefix="1" applyFont="1" applyAlignment="1">
      <alignment horizontal="center"/>
    </xf>
    <xf numFmtId="0" fontId="15" fillId="0" borderId="0" xfId="6" quotePrefix="1" applyFont="1" applyAlignment="1">
      <alignment horizontal="center"/>
    </xf>
    <xf numFmtId="0" fontId="72" fillId="0" borderId="0" xfId="6" applyFont="1" applyAlignment="1"/>
    <xf numFmtId="0" fontId="72" fillId="0" borderId="0" xfId="6" applyFont="1"/>
    <xf numFmtId="0" fontId="72" fillId="0" borderId="0" xfId="6" applyFont="1" applyAlignment="1">
      <alignment horizontal="center"/>
    </xf>
    <xf numFmtId="0" fontId="73" fillId="0" borderId="0" xfId="6" applyFont="1" applyAlignment="1"/>
    <xf numFmtId="0" fontId="74" fillId="0" borderId="0" xfId="6" applyFont="1" applyAlignment="1"/>
    <xf numFmtId="0" fontId="72" fillId="0" borderId="0" xfId="6" quotePrefix="1" applyFont="1" applyAlignment="1"/>
    <xf numFmtId="0" fontId="75" fillId="0" borderId="0" xfId="6" applyFont="1"/>
    <xf numFmtId="40" fontId="72" fillId="0" borderId="0" xfId="6" applyNumberFormat="1" applyFont="1"/>
    <xf numFmtId="0" fontId="72" fillId="0" borderId="0" xfId="6" quotePrefix="1" applyFont="1"/>
    <xf numFmtId="0" fontId="76" fillId="0" borderId="0" xfId="6" applyFont="1" applyAlignment="1">
      <alignment vertical="justify" wrapText="1"/>
    </xf>
    <xf numFmtId="0" fontId="77" fillId="0" borderId="0" xfId="6" applyFont="1" applyAlignment="1"/>
    <xf numFmtId="0" fontId="76" fillId="0" borderId="0" xfId="6" applyFont="1" applyAlignment="1"/>
    <xf numFmtId="0" fontId="76" fillId="0" borderId="0" xfId="6" applyFont="1"/>
    <xf numFmtId="0" fontId="77" fillId="0" borderId="0" xfId="6" applyFont="1"/>
    <xf numFmtId="0" fontId="76" fillId="0" borderId="0" xfId="6" quotePrefix="1" applyFont="1"/>
    <xf numFmtId="0" fontId="44" fillId="0" borderId="0" xfId="6" quotePrefix="1" applyFont="1" applyAlignment="1"/>
    <xf numFmtId="0" fontId="15" fillId="0" borderId="0" xfId="13" quotePrefix="1" applyFont="1" applyBorder="1" applyAlignment="1">
      <alignment horizontal="center"/>
    </xf>
    <xf numFmtId="0" fontId="15" fillId="0" borderId="0" xfId="13" quotePrefix="1" applyFont="1" applyBorder="1" applyAlignment="1"/>
    <xf numFmtId="0" fontId="55" fillId="0" borderId="2" xfId="13" quotePrefix="1" applyFont="1" applyBorder="1" applyAlignment="1">
      <alignment horizontal="center"/>
    </xf>
    <xf numFmtId="0" fontId="55" fillId="0" borderId="36" xfId="13" quotePrefix="1" applyFont="1" applyBorder="1" applyAlignment="1">
      <alignment horizontal="center"/>
    </xf>
    <xf numFmtId="0" fontId="4" fillId="0" borderId="68" xfId="13" applyFont="1" applyBorder="1"/>
    <xf numFmtId="0" fontId="36" fillId="0" borderId="3" xfId="8" applyFont="1" applyFill="1" applyBorder="1" applyAlignment="1">
      <alignment horizontal="center" vertical="center"/>
    </xf>
    <xf numFmtId="0" fontId="13" fillId="0" borderId="1" xfId="8" applyFont="1" applyBorder="1" applyAlignment="1">
      <alignment horizontal="center" vertical="center"/>
    </xf>
    <xf numFmtId="0" fontId="13" fillId="0" borderId="2" xfId="8" applyFont="1" applyBorder="1" applyAlignment="1">
      <alignment horizontal="center" vertical="center"/>
    </xf>
    <xf numFmtId="0" fontId="25" fillId="0" borderId="0" xfId="6" applyFont="1" applyBorder="1" applyAlignment="1">
      <alignment horizontal="center"/>
    </xf>
    <xf numFmtId="0" fontId="66" fillId="0" borderId="0" xfId="0" applyFont="1" applyAlignment="1">
      <alignment horizontal="justify" vertical="justify" wrapText="1"/>
    </xf>
    <xf numFmtId="0" fontId="66" fillId="0" borderId="0" xfId="0" quotePrefix="1" applyFont="1" applyAlignment="1">
      <alignment horizontal="justify" vertical="justify" wrapText="1"/>
    </xf>
    <xf numFmtId="0" fontId="66" fillId="0" borderId="0" xfId="0" quotePrefix="1" applyFont="1" applyAlignment="1">
      <alignment horizontal="center"/>
    </xf>
    <xf numFmtId="0" fontId="69" fillId="0" borderId="0" xfId="0" quotePrefix="1" applyFont="1" applyAlignment="1">
      <alignment horizontal="center"/>
    </xf>
    <xf numFmtId="0" fontId="66" fillId="0" borderId="0" xfId="0" applyFont="1" applyAlignment="1">
      <alignment horizontal="center"/>
    </xf>
    <xf numFmtId="0" fontId="68" fillId="0" borderId="0" xfId="0" applyFont="1" applyAlignment="1">
      <alignment horizontal="center"/>
    </xf>
    <xf numFmtId="0" fontId="68" fillId="0" borderId="0" xfId="0" applyFont="1" applyAlignment="1">
      <alignment horizontal="justify" vertical="justify" wrapText="1"/>
    </xf>
    <xf numFmtId="0" fontId="26" fillId="0" borderId="0" xfId="0" quotePrefix="1" applyFont="1" applyAlignment="1">
      <alignment horizontal="center"/>
    </xf>
    <xf numFmtId="0" fontId="67" fillId="0" borderId="0" xfId="0" applyFont="1" applyAlignment="1">
      <alignment horizontal="center"/>
    </xf>
    <xf numFmtId="0" fontId="25" fillId="0" borderId="0" xfId="6" quotePrefix="1" applyFont="1" applyBorder="1" applyAlignment="1">
      <alignment horizontal="center"/>
    </xf>
    <xf numFmtId="0" fontId="55" fillId="0" borderId="5" xfId="0" applyFont="1" applyBorder="1" applyAlignment="1">
      <alignment horizontal="center"/>
    </xf>
    <xf numFmtId="0" fontId="55" fillId="0" borderId="0" xfId="0" applyFont="1" applyBorder="1" applyAlignment="1">
      <alignment horizontal="center"/>
    </xf>
    <xf numFmtId="0" fontId="55" fillId="0" borderId="6" xfId="0" applyFont="1" applyBorder="1" applyAlignment="1">
      <alignment horizontal="center"/>
    </xf>
    <xf numFmtId="0" fontId="55" fillId="0" borderId="7" xfId="0" applyFont="1" applyBorder="1" applyAlignment="1">
      <alignment horizontal="center"/>
    </xf>
    <xf numFmtId="0" fontId="55" fillId="0" borderId="12" xfId="0" applyFont="1" applyBorder="1" applyAlignment="1">
      <alignment horizontal="center"/>
    </xf>
    <xf numFmtId="0" fontId="55" fillId="0" borderId="26" xfId="0" applyFont="1" applyBorder="1" applyAlignment="1">
      <alignment horizontal="center"/>
    </xf>
    <xf numFmtId="0" fontId="62" fillId="0" borderId="0" xfId="0" applyFont="1" applyBorder="1" applyAlignment="1">
      <alignment horizontal="center" vertical="center"/>
    </xf>
    <xf numFmtId="43" fontId="44" fillId="0" borderId="0" xfId="0" quotePrefix="1" applyNumberFormat="1" applyFont="1" applyBorder="1" applyAlignment="1">
      <alignment horizontal="center"/>
    </xf>
    <xf numFmtId="0" fontId="7" fillId="0" borderId="0" xfId="0" applyFont="1" applyAlignment="1">
      <alignment horizontal="center"/>
    </xf>
    <xf numFmtId="0" fontId="55" fillId="0" borderId="32" xfId="0" applyFont="1" applyBorder="1" applyAlignment="1">
      <alignment horizontal="center"/>
    </xf>
    <xf numFmtId="0" fontId="55" fillId="0" borderId="17" xfId="0" applyFont="1" applyBorder="1" applyAlignment="1">
      <alignment horizontal="center"/>
    </xf>
    <xf numFmtId="0" fontId="55" fillId="0" borderId="33" xfId="0" applyFont="1" applyBorder="1" applyAlignment="1">
      <alignment horizontal="center"/>
    </xf>
    <xf numFmtId="0" fontId="55" fillId="0" borderId="22" xfId="0" applyFont="1" applyBorder="1" applyAlignment="1">
      <alignment horizontal="center"/>
    </xf>
    <xf numFmtId="0" fontId="5" fillId="0" borderId="24" xfId="0" applyFont="1" applyBorder="1" applyAlignment="1">
      <alignment horizontal="center"/>
    </xf>
    <xf numFmtId="0" fontId="5" fillId="0" borderId="14" xfId="0" applyFont="1" applyBorder="1" applyAlignment="1">
      <alignment horizontal="center"/>
    </xf>
    <xf numFmtId="43" fontId="17" fillId="0" borderId="0" xfId="1" applyFont="1" applyBorder="1" applyAlignment="1">
      <alignment horizontal="center"/>
    </xf>
    <xf numFmtId="43" fontId="60" fillId="0" borderId="0" xfId="1" applyFont="1" applyBorder="1" applyAlignment="1">
      <alignment horizontal="center"/>
    </xf>
    <xf numFmtId="0" fontId="17" fillId="0" borderId="0" xfId="0" applyFont="1" applyBorder="1" applyAlignment="1">
      <alignment horizontal="center"/>
    </xf>
    <xf numFmtId="0" fontId="60" fillId="0" borderId="0" xfId="0" applyFont="1" applyBorder="1" applyAlignment="1">
      <alignment horizontal="center"/>
    </xf>
    <xf numFmtId="0" fontId="58" fillId="0" borderId="0" xfId="0" applyFont="1" applyBorder="1" applyAlignment="1">
      <alignment horizontal="center"/>
    </xf>
    <xf numFmtId="43" fontId="7" fillId="0" borderId="0" xfId="1" applyFont="1" applyBorder="1" applyAlignment="1">
      <alignment horizontal="center"/>
    </xf>
    <xf numFmtId="0" fontId="15" fillId="0" borderId="0" xfId="0" quotePrefix="1" applyFont="1" applyBorder="1" applyAlignment="1">
      <alignment horizontal="center"/>
    </xf>
    <xf numFmtId="0" fontId="26" fillId="0" borderId="0" xfId="0" applyFont="1" applyAlignment="1">
      <alignment horizontal="center"/>
    </xf>
    <xf numFmtId="0" fontId="4" fillId="0" borderId="0" xfId="0" applyFont="1" applyBorder="1" applyAlignment="1">
      <alignment horizontal="center"/>
    </xf>
    <xf numFmtId="0" fontId="7" fillId="0" borderId="0" xfId="0" applyFont="1" applyBorder="1" applyAlignment="1">
      <alignment horizontal="center"/>
    </xf>
    <xf numFmtId="43" fontId="4" fillId="0" borderId="0" xfId="1" applyFont="1" applyBorder="1" applyAlignment="1">
      <alignment horizontal="center"/>
    </xf>
    <xf numFmtId="43" fontId="32" fillId="0" borderId="0" xfId="6" quotePrefix="1" applyNumberFormat="1" applyFont="1" applyBorder="1" applyAlignment="1">
      <alignment horizontal="center"/>
    </xf>
    <xf numFmtId="0" fontId="26" fillId="0" borderId="0" xfId="6" applyFont="1" applyAlignment="1">
      <alignment horizontal="justify" vertical="justify" wrapText="1"/>
    </xf>
    <xf numFmtId="0" fontId="55" fillId="0" borderId="14" xfId="13" applyFont="1" applyBorder="1" applyAlignment="1">
      <alignment horizontal="center"/>
    </xf>
    <xf numFmtId="0" fontId="55" fillId="0" borderId="32" xfId="13" applyFont="1" applyBorder="1" applyAlignment="1">
      <alignment horizontal="center"/>
    </xf>
    <xf numFmtId="0" fontId="55" fillId="0" borderId="17" xfId="13" applyFont="1" applyBorder="1" applyAlignment="1">
      <alignment horizontal="center"/>
    </xf>
    <xf numFmtId="0" fontId="55" fillId="0" borderId="33" xfId="13" applyFont="1" applyBorder="1" applyAlignment="1">
      <alignment horizontal="center"/>
    </xf>
    <xf numFmtId="0" fontId="55" fillId="0" borderId="22" xfId="13" applyFont="1" applyBorder="1" applyAlignment="1">
      <alignment horizontal="center"/>
    </xf>
    <xf numFmtId="0" fontId="55" fillId="0" borderId="0" xfId="13" applyFont="1" applyBorder="1" applyAlignment="1">
      <alignment horizontal="center"/>
    </xf>
    <xf numFmtId="0" fontId="55" fillId="0" borderId="6" xfId="13" applyFont="1" applyBorder="1" applyAlignment="1">
      <alignment horizontal="center"/>
    </xf>
    <xf numFmtId="0" fontId="5" fillId="0" borderId="24" xfId="13" applyFont="1" applyBorder="1" applyAlignment="1">
      <alignment horizontal="center"/>
    </xf>
    <xf numFmtId="0" fontId="5" fillId="0" borderId="14" xfId="13" applyFont="1" applyBorder="1" applyAlignment="1">
      <alignment horizontal="center"/>
    </xf>
    <xf numFmtId="0" fontId="5" fillId="0" borderId="37" xfId="13" applyFont="1" applyBorder="1" applyAlignment="1">
      <alignment horizontal="center"/>
    </xf>
    <xf numFmtId="0" fontId="26" fillId="0" borderId="0" xfId="0" applyFont="1" applyAlignment="1">
      <alignment horizontal="justify" vertical="justify" wrapText="1"/>
    </xf>
    <xf numFmtId="43" fontId="44" fillId="0" borderId="0" xfId="13" quotePrefix="1" applyNumberFormat="1" applyFont="1" applyBorder="1" applyAlignment="1">
      <alignment horizontal="center"/>
    </xf>
    <xf numFmtId="0" fontId="16" fillId="0" borderId="14" xfId="13" applyFont="1" applyBorder="1" applyAlignment="1">
      <alignment horizontal="center"/>
    </xf>
    <xf numFmtId="0" fontId="15" fillId="0" borderId="0" xfId="13" quotePrefix="1" applyFont="1" applyBorder="1" applyAlignment="1">
      <alignment horizontal="center"/>
    </xf>
    <xf numFmtId="0" fontId="16" fillId="0" borderId="0" xfId="13" applyFont="1" applyAlignment="1">
      <alignment horizontal="center"/>
    </xf>
    <xf numFmtId="0" fontId="26" fillId="0" borderId="0" xfId="0" applyFont="1" applyAlignment="1">
      <alignment horizontal="left" vertical="justify" wrapText="1"/>
    </xf>
    <xf numFmtId="0" fontId="55" fillId="0" borderId="0" xfId="13" applyFont="1" applyAlignment="1">
      <alignment horizontal="center"/>
    </xf>
    <xf numFmtId="0" fontId="13" fillId="0" borderId="19" xfId="0" applyFont="1" applyBorder="1" applyAlignment="1">
      <alignment horizontal="left" vertical="center" wrapText="1"/>
    </xf>
    <xf numFmtId="0" fontId="13" fillId="0" borderId="15" xfId="0" applyFont="1" applyBorder="1" applyAlignment="1">
      <alignment horizontal="left" vertical="center" wrapText="1"/>
    </xf>
    <xf numFmtId="0" fontId="13" fillId="0" borderId="41" xfId="0" applyFont="1" applyBorder="1" applyAlignment="1">
      <alignment horizontal="left" vertical="center" wrapText="1"/>
    </xf>
    <xf numFmtId="0" fontId="5" fillId="0" borderId="60" xfId="0" applyFont="1" applyBorder="1" applyAlignment="1">
      <alignment horizontal="center"/>
    </xf>
    <xf numFmtId="0" fontId="5" fillId="0" borderId="37" xfId="0" applyFont="1" applyBorder="1" applyAlignment="1">
      <alignment horizontal="center"/>
    </xf>
    <xf numFmtId="0" fontId="16" fillId="0" borderId="0" xfId="0" applyFont="1" applyAlignment="1">
      <alignment horizontal="center"/>
    </xf>
    <xf numFmtId="0" fontId="16" fillId="0" borderId="9" xfId="6" applyFont="1" applyBorder="1" applyAlignment="1">
      <alignment horizontal="center" vertical="center"/>
    </xf>
    <xf numFmtId="0" fontId="16" fillId="0" borderId="28" xfId="6" applyFont="1" applyBorder="1" applyAlignment="1">
      <alignment horizontal="center" vertical="center"/>
    </xf>
    <xf numFmtId="0" fontId="16" fillId="0" borderId="7" xfId="6" applyFont="1" applyBorder="1" applyAlignment="1">
      <alignment horizontal="center" vertical="center"/>
    </xf>
    <xf numFmtId="0" fontId="16" fillId="0" borderId="12" xfId="6" applyFont="1" applyBorder="1" applyAlignment="1">
      <alignment horizontal="center" vertical="center"/>
    </xf>
    <xf numFmtId="0" fontId="16" fillId="0" borderId="1" xfId="6" applyFont="1" applyBorder="1" applyAlignment="1">
      <alignment horizontal="center" vertical="center"/>
    </xf>
    <xf numFmtId="0" fontId="16" fillId="0" borderId="3" xfId="6" applyFont="1" applyBorder="1" applyAlignment="1">
      <alignment horizontal="center" vertical="center"/>
    </xf>
    <xf numFmtId="0" fontId="25" fillId="0" borderId="0" xfId="6" applyFont="1" applyAlignment="1">
      <alignment horizontal="center"/>
    </xf>
    <xf numFmtId="0" fontId="68" fillId="0" borderId="0" xfId="6" applyFont="1" applyAlignment="1">
      <alignment horizontal="center"/>
    </xf>
    <xf numFmtId="0" fontId="70" fillId="0" borderId="0" xfId="6" quotePrefix="1" applyFont="1" applyAlignment="1">
      <alignment horizontal="center"/>
    </xf>
    <xf numFmtId="0" fontId="44" fillId="0" borderId="0" xfId="6" quotePrefix="1" applyFont="1" applyAlignment="1">
      <alignment horizontal="center"/>
    </xf>
    <xf numFmtId="0" fontId="70" fillId="0" borderId="0" xfId="6" applyFont="1" applyAlignment="1">
      <alignment horizontal="justify" vertical="justify" wrapText="1"/>
    </xf>
    <xf numFmtId="0" fontId="76" fillId="0" borderId="0" xfId="6" applyFont="1" applyAlignment="1">
      <alignment horizontal="justify" vertical="justify" wrapText="1"/>
    </xf>
    <xf numFmtId="0" fontId="72" fillId="0" borderId="0" xfId="6" applyFont="1" applyAlignment="1">
      <alignment horizontal="center"/>
    </xf>
    <xf numFmtId="0" fontId="73" fillId="0" borderId="0" xfId="6" applyFont="1" applyAlignment="1">
      <alignment horizontal="center"/>
    </xf>
    <xf numFmtId="0" fontId="77" fillId="0" borderId="0" xfId="6" applyFont="1" applyAlignment="1">
      <alignment horizontal="center"/>
    </xf>
    <xf numFmtId="0" fontId="70" fillId="0" borderId="0" xfId="6" applyFont="1" applyAlignment="1">
      <alignment horizontal="center"/>
    </xf>
    <xf numFmtId="0" fontId="76" fillId="0" borderId="0" xfId="6" applyFont="1" applyAlignment="1">
      <alignment horizontal="left"/>
    </xf>
    <xf numFmtId="0" fontId="76" fillId="0" borderId="0" xfId="6" applyFont="1" applyAlignment="1">
      <alignment horizontal="center"/>
    </xf>
    <xf numFmtId="43" fontId="34" fillId="0" borderId="0" xfId="6" quotePrefix="1" applyNumberFormat="1" applyFont="1" applyBorder="1" applyAlignment="1">
      <alignment horizontal="center"/>
    </xf>
    <xf numFmtId="0" fontId="29" fillId="0" borderId="60" xfId="6" applyFont="1" applyBorder="1" applyAlignment="1">
      <alignment horizontal="center"/>
    </xf>
    <xf numFmtId="0" fontId="29" fillId="0" borderId="14" xfId="6" applyFont="1" applyBorder="1" applyAlignment="1">
      <alignment horizontal="center"/>
    </xf>
    <xf numFmtId="0" fontId="29" fillId="0" borderId="37" xfId="6" applyFont="1" applyBorder="1" applyAlignment="1">
      <alignment horizontal="center"/>
    </xf>
    <xf numFmtId="0" fontId="24" fillId="0" borderId="0" xfId="6" applyFont="1" applyAlignment="1">
      <alignment horizontal="center"/>
    </xf>
    <xf numFmtId="0" fontId="27" fillId="0" borderId="9" xfId="6" applyFont="1" applyBorder="1" applyAlignment="1">
      <alignment horizontal="center"/>
    </xf>
    <xf numFmtId="0" fontId="27" fillId="0" borderId="28" xfId="6" applyFont="1" applyBorder="1" applyAlignment="1">
      <alignment horizontal="center"/>
    </xf>
    <xf numFmtId="0" fontId="27" fillId="0" borderId="27" xfId="6" applyFont="1" applyBorder="1" applyAlignment="1">
      <alignment horizontal="center"/>
    </xf>
    <xf numFmtId="0" fontId="27" fillId="0" borderId="5" xfId="6" applyFont="1" applyBorder="1" applyAlignment="1">
      <alignment horizontal="center"/>
    </xf>
    <xf numFmtId="0" fontId="27" fillId="0" borderId="0" xfId="6" applyFont="1" applyBorder="1" applyAlignment="1">
      <alignment horizontal="center"/>
    </xf>
    <xf numFmtId="0" fontId="27" fillId="0" borderId="6" xfId="6" applyFont="1" applyBorder="1" applyAlignment="1">
      <alignment horizontal="center"/>
    </xf>
    <xf numFmtId="0" fontId="27" fillId="0" borderId="7" xfId="6" applyFont="1" applyBorder="1" applyAlignment="1">
      <alignment horizontal="center"/>
    </xf>
    <xf numFmtId="0" fontId="27" fillId="0" borderId="26" xfId="6" applyFont="1" applyBorder="1" applyAlignment="1">
      <alignment horizontal="center"/>
    </xf>
    <xf numFmtId="0" fontId="37" fillId="0" borderId="0" xfId="6" applyFont="1" applyAlignment="1">
      <alignment horizontal="center"/>
    </xf>
    <xf numFmtId="0" fontId="39" fillId="0" borderId="0" xfId="6" applyFont="1" applyAlignment="1">
      <alignment horizontal="center"/>
    </xf>
    <xf numFmtId="0" fontId="29" fillId="0" borderId="0" xfId="6" applyFont="1" applyAlignment="1">
      <alignment horizontal="center"/>
    </xf>
    <xf numFmtId="0" fontId="27" fillId="0" borderId="20" xfId="6" applyFont="1" applyBorder="1" applyAlignment="1">
      <alignment horizontal="center"/>
    </xf>
    <xf numFmtId="0" fontId="27" fillId="0" borderId="17" xfId="6" applyFont="1" applyBorder="1" applyAlignment="1">
      <alignment horizontal="center"/>
    </xf>
    <xf numFmtId="0" fontId="27" fillId="0" borderId="32" xfId="6" applyFont="1" applyBorder="1" applyAlignment="1">
      <alignment horizontal="center"/>
    </xf>
    <xf numFmtId="0" fontId="27" fillId="0" borderId="33" xfId="6" applyFont="1" applyBorder="1" applyAlignment="1">
      <alignment horizontal="center"/>
    </xf>
    <xf numFmtId="0" fontId="27" fillId="0" borderId="47" xfId="6" applyFont="1" applyBorder="1" applyAlignment="1">
      <alignment horizontal="center"/>
    </xf>
    <xf numFmtId="0" fontId="27" fillId="0" borderId="49" xfId="6" applyFont="1" applyBorder="1" applyAlignment="1">
      <alignment horizontal="center"/>
    </xf>
    <xf numFmtId="0" fontId="25" fillId="0" borderId="5" xfId="6" applyFont="1" applyBorder="1" applyAlignment="1">
      <alignment horizontal="center"/>
    </xf>
    <xf numFmtId="0" fontId="25" fillId="0" borderId="0" xfId="6" applyFont="1" applyBorder="1" applyAlignment="1">
      <alignment horizontal="center"/>
    </xf>
    <xf numFmtId="0" fontId="25" fillId="0" borderId="6" xfId="6" applyFont="1" applyBorder="1" applyAlignment="1">
      <alignment horizontal="center"/>
    </xf>
    <xf numFmtId="0" fontId="27" fillId="0" borderId="0" xfId="6" applyFont="1" applyAlignment="1">
      <alignment horizontal="center"/>
    </xf>
    <xf numFmtId="0" fontId="13" fillId="0" borderId="0" xfId="8" applyFont="1" applyBorder="1" applyAlignment="1">
      <alignment horizontal="left" vertical="top" wrapText="1"/>
    </xf>
    <xf numFmtId="0" fontId="9" fillId="0" borderId="0" xfId="8" applyFont="1" applyFill="1" applyBorder="1" applyAlignment="1">
      <alignment horizontal="center"/>
    </xf>
    <xf numFmtId="0" fontId="13" fillId="0" borderId="0" xfId="8" applyFont="1" applyFill="1" applyBorder="1" applyAlignment="1">
      <alignment horizontal="center"/>
    </xf>
    <xf numFmtId="0" fontId="13" fillId="0" borderId="2" xfId="8" applyFont="1" applyBorder="1" applyAlignment="1">
      <alignment vertical="top" wrapText="1"/>
    </xf>
    <xf numFmtId="0" fontId="13" fillId="0" borderId="3" xfId="8" applyFont="1" applyBorder="1" applyAlignment="1">
      <alignment vertical="top" wrapText="1"/>
    </xf>
    <xf numFmtId="0" fontId="44" fillId="0" borderId="0" xfId="8" quotePrefix="1" applyFont="1" applyAlignment="1">
      <alignment horizontal="center" vertical="distributed" textRotation="180"/>
    </xf>
    <xf numFmtId="0" fontId="9" fillId="0" borderId="0" xfId="10" applyFont="1" applyFill="1" applyBorder="1" applyAlignment="1">
      <alignment horizontal="center"/>
    </xf>
    <xf numFmtId="0" fontId="13" fillId="0" borderId="0" xfId="10" applyFont="1" applyFill="1" applyBorder="1" applyAlignment="1">
      <alignment horizontal="center"/>
    </xf>
    <xf numFmtId="0" fontId="9" fillId="0" borderId="0" xfId="8" applyFont="1" applyBorder="1" applyAlignment="1">
      <alignment horizontal="center" vertical="center"/>
    </xf>
    <xf numFmtId="0" fontId="47" fillId="0" borderId="0" xfId="8" applyFont="1" applyBorder="1" applyAlignment="1">
      <alignment horizontal="center" vertical="center"/>
    </xf>
    <xf numFmtId="0" fontId="36" fillId="0" borderId="0" xfId="8" applyFont="1" applyBorder="1" applyAlignment="1">
      <alignment horizontal="left" vertical="top" wrapText="1"/>
    </xf>
    <xf numFmtId="0" fontId="9" fillId="3" borderId="1" xfId="8" applyFont="1" applyFill="1" applyBorder="1" applyAlignment="1">
      <alignment horizontal="center" vertical="center" wrapText="1"/>
    </xf>
    <xf numFmtId="0" fontId="9" fillId="3" borderId="3" xfId="8" applyFont="1" applyFill="1" applyBorder="1" applyAlignment="1">
      <alignment horizontal="center" vertical="center" wrapText="1"/>
    </xf>
    <xf numFmtId="0" fontId="9" fillId="3" borderId="9" xfId="8" applyFont="1" applyFill="1" applyBorder="1" applyAlignment="1">
      <alignment horizontal="center" vertical="center"/>
    </xf>
    <xf numFmtId="0" fontId="9" fillId="3" borderId="7" xfId="8" applyFont="1" applyFill="1" applyBorder="1" applyAlignment="1">
      <alignment horizontal="center" vertical="center"/>
    </xf>
    <xf numFmtId="0" fontId="9" fillId="3" borderId="15" xfId="8" applyFont="1" applyFill="1" applyBorder="1" applyAlignment="1">
      <alignment horizontal="center"/>
    </xf>
    <xf numFmtId="0" fontId="9" fillId="3" borderId="41" xfId="8" applyFont="1" applyFill="1" applyBorder="1" applyAlignment="1">
      <alignment horizontal="center"/>
    </xf>
    <xf numFmtId="43" fontId="13" fillId="0" borderId="1" xfId="9" applyFont="1" applyBorder="1" applyAlignment="1">
      <alignment horizontal="center" vertical="center"/>
    </xf>
    <xf numFmtId="43" fontId="13" fillId="0" borderId="2" xfId="9" applyFont="1" applyBorder="1" applyAlignment="1">
      <alignment horizontal="center" vertical="center"/>
    </xf>
    <xf numFmtId="43" fontId="13" fillId="0" borderId="3" xfId="9" applyFont="1" applyBorder="1" applyAlignment="1">
      <alignment horizontal="center" vertical="center"/>
    </xf>
    <xf numFmtId="0" fontId="13" fillId="0" borderId="2" xfId="8" applyFont="1" applyBorder="1" applyAlignment="1">
      <alignment horizontal="left" vertical="top" wrapText="1"/>
    </xf>
    <xf numFmtId="0" fontId="13" fillId="0" borderId="2" xfId="8" applyFont="1" applyBorder="1" applyAlignment="1">
      <alignment horizontal="center" vertical="center"/>
    </xf>
    <xf numFmtId="0" fontId="13" fillId="0" borderId="2" xfId="8" applyFont="1" applyBorder="1" applyAlignment="1">
      <alignment horizontal="left" vertical="center" wrapText="1"/>
    </xf>
    <xf numFmtId="0" fontId="44" fillId="0" borderId="0" xfId="8" applyFont="1" applyAlignment="1">
      <alignment horizontal="center" vertical="distributed" textRotation="180"/>
    </xf>
    <xf numFmtId="0" fontId="13" fillId="0" borderId="1" xfId="8" applyFont="1" applyFill="1" applyBorder="1" applyAlignment="1">
      <alignment horizontal="left" vertical="top" wrapText="1"/>
    </xf>
    <xf numFmtId="0" fontId="13" fillId="0" borderId="2" xfId="8" applyFont="1" applyFill="1" applyBorder="1" applyAlignment="1">
      <alignment horizontal="left" vertical="top" wrapText="1"/>
    </xf>
    <xf numFmtId="0" fontId="13" fillId="0" borderId="1" xfId="8" applyFont="1" applyBorder="1" applyAlignment="1">
      <alignment horizontal="left" vertical="top" wrapText="1"/>
    </xf>
    <xf numFmtId="0" fontId="13" fillId="0" borderId="1" xfId="8" applyFont="1" applyBorder="1" applyAlignment="1">
      <alignment horizontal="left" vertical="center" wrapText="1"/>
    </xf>
    <xf numFmtId="0" fontId="13" fillId="0" borderId="3" xfId="8" applyFont="1" applyBorder="1" applyAlignment="1">
      <alignment horizontal="left" vertical="top" wrapText="1"/>
    </xf>
    <xf numFmtId="0" fontId="9" fillId="0" borderId="0" xfId="8" applyFont="1" applyBorder="1" applyAlignment="1">
      <alignment horizontal="center"/>
    </xf>
    <xf numFmtId="0" fontId="13" fillId="0" borderId="0" xfId="8" applyFont="1" applyBorder="1" applyAlignment="1">
      <alignment horizontal="center"/>
    </xf>
    <xf numFmtId="0" fontId="13" fillId="0" borderId="0" xfId="8" applyFont="1" applyBorder="1" applyAlignment="1">
      <alignment horizontal="left" wrapText="1"/>
    </xf>
    <xf numFmtId="0" fontId="9" fillId="3" borderId="2" xfId="8" applyFont="1" applyFill="1" applyBorder="1" applyAlignment="1">
      <alignment horizontal="center" vertical="center" wrapText="1"/>
    </xf>
    <xf numFmtId="0" fontId="9" fillId="3" borderId="5" xfId="8" applyFont="1" applyFill="1" applyBorder="1" applyAlignment="1">
      <alignment horizontal="center" vertical="center"/>
    </xf>
    <xf numFmtId="0" fontId="37" fillId="3" borderId="1" xfId="8" applyFont="1" applyFill="1" applyBorder="1" applyAlignment="1">
      <alignment horizontal="center" vertical="center" wrapText="1"/>
    </xf>
    <xf numFmtId="0" fontId="37" fillId="3" borderId="3" xfId="8" applyFont="1" applyFill="1" applyBorder="1" applyAlignment="1">
      <alignment horizontal="center" vertical="center" wrapText="1"/>
    </xf>
    <xf numFmtId="0" fontId="37" fillId="3" borderId="19" xfId="8" applyFont="1" applyFill="1" applyBorder="1" applyAlignment="1">
      <alignment horizontal="center" vertical="center" wrapText="1"/>
    </xf>
    <xf numFmtId="0" fontId="37" fillId="3" borderId="15" xfId="8" applyFont="1" applyFill="1" applyBorder="1" applyAlignment="1">
      <alignment horizontal="center" vertical="center" wrapText="1"/>
    </xf>
    <xf numFmtId="0" fontId="37" fillId="3" borderId="41" xfId="8" applyFont="1" applyFill="1" applyBorder="1" applyAlignment="1">
      <alignment horizontal="center" vertical="center" wrapText="1"/>
    </xf>
    <xf numFmtId="43" fontId="36" fillId="0" borderId="9" xfId="9" applyFont="1" applyBorder="1" applyAlignment="1">
      <alignment horizontal="center" vertical="center"/>
    </xf>
    <xf numFmtId="43" fontId="36" fillId="0" borderId="5" xfId="9" applyFont="1" applyBorder="1" applyAlignment="1">
      <alignment horizontal="center" vertical="center"/>
    </xf>
    <xf numFmtId="43" fontId="36" fillId="0" borderId="7" xfId="9" applyFont="1" applyBorder="1" applyAlignment="1">
      <alignment horizontal="center" vertical="center"/>
    </xf>
    <xf numFmtId="43" fontId="36" fillId="0" borderId="28" xfId="9" applyFont="1" applyBorder="1" applyAlignment="1">
      <alignment horizontal="center" vertical="center"/>
    </xf>
    <xf numFmtId="43" fontId="36" fillId="0" borderId="0" xfId="9" applyFont="1" applyBorder="1" applyAlignment="1">
      <alignment horizontal="center" vertical="center"/>
    </xf>
    <xf numFmtId="43" fontId="36" fillId="0" borderId="12" xfId="9" applyFont="1" applyBorder="1" applyAlignment="1">
      <alignment horizontal="center" vertical="center"/>
    </xf>
    <xf numFmtId="43" fontId="36" fillId="0" borderId="27" xfId="9" applyFont="1" applyBorder="1" applyAlignment="1">
      <alignment horizontal="center" vertical="center"/>
    </xf>
    <xf numFmtId="43" fontId="36" fillId="0" borderId="6" xfId="9" applyFont="1" applyBorder="1" applyAlignment="1">
      <alignment horizontal="center" vertical="center"/>
    </xf>
    <xf numFmtId="43" fontId="36" fillId="0" borderId="26" xfId="9" applyFont="1" applyBorder="1" applyAlignment="1">
      <alignment horizontal="center" vertical="center"/>
    </xf>
    <xf numFmtId="0" fontId="37" fillId="0" borderId="0" xfId="8" applyFont="1" applyBorder="1" applyAlignment="1">
      <alignment horizontal="center"/>
    </xf>
    <xf numFmtId="0" fontId="37" fillId="0" borderId="0" xfId="8" applyFont="1" applyFill="1" applyBorder="1" applyAlignment="1">
      <alignment horizontal="center"/>
    </xf>
    <xf numFmtId="0" fontId="37" fillId="0" borderId="0" xfId="10" applyFont="1" applyFill="1" applyBorder="1" applyAlignment="1">
      <alignment horizontal="center"/>
    </xf>
    <xf numFmtId="0" fontId="36" fillId="0" borderId="0" xfId="8" applyFont="1" applyBorder="1" applyAlignment="1">
      <alignment horizontal="center"/>
    </xf>
    <xf numFmtId="0" fontId="36" fillId="0" borderId="0" xfId="8" applyFont="1" applyFill="1" applyBorder="1" applyAlignment="1">
      <alignment horizontal="center"/>
    </xf>
    <xf numFmtId="0" fontId="36" fillId="0" borderId="0" xfId="10" applyFont="1" applyFill="1" applyBorder="1" applyAlignment="1">
      <alignment horizontal="center"/>
    </xf>
    <xf numFmtId="0" fontId="37" fillId="3" borderId="0" xfId="8" applyFont="1" applyFill="1" applyBorder="1" applyAlignment="1">
      <alignment horizontal="center" vertical="center" wrapText="1"/>
    </xf>
    <xf numFmtId="0" fontId="51" fillId="0" borderId="0" xfId="8" applyFont="1" applyBorder="1" applyAlignment="1">
      <alignment horizontal="center"/>
    </xf>
    <xf numFmtId="0" fontId="52" fillId="0" borderId="0" xfId="8" applyFont="1" applyBorder="1" applyAlignment="1">
      <alignment horizontal="center"/>
    </xf>
    <xf numFmtId="0" fontId="36" fillId="0" borderId="0" xfId="8" applyFont="1" applyAlignment="1">
      <alignment horizontal="left" vertical="top" wrapText="1"/>
    </xf>
    <xf numFmtId="0" fontId="36" fillId="0" borderId="0" xfId="8" applyFont="1" applyAlignment="1">
      <alignment horizontal="left" vertical="top"/>
    </xf>
    <xf numFmtId="0" fontId="37" fillId="3" borderId="28" xfId="8" applyFont="1" applyFill="1" applyBorder="1" applyAlignment="1">
      <alignment horizontal="center" vertical="center" wrapText="1"/>
    </xf>
    <xf numFmtId="0" fontId="37" fillId="3" borderId="27" xfId="8" applyFont="1" applyFill="1" applyBorder="1" applyAlignment="1">
      <alignment horizontal="center" vertical="center" wrapText="1"/>
    </xf>
    <xf numFmtId="0" fontId="36" fillId="0" borderId="1" xfId="8" applyFont="1" applyFill="1" applyBorder="1" applyAlignment="1">
      <alignment horizontal="center" vertical="center" wrapText="1"/>
    </xf>
    <xf numFmtId="0" fontId="36" fillId="0" borderId="2" xfId="8" applyFont="1" applyFill="1" applyBorder="1" applyAlignment="1">
      <alignment horizontal="center" vertical="center" wrapText="1"/>
    </xf>
    <xf numFmtId="0" fontId="36" fillId="0" borderId="3" xfId="8" applyFont="1" applyFill="1" applyBorder="1" applyAlignment="1">
      <alignment horizontal="center" vertical="center" wrapText="1"/>
    </xf>
    <xf numFmtId="43" fontId="36" fillId="0" borderId="5" xfId="9" applyNumberFormat="1" applyFont="1" applyBorder="1" applyAlignment="1">
      <alignment horizontal="center" vertical="center"/>
    </xf>
    <xf numFmtId="43" fontId="36" fillId="0" borderId="0" xfId="9" applyNumberFormat="1" applyFont="1" applyBorder="1" applyAlignment="1">
      <alignment horizontal="center" vertical="center"/>
    </xf>
    <xf numFmtId="43" fontId="36" fillId="0" borderId="6" xfId="9" applyNumberFormat="1" applyFont="1" applyBorder="1" applyAlignment="1">
      <alignment horizontal="center" vertical="center"/>
    </xf>
    <xf numFmtId="0" fontId="13" fillId="0" borderId="3" xfId="8" applyFont="1" applyFill="1" applyBorder="1" applyAlignment="1">
      <alignment horizontal="left" vertical="top" wrapText="1"/>
    </xf>
    <xf numFmtId="166" fontId="13" fillId="0" borderId="1" xfId="9" applyNumberFormat="1" applyFont="1" applyFill="1" applyBorder="1" applyAlignment="1">
      <alignment horizontal="left" vertical="top" wrapText="1"/>
    </xf>
    <xf numFmtId="166" fontId="13" fillId="0" borderId="2" xfId="9" applyNumberFormat="1" applyFont="1" applyFill="1" applyBorder="1" applyAlignment="1">
      <alignment horizontal="left" vertical="top" wrapText="1"/>
    </xf>
    <xf numFmtId="166" fontId="13" fillId="0" borderId="3" xfId="9" applyNumberFormat="1" applyFont="1" applyFill="1" applyBorder="1" applyAlignment="1">
      <alignment horizontal="left" vertical="top" wrapText="1"/>
    </xf>
    <xf numFmtId="49" fontId="13" fillId="0" borderId="1" xfId="8" applyNumberFormat="1" applyFont="1" applyFill="1" applyBorder="1" applyAlignment="1">
      <alignment horizontal="left" vertical="top" wrapText="1"/>
    </xf>
    <xf numFmtId="49" fontId="13" fillId="0" borderId="2" xfId="8" applyNumberFormat="1" applyFont="1" applyFill="1" applyBorder="1" applyAlignment="1">
      <alignment horizontal="left" vertical="top" wrapText="1"/>
    </xf>
    <xf numFmtId="0" fontId="13" fillId="0" borderId="0" xfId="8" applyFont="1" applyFill="1" applyBorder="1" applyAlignment="1">
      <alignment horizontal="left" vertical="top" wrapText="1"/>
    </xf>
    <xf numFmtId="43" fontId="13" fillId="0" borderId="27" xfId="9" applyFont="1" applyBorder="1" applyAlignment="1">
      <alignment horizontal="center" vertical="center"/>
    </xf>
    <xf numFmtId="43" fontId="13" fillId="0" borderId="6" xfId="9" applyFont="1" applyBorder="1" applyAlignment="1">
      <alignment horizontal="center" vertical="center"/>
    </xf>
    <xf numFmtId="43" fontId="13" fillId="0" borderId="26" xfId="9" applyFont="1" applyBorder="1" applyAlignment="1">
      <alignment horizontal="center" vertical="center"/>
    </xf>
    <xf numFmtId="49" fontId="13" fillId="0" borderId="1" xfId="8" applyNumberFormat="1" applyFont="1" applyFill="1" applyBorder="1" applyAlignment="1">
      <alignment horizontal="left" vertical="center" wrapText="1"/>
    </xf>
    <xf numFmtId="49" fontId="13" fillId="0" borderId="2" xfId="8" applyNumberFormat="1" applyFont="1" applyFill="1" applyBorder="1" applyAlignment="1">
      <alignment horizontal="left" vertical="center" wrapText="1"/>
    </xf>
    <xf numFmtId="49" fontId="13" fillId="0" borderId="3" xfId="8" applyNumberFormat="1" applyFont="1" applyFill="1" applyBorder="1" applyAlignment="1">
      <alignment horizontal="left" vertical="center" wrapText="1"/>
    </xf>
    <xf numFmtId="49" fontId="13" fillId="0" borderId="3" xfId="8" applyNumberFormat="1" applyFont="1" applyFill="1" applyBorder="1" applyAlignment="1">
      <alignment horizontal="left" vertical="top" wrapText="1"/>
    </xf>
    <xf numFmtId="0" fontId="13" fillId="0" borderId="0" xfId="8" applyFont="1" applyAlignment="1">
      <alignment horizontal="left" wrapText="1"/>
    </xf>
    <xf numFmtId="0" fontId="13" fillId="0" borderId="12" xfId="8" applyFont="1" applyBorder="1" applyAlignment="1">
      <alignment horizontal="left" wrapText="1"/>
    </xf>
    <xf numFmtId="0" fontId="13" fillId="0" borderId="27" xfId="8" applyFont="1" applyBorder="1" applyAlignment="1">
      <alignment horizontal="left" vertical="top" wrapText="1"/>
    </xf>
    <xf numFmtId="0" fontId="13" fillId="0" borderId="6" xfId="8" applyFont="1" applyBorder="1" applyAlignment="1">
      <alignment horizontal="left" vertical="top" wrapText="1"/>
    </xf>
    <xf numFmtId="0" fontId="13" fillId="0" borderId="26" xfId="8" applyFont="1" applyBorder="1" applyAlignment="1">
      <alignment horizontal="left" vertical="top" wrapText="1"/>
    </xf>
    <xf numFmtId="0" fontId="13" fillId="0" borderId="27" xfId="8" applyFont="1" applyFill="1" applyBorder="1" applyAlignment="1">
      <alignment horizontal="left" vertical="top" wrapText="1"/>
    </xf>
    <xf numFmtId="0" fontId="13" fillId="0" borderId="26" xfId="8" applyFont="1" applyFill="1" applyBorder="1" applyAlignment="1">
      <alignment horizontal="left" vertical="top" wrapText="1"/>
    </xf>
    <xf numFmtId="0" fontId="9" fillId="3" borderId="1" xfId="8" applyFont="1" applyFill="1" applyBorder="1" applyAlignment="1">
      <alignment horizontal="center" vertical="center"/>
    </xf>
    <xf numFmtId="0" fontId="9" fillId="3" borderId="3" xfId="8" applyFont="1" applyFill="1" applyBorder="1" applyAlignment="1">
      <alignment horizontal="center" vertical="center"/>
    </xf>
    <xf numFmtId="0" fontId="9" fillId="3" borderId="19" xfId="8" applyFont="1" applyFill="1" applyBorder="1" applyAlignment="1">
      <alignment horizontal="center"/>
    </xf>
    <xf numFmtId="49" fontId="13" fillId="0" borderId="1" xfId="9" applyNumberFormat="1" applyFont="1" applyFill="1" applyBorder="1" applyAlignment="1">
      <alignment horizontal="left" vertical="top" wrapText="1"/>
    </xf>
    <xf numFmtId="49" fontId="13" fillId="0" borderId="2" xfId="9" applyNumberFormat="1" applyFont="1" applyFill="1" applyBorder="1" applyAlignment="1">
      <alignment horizontal="left" vertical="top" wrapText="1"/>
    </xf>
    <xf numFmtId="49" fontId="13" fillId="0" borderId="3" xfId="9" applyNumberFormat="1" applyFont="1" applyFill="1" applyBorder="1" applyAlignment="1">
      <alignment horizontal="left" vertical="top" wrapText="1"/>
    </xf>
    <xf numFmtId="0" fontId="36" fillId="0" borderId="0" xfId="8" applyFont="1" applyBorder="1" applyAlignment="1">
      <alignment horizontal="left"/>
    </xf>
    <xf numFmtId="43" fontId="36" fillId="0" borderId="1" xfId="9" applyFont="1" applyBorder="1" applyAlignment="1">
      <alignment horizontal="center" vertical="center"/>
    </xf>
    <xf numFmtId="43" fontId="36" fillId="0" borderId="2" xfId="9" applyFont="1" applyBorder="1" applyAlignment="1">
      <alignment horizontal="center" vertical="center"/>
    </xf>
    <xf numFmtId="43" fontId="36" fillId="0" borderId="3" xfId="9" applyFont="1" applyBorder="1" applyAlignment="1">
      <alignment horizontal="center" vertical="center"/>
    </xf>
    <xf numFmtId="0" fontId="9" fillId="3" borderId="4" xfId="8" applyFont="1" applyFill="1" applyBorder="1" applyAlignment="1">
      <alignment horizontal="center" vertical="center" wrapText="1"/>
    </xf>
    <xf numFmtId="43" fontId="19" fillId="0" borderId="0" xfId="8" quotePrefix="1" applyNumberFormat="1" applyFont="1" applyBorder="1" applyAlignment="1">
      <alignment horizontal="center" vertical="center" textRotation="180" wrapText="1"/>
    </xf>
    <xf numFmtId="0" fontId="44" fillId="0" borderId="0" xfId="8" quotePrefix="1" applyFont="1" applyAlignment="1">
      <alignment horizontal="center" vertical="center" textRotation="180"/>
    </xf>
    <xf numFmtId="0" fontId="44" fillId="0" borderId="0" xfId="8" applyFont="1" applyAlignment="1">
      <alignment horizontal="center" vertical="center" textRotation="180"/>
    </xf>
    <xf numFmtId="0" fontId="9" fillId="0" borderId="28" xfId="8" applyFont="1" applyFill="1" applyBorder="1" applyAlignment="1">
      <alignment horizontal="left" vertical="top" wrapText="1"/>
    </xf>
    <xf numFmtId="0" fontId="9" fillId="0" borderId="0" xfId="8" applyFont="1" applyFill="1" applyBorder="1" applyAlignment="1">
      <alignment horizontal="left" vertical="top" wrapText="1"/>
    </xf>
    <xf numFmtId="0" fontId="13" fillId="0" borderId="0" xfId="8" applyFont="1" applyAlignment="1">
      <alignment horizontal="center"/>
    </xf>
    <xf numFmtId="43" fontId="9" fillId="0" borderId="19" xfId="9" applyFont="1" applyBorder="1" applyAlignment="1">
      <alignment horizontal="center" vertical="center"/>
    </xf>
    <xf numFmtId="43" fontId="9" fillId="0" borderId="15" xfId="9" applyFont="1" applyBorder="1" applyAlignment="1">
      <alignment horizontal="center" vertical="center"/>
    </xf>
    <xf numFmtId="43" fontId="9" fillId="0" borderId="41" xfId="9" applyFont="1" applyBorder="1" applyAlignment="1">
      <alignment horizontal="center" vertical="center"/>
    </xf>
    <xf numFmtId="0" fontId="13" fillId="0" borderId="9" xfId="8" applyFont="1" applyBorder="1" applyAlignment="1">
      <alignment horizontal="left" vertical="top" wrapText="1"/>
    </xf>
    <xf numFmtId="0" fontId="13" fillId="0" borderId="5" xfId="8" applyFont="1" applyBorder="1" applyAlignment="1">
      <alignment horizontal="left" vertical="top" wrapText="1"/>
    </xf>
    <xf numFmtId="0" fontId="13" fillId="0" borderId="7" xfId="8" applyFont="1" applyBorder="1" applyAlignment="1">
      <alignment horizontal="left" vertical="top" wrapText="1"/>
    </xf>
    <xf numFmtId="0" fontId="44" fillId="0" borderId="0" xfId="0" quotePrefix="1" applyFont="1" applyAlignment="1">
      <alignment horizontal="center"/>
    </xf>
    <xf numFmtId="0" fontId="44" fillId="0" borderId="0" xfId="0" applyFont="1" applyAlignment="1">
      <alignment horizontal="center"/>
    </xf>
    <xf numFmtId="0" fontId="11" fillId="0" borderId="0" xfId="0" applyFont="1" applyAlignment="1">
      <alignment horizontal="center"/>
    </xf>
    <xf numFmtId="0" fontId="4" fillId="0" borderId="0" xfId="0" applyFont="1" applyAlignment="1">
      <alignment horizont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26" xfId="0" applyFont="1" applyBorder="1" applyAlignment="1">
      <alignment horizontal="center" vertical="center"/>
    </xf>
    <xf numFmtId="0" fontId="7" fillId="0" borderId="19" xfId="0" applyFont="1" applyBorder="1" applyAlignment="1">
      <alignment horizontal="center"/>
    </xf>
    <xf numFmtId="0" fontId="7" fillId="0" borderId="15" xfId="0" applyFont="1" applyBorder="1" applyAlignment="1">
      <alignment horizontal="center"/>
    </xf>
    <xf numFmtId="0" fontId="7" fillId="0" borderId="41" xfId="0" applyFont="1" applyBorder="1" applyAlignment="1">
      <alignment horizontal="center"/>
    </xf>
    <xf numFmtId="0" fontId="7" fillId="0" borderId="7" xfId="0" applyFont="1" applyBorder="1" applyAlignment="1">
      <alignment horizontal="center"/>
    </xf>
    <xf numFmtId="0" fontId="7" fillId="0" borderId="12" xfId="0" applyFont="1" applyBorder="1" applyAlignment="1">
      <alignment horizontal="center"/>
    </xf>
    <xf numFmtId="0" fontId="7" fillId="0" borderId="26" xfId="0" applyFont="1" applyBorder="1" applyAlignment="1">
      <alignment horizontal="center"/>
    </xf>
    <xf numFmtId="0" fontId="0" fillId="0" borderId="24" xfId="0" applyBorder="1" applyAlignment="1">
      <alignment horizontal="center"/>
    </xf>
    <xf numFmtId="0" fontId="0" fillId="0" borderId="14" xfId="0" applyBorder="1" applyAlignment="1">
      <alignment horizontal="center"/>
    </xf>
    <xf numFmtId="0" fontId="0" fillId="0" borderId="25" xfId="0" applyBorder="1" applyAlignment="1">
      <alignment horizontal="center"/>
    </xf>
    <xf numFmtId="49" fontId="7" fillId="0" borderId="0" xfId="0" applyNumberFormat="1" applyFont="1" applyAlignment="1">
      <alignment horizontal="center"/>
    </xf>
    <xf numFmtId="49" fontId="44" fillId="0" borderId="0" xfId="0" quotePrefix="1" applyNumberFormat="1" applyFont="1" applyAlignment="1">
      <alignment horizontal="center"/>
    </xf>
    <xf numFmtId="49" fontId="44" fillId="0" borderId="0" xfId="0" applyNumberFormat="1" applyFont="1" applyAlignment="1">
      <alignment horizontal="center"/>
    </xf>
    <xf numFmtId="49" fontId="19" fillId="0" borderId="0" xfId="0" applyNumberFormat="1" applyFont="1" applyAlignment="1">
      <alignment horizontal="center"/>
    </xf>
    <xf numFmtId="49" fontId="11" fillId="0" borderId="0" xfId="0" applyNumberFormat="1" applyFont="1" applyAlignment="1">
      <alignment horizontal="center"/>
    </xf>
    <xf numFmtId="0" fontId="7" fillId="0" borderId="22" xfId="0" applyFont="1" applyBorder="1" applyAlignment="1">
      <alignment horizontal="center"/>
    </xf>
    <xf numFmtId="49" fontId="4" fillId="0" borderId="0" xfId="0" applyNumberFormat="1" applyFont="1" applyAlignment="1">
      <alignment horizontal="center"/>
    </xf>
    <xf numFmtId="0" fontId="16" fillId="0" borderId="0" xfId="6" applyFont="1" applyAlignment="1">
      <alignment horizontal="center"/>
    </xf>
    <xf numFmtId="0" fontId="15" fillId="0" borderId="0" xfId="6" applyFont="1" applyAlignment="1">
      <alignment horizontal="center"/>
    </xf>
    <xf numFmtId="0" fontId="44" fillId="0" borderId="0" xfId="6" applyFont="1" applyAlignment="1">
      <alignment horizontal="center"/>
    </xf>
    <xf numFmtId="0" fontId="15" fillId="0" borderId="19" xfId="6" applyFont="1" applyBorder="1" applyAlignment="1">
      <alignment horizontal="center"/>
    </xf>
    <xf numFmtId="0" fontId="15" fillId="0" borderId="15" xfId="6" applyFont="1" applyBorder="1" applyAlignment="1">
      <alignment horizontal="center"/>
    </xf>
    <xf numFmtId="0" fontId="15" fillId="0" borderId="41" xfId="6" applyFont="1" applyBorder="1" applyAlignment="1">
      <alignment horizontal="center"/>
    </xf>
    <xf numFmtId="0" fontId="15" fillId="0" borderId="7" xfId="6" applyFont="1" applyBorder="1" applyAlignment="1">
      <alignment horizontal="center"/>
    </xf>
    <xf numFmtId="0" fontId="15" fillId="0" borderId="12" xfId="6" applyFont="1" applyBorder="1" applyAlignment="1">
      <alignment horizontal="center"/>
    </xf>
    <xf numFmtId="0" fontId="15" fillId="0" borderId="26" xfId="6" applyFont="1" applyBorder="1" applyAlignment="1">
      <alignment horizontal="center"/>
    </xf>
    <xf numFmtId="0" fontId="15" fillId="0" borderId="47" xfId="6" applyFont="1" applyBorder="1" applyAlignment="1">
      <alignment horizontal="center"/>
    </xf>
    <xf numFmtId="0" fontId="15" fillId="0" borderId="48" xfId="6" applyFont="1" applyBorder="1" applyAlignment="1">
      <alignment horizontal="center"/>
    </xf>
    <xf numFmtId="0" fontId="15" fillId="0" borderId="49" xfId="6" applyFont="1" applyBorder="1" applyAlignment="1">
      <alignment horizontal="center"/>
    </xf>
    <xf numFmtId="0" fontId="15" fillId="0" borderId="61" xfId="6" applyFont="1" applyBorder="1" applyAlignment="1">
      <alignment horizontal="center"/>
    </xf>
    <xf numFmtId="0" fontId="15" fillId="0" borderId="13" xfId="6" applyFont="1" applyBorder="1" applyAlignment="1">
      <alignment horizontal="center"/>
    </xf>
    <xf numFmtId="0" fontId="15" fillId="0" borderId="62" xfId="6" applyFont="1" applyBorder="1" applyAlignment="1">
      <alignment horizontal="center"/>
    </xf>
    <xf numFmtId="0" fontId="16" fillId="0" borderId="14" xfId="6" applyFont="1" applyBorder="1" applyAlignment="1">
      <alignment horizontal="center"/>
    </xf>
    <xf numFmtId="0" fontId="16" fillId="0" borderId="22" xfId="6" applyFont="1" applyBorder="1" applyAlignment="1">
      <alignment horizontal="center" wrapText="1"/>
    </xf>
    <xf numFmtId="0" fontId="16" fillId="0" borderId="0" xfId="6" applyFont="1" applyBorder="1" applyAlignment="1">
      <alignment horizontal="center" wrapText="1"/>
    </xf>
    <xf numFmtId="0" fontId="16" fillId="0" borderId="23" xfId="6" applyFont="1" applyBorder="1" applyAlignment="1">
      <alignment horizontal="center" wrapText="1"/>
    </xf>
    <xf numFmtId="0" fontId="19" fillId="0" borderId="0" xfId="0" applyFont="1" applyAlignment="1">
      <alignment horizontal="center"/>
    </xf>
    <xf numFmtId="0" fontId="46" fillId="0" borderId="0" xfId="0" applyFont="1" applyAlignment="1">
      <alignment horizontal="center"/>
    </xf>
    <xf numFmtId="0" fontId="17" fillId="0" borderId="0" xfId="0" applyFont="1" applyAlignment="1">
      <alignment horizontal="center"/>
    </xf>
    <xf numFmtId="0" fontId="22" fillId="0" borderId="0" xfId="0" applyFont="1" applyAlignment="1">
      <alignment horizontal="center"/>
    </xf>
    <xf numFmtId="0" fontId="13" fillId="0" borderId="0" xfId="0" applyFont="1" applyAlignment="1">
      <alignment horizontal="center"/>
    </xf>
    <xf numFmtId="0" fontId="5" fillId="0" borderId="0" xfId="0" applyFont="1" applyAlignment="1">
      <alignment horizontal="center"/>
    </xf>
    <xf numFmtId="43" fontId="32" fillId="0" borderId="0" xfId="0" quotePrefix="1" applyNumberFormat="1" applyFont="1" applyBorder="1" applyAlignment="1">
      <alignment horizontal="center"/>
    </xf>
    <xf numFmtId="0" fontId="21" fillId="0" borderId="0" xfId="0" applyFont="1" applyAlignment="1">
      <alignment horizontal="center"/>
    </xf>
    <xf numFmtId="0" fontId="14" fillId="0" borderId="0" xfId="0" applyFont="1" applyAlignment="1">
      <alignment horizontal="center"/>
    </xf>
  </cellXfs>
  <cellStyles count="17">
    <cellStyle name="Comma" xfId="1" builtinId="3"/>
    <cellStyle name="Comma 2" xfId="2"/>
    <cellStyle name="Comma 2 2" xfId="7"/>
    <cellStyle name="Comma 3" xfId="3"/>
    <cellStyle name="Comma 4" xfId="9"/>
    <cellStyle name="Comma 4 2" xfId="14"/>
    <cellStyle name="Comma 5" xfId="12"/>
    <cellStyle name="Excel Built-in Normal" xfId="10"/>
    <cellStyle name="Normal" xfId="0" builtinId="0"/>
    <cellStyle name="Normal 2" xfId="4"/>
    <cellStyle name="Normal 2 2" xfId="6"/>
    <cellStyle name="Normal 2 3" xfId="13"/>
    <cellStyle name="Normal 2 3 2" xfId="15"/>
    <cellStyle name="Normal 3" xfId="5"/>
    <cellStyle name="Normal 4" xfId="8"/>
    <cellStyle name="Normal 4 2" xfId="16"/>
    <cellStyle name="Normal 5" xfId="1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19048</xdr:rowOff>
    </xdr:from>
    <xdr:to>
      <xdr:col>5</xdr:col>
      <xdr:colOff>704851</xdr:colOff>
      <xdr:row>6</xdr:row>
      <xdr:rowOff>38100</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19048"/>
          <a:ext cx="1352552" cy="13525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352425</xdr:colOff>
      <xdr:row>0</xdr:row>
      <xdr:rowOff>0</xdr:rowOff>
    </xdr:from>
    <xdr:to>
      <xdr:col>4</xdr:col>
      <xdr:colOff>228599</xdr:colOff>
      <xdr:row>5</xdr:row>
      <xdr:rowOff>152399</xdr:rowOff>
    </xdr:to>
    <xdr:pic>
      <xdr:nvPicPr>
        <xdr:cNvPr id="3" name="Picture 2">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100" y="0"/>
          <a:ext cx="1104899" cy="1104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5</xdr:col>
      <xdr:colOff>561975</xdr:colOff>
      <xdr:row>5</xdr:row>
      <xdr:rowOff>85725</xdr:rowOff>
    </xdr:to>
    <xdr:pic>
      <xdr:nvPicPr>
        <xdr:cNvPr id="3" name="Picture 2">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209675" cy="1209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5</xdr:col>
      <xdr:colOff>561975</xdr:colOff>
      <xdr:row>5</xdr:row>
      <xdr:rowOff>85725</xdr:rowOff>
    </xdr:to>
    <xdr:pic>
      <xdr:nvPicPr>
        <xdr:cNvPr id="2" name="Picture 1">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209675" cy="1209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9525</xdr:rowOff>
    </xdr:from>
    <xdr:to>
      <xdr:col>5</xdr:col>
      <xdr:colOff>632460</xdr:colOff>
      <xdr:row>6</xdr:row>
      <xdr:rowOff>72074</xdr:rowOff>
    </xdr:to>
    <xdr:pic>
      <xdr:nvPicPr>
        <xdr:cNvPr id="3" name="Picture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
          <a:ext cx="1280160" cy="1205549"/>
        </a:xfrm>
        <a:prstGeom prst="rect">
          <a:avLst/>
        </a:prstGeom>
      </xdr:spPr>
    </xdr:pic>
    <xdr:clientData/>
  </xdr:twoCellAnchor>
  <xdr:twoCellAnchor editAs="oneCell">
    <xdr:from>
      <xdr:col>0</xdr:col>
      <xdr:colOff>85725</xdr:colOff>
      <xdr:row>75</xdr:row>
      <xdr:rowOff>9525</xdr:rowOff>
    </xdr:from>
    <xdr:to>
      <xdr:col>5</xdr:col>
      <xdr:colOff>632460</xdr:colOff>
      <xdr:row>81</xdr:row>
      <xdr:rowOff>72074</xdr:rowOff>
    </xdr:to>
    <xdr:pic>
      <xdr:nvPicPr>
        <xdr:cNvPr id="8" name="Picture 7">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
          <a:ext cx="1280160" cy="1205549"/>
        </a:xfrm>
        <a:prstGeom prst="rect">
          <a:avLst/>
        </a:prstGeom>
      </xdr:spPr>
    </xdr:pic>
    <xdr:clientData/>
  </xdr:twoCellAnchor>
  <xdr:twoCellAnchor editAs="oneCell">
    <xdr:from>
      <xdr:col>0</xdr:col>
      <xdr:colOff>0</xdr:colOff>
      <xdr:row>150</xdr:row>
      <xdr:rowOff>0</xdr:rowOff>
    </xdr:from>
    <xdr:to>
      <xdr:col>5</xdr:col>
      <xdr:colOff>546735</xdr:colOff>
      <xdr:row>156</xdr:row>
      <xdr:rowOff>0</xdr:rowOff>
    </xdr:to>
    <xdr:pic>
      <xdr:nvPicPr>
        <xdr:cNvPr id="15" name="Picture 1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0689550"/>
          <a:ext cx="1280160" cy="1209040"/>
        </a:xfrm>
        <a:prstGeom prst="rect">
          <a:avLst/>
        </a:prstGeom>
      </xdr:spPr>
    </xdr:pic>
    <xdr:clientData/>
  </xdr:twoCellAnchor>
  <xdr:twoCellAnchor editAs="oneCell">
    <xdr:from>
      <xdr:col>0</xdr:col>
      <xdr:colOff>0</xdr:colOff>
      <xdr:row>219</xdr:row>
      <xdr:rowOff>0</xdr:rowOff>
    </xdr:from>
    <xdr:to>
      <xdr:col>5</xdr:col>
      <xdr:colOff>546735</xdr:colOff>
      <xdr:row>225</xdr:row>
      <xdr:rowOff>0</xdr:rowOff>
    </xdr:to>
    <xdr:pic>
      <xdr:nvPicPr>
        <xdr:cNvPr id="18" name="Picture 17">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777400"/>
          <a:ext cx="1280160" cy="1143000"/>
        </a:xfrm>
        <a:prstGeom prst="rect">
          <a:avLst/>
        </a:prstGeom>
      </xdr:spPr>
    </xdr:pic>
    <xdr:clientData/>
  </xdr:twoCellAnchor>
  <xdr:twoCellAnchor editAs="oneCell">
    <xdr:from>
      <xdr:col>0</xdr:col>
      <xdr:colOff>19050</xdr:colOff>
      <xdr:row>356</xdr:row>
      <xdr:rowOff>28575</xdr:rowOff>
    </xdr:from>
    <xdr:to>
      <xdr:col>5</xdr:col>
      <xdr:colOff>565785</xdr:colOff>
      <xdr:row>362</xdr:row>
      <xdr:rowOff>151765</xdr:rowOff>
    </xdr:to>
    <xdr:pic>
      <xdr:nvPicPr>
        <xdr:cNvPr id="21" name="Picture 20">
          <a:extLst>
            <a:ext uri="{FF2B5EF4-FFF2-40B4-BE49-F238E27FC236}">
              <a16:creationId xmlns:a16="http://schemas.microsoft.com/office/drawing/2014/main" xmlns=""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7952600"/>
          <a:ext cx="1280160" cy="1209040"/>
        </a:xfrm>
        <a:prstGeom prst="rect">
          <a:avLst/>
        </a:prstGeom>
      </xdr:spPr>
    </xdr:pic>
    <xdr:clientData/>
  </xdr:twoCellAnchor>
  <xdr:twoCellAnchor editAs="oneCell">
    <xdr:from>
      <xdr:col>0</xdr:col>
      <xdr:colOff>38100</xdr:colOff>
      <xdr:row>492</xdr:row>
      <xdr:rowOff>9525</xdr:rowOff>
    </xdr:from>
    <xdr:to>
      <xdr:col>5</xdr:col>
      <xdr:colOff>593514</xdr:colOff>
      <xdr:row>498</xdr:row>
      <xdr:rowOff>54483</xdr:rowOff>
    </xdr:to>
    <xdr:pic>
      <xdr:nvPicPr>
        <xdr:cNvPr id="24" name="Picture 23">
          <a:extLst>
            <a:ext uri="{FF2B5EF4-FFF2-40B4-BE49-F238E27FC236}">
              <a16:creationId xmlns:a16="http://schemas.microsoft.com/office/drawing/2014/main" xmlns="" id="{00000000-0008-0000-03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109785150"/>
          <a:ext cx="1288839" cy="1207008"/>
        </a:xfrm>
        <a:prstGeom prst="rect">
          <a:avLst/>
        </a:prstGeom>
      </xdr:spPr>
    </xdr:pic>
    <xdr:clientData/>
  </xdr:twoCellAnchor>
  <xdr:twoCellAnchor editAs="oneCell">
    <xdr:from>
      <xdr:col>0</xdr:col>
      <xdr:colOff>19052</xdr:colOff>
      <xdr:row>560</xdr:row>
      <xdr:rowOff>19051</xdr:rowOff>
    </xdr:from>
    <xdr:to>
      <xdr:col>5</xdr:col>
      <xdr:colOff>527790</xdr:colOff>
      <xdr:row>566</xdr:row>
      <xdr:rowOff>149734</xdr:rowOff>
    </xdr:to>
    <xdr:pic>
      <xdr:nvPicPr>
        <xdr:cNvPr id="26" name="Picture 25">
          <a:extLst>
            <a:ext uri="{FF2B5EF4-FFF2-40B4-BE49-F238E27FC236}">
              <a16:creationId xmlns=""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2" y="125720476"/>
          <a:ext cx="1242163" cy="1207008"/>
        </a:xfrm>
        <a:prstGeom prst="rect">
          <a:avLst/>
        </a:prstGeom>
      </xdr:spPr>
    </xdr:pic>
    <xdr:clientData/>
  </xdr:twoCellAnchor>
  <xdr:twoCellAnchor editAs="oneCell">
    <xdr:from>
      <xdr:col>0</xdr:col>
      <xdr:colOff>1</xdr:colOff>
      <xdr:row>628</xdr:row>
      <xdr:rowOff>0</xdr:rowOff>
    </xdr:from>
    <xdr:to>
      <xdr:col>5</xdr:col>
      <xdr:colOff>536330</xdr:colOff>
      <xdr:row>634</xdr:row>
      <xdr:rowOff>102108</xdr:rowOff>
    </xdr:to>
    <xdr:pic>
      <xdr:nvPicPr>
        <xdr:cNvPr id="30" name="Picture 29">
          <a:extLst>
            <a:ext uri="{FF2B5EF4-FFF2-40B4-BE49-F238E27FC236}">
              <a16:creationId xmlns="" xmlns:a16="http://schemas.microsoft.com/office/drawing/2014/main" id="{00000000-0008-0000-03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141512925"/>
          <a:ext cx="1269754" cy="1207008"/>
        </a:xfrm>
        <a:prstGeom prst="rect">
          <a:avLst/>
        </a:prstGeom>
      </xdr:spPr>
    </xdr:pic>
    <xdr:clientData/>
  </xdr:twoCellAnchor>
  <xdr:twoCellAnchor editAs="oneCell">
    <xdr:from>
      <xdr:col>0</xdr:col>
      <xdr:colOff>9525</xdr:colOff>
      <xdr:row>695</xdr:row>
      <xdr:rowOff>238126</xdr:rowOff>
    </xdr:from>
    <xdr:to>
      <xdr:col>5</xdr:col>
      <xdr:colOff>556260</xdr:colOff>
      <xdr:row>701</xdr:row>
      <xdr:rowOff>189230</xdr:rowOff>
    </xdr:to>
    <xdr:pic>
      <xdr:nvPicPr>
        <xdr:cNvPr id="32" name="Picture 31">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157200601"/>
          <a:ext cx="1280160" cy="1198879"/>
        </a:xfrm>
        <a:prstGeom prst="rect">
          <a:avLst/>
        </a:prstGeom>
      </xdr:spPr>
    </xdr:pic>
    <xdr:clientData/>
  </xdr:twoCellAnchor>
  <xdr:twoCellAnchor editAs="oneCell">
    <xdr:from>
      <xdr:col>0</xdr:col>
      <xdr:colOff>9525</xdr:colOff>
      <xdr:row>763</xdr:row>
      <xdr:rowOff>238126</xdr:rowOff>
    </xdr:from>
    <xdr:to>
      <xdr:col>5</xdr:col>
      <xdr:colOff>556260</xdr:colOff>
      <xdr:row>769</xdr:row>
      <xdr:rowOff>189230</xdr:rowOff>
    </xdr:to>
    <xdr:pic>
      <xdr:nvPicPr>
        <xdr:cNvPr id="40" name="Picture 39">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154971751"/>
          <a:ext cx="1280160" cy="1141729"/>
        </a:xfrm>
        <a:prstGeom prst="rect">
          <a:avLst/>
        </a:prstGeom>
      </xdr:spPr>
    </xdr:pic>
    <xdr:clientData/>
  </xdr:twoCellAnchor>
  <xdr:twoCellAnchor editAs="oneCell">
    <xdr:from>
      <xdr:col>0</xdr:col>
      <xdr:colOff>9525</xdr:colOff>
      <xdr:row>831</xdr:row>
      <xdr:rowOff>238126</xdr:rowOff>
    </xdr:from>
    <xdr:to>
      <xdr:col>5</xdr:col>
      <xdr:colOff>556260</xdr:colOff>
      <xdr:row>837</xdr:row>
      <xdr:rowOff>122555</xdr:rowOff>
    </xdr:to>
    <xdr:pic>
      <xdr:nvPicPr>
        <xdr:cNvPr id="42" name="Picture 41">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169945051"/>
          <a:ext cx="1280160" cy="1141729"/>
        </a:xfrm>
        <a:prstGeom prst="rect">
          <a:avLst/>
        </a:prstGeom>
      </xdr:spPr>
    </xdr:pic>
    <xdr:clientData/>
  </xdr:twoCellAnchor>
  <xdr:twoCellAnchor editAs="oneCell">
    <xdr:from>
      <xdr:col>0</xdr:col>
      <xdr:colOff>9525</xdr:colOff>
      <xdr:row>899</xdr:row>
      <xdr:rowOff>238126</xdr:rowOff>
    </xdr:from>
    <xdr:to>
      <xdr:col>5</xdr:col>
      <xdr:colOff>556260</xdr:colOff>
      <xdr:row>905</xdr:row>
      <xdr:rowOff>189230</xdr:rowOff>
    </xdr:to>
    <xdr:pic>
      <xdr:nvPicPr>
        <xdr:cNvPr id="44" name="Picture 43">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185442226"/>
          <a:ext cx="1280160" cy="1141729"/>
        </a:xfrm>
        <a:prstGeom prst="rect">
          <a:avLst/>
        </a:prstGeom>
      </xdr:spPr>
    </xdr:pic>
    <xdr:clientData/>
  </xdr:twoCellAnchor>
  <xdr:twoCellAnchor editAs="oneCell">
    <xdr:from>
      <xdr:col>0</xdr:col>
      <xdr:colOff>9525</xdr:colOff>
      <xdr:row>967</xdr:row>
      <xdr:rowOff>238126</xdr:rowOff>
    </xdr:from>
    <xdr:to>
      <xdr:col>5</xdr:col>
      <xdr:colOff>556260</xdr:colOff>
      <xdr:row>973</xdr:row>
      <xdr:rowOff>189230</xdr:rowOff>
    </xdr:to>
    <xdr:pic>
      <xdr:nvPicPr>
        <xdr:cNvPr id="46" name="Picture 45">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201863326"/>
          <a:ext cx="1280160" cy="1141729"/>
        </a:xfrm>
        <a:prstGeom prst="rect">
          <a:avLst/>
        </a:prstGeom>
      </xdr:spPr>
    </xdr:pic>
    <xdr:clientData/>
  </xdr:twoCellAnchor>
  <xdr:twoCellAnchor editAs="oneCell">
    <xdr:from>
      <xdr:col>0</xdr:col>
      <xdr:colOff>0</xdr:colOff>
      <xdr:row>287</xdr:row>
      <xdr:rowOff>0</xdr:rowOff>
    </xdr:from>
    <xdr:to>
      <xdr:col>5</xdr:col>
      <xdr:colOff>546735</xdr:colOff>
      <xdr:row>293</xdr:row>
      <xdr:rowOff>0</xdr:rowOff>
    </xdr:to>
    <xdr:pic>
      <xdr:nvPicPr>
        <xdr:cNvPr id="47" name="Picture 46">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777400"/>
          <a:ext cx="1280160" cy="1143000"/>
        </a:xfrm>
        <a:prstGeom prst="rect">
          <a:avLst/>
        </a:prstGeom>
      </xdr:spPr>
    </xdr:pic>
    <xdr:clientData/>
  </xdr:twoCellAnchor>
  <xdr:twoCellAnchor editAs="oneCell">
    <xdr:from>
      <xdr:col>0</xdr:col>
      <xdr:colOff>19050</xdr:colOff>
      <xdr:row>424</xdr:row>
      <xdr:rowOff>28575</xdr:rowOff>
    </xdr:from>
    <xdr:to>
      <xdr:col>5</xdr:col>
      <xdr:colOff>565785</xdr:colOff>
      <xdr:row>430</xdr:row>
      <xdr:rowOff>113665</xdr:rowOff>
    </xdr:to>
    <xdr:pic>
      <xdr:nvPicPr>
        <xdr:cNvPr id="48" name="Picture 47">
          <a:extLst>
            <a:ext uri="{FF2B5EF4-FFF2-40B4-BE49-F238E27FC236}">
              <a16:creationId xmlns:a16="http://schemas.microsoft.com/office/drawing/2014/main" xmlns=""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6114275"/>
          <a:ext cx="1280160" cy="12661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xdr:row>
      <xdr:rowOff>19049</xdr:rowOff>
    </xdr:from>
    <xdr:to>
      <xdr:col>2</xdr:col>
      <xdr:colOff>221989</xdr:colOff>
      <xdr:row>7</xdr:row>
      <xdr:rowOff>156209</xdr:rowOff>
    </xdr:to>
    <xdr:pic>
      <xdr:nvPicPr>
        <xdr:cNvPr id="2" name="Picture 1">
          <a:extLst>
            <a:ext uri="{FF2B5EF4-FFF2-40B4-BE49-F238E27FC236}">
              <a16:creationId xmlns=""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49"/>
          <a:ext cx="1336414" cy="1280160"/>
        </a:xfrm>
        <a:prstGeom prst="rect">
          <a:avLst/>
        </a:prstGeom>
      </xdr:spPr>
    </xdr:pic>
    <xdr:clientData/>
  </xdr:twoCellAnchor>
  <xdr:twoCellAnchor editAs="oneCell">
    <xdr:from>
      <xdr:col>0</xdr:col>
      <xdr:colOff>47625</xdr:colOff>
      <xdr:row>77</xdr:row>
      <xdr:rowOff>0</xdr:rowOff>
    </xdr:from>
    <xdr:to>
      <xdr:col>2</xdr:col>
      <xdr:colOff>250564</xdr:colOff>
      <xdr:row>82</xdr:row>
      <xdr:rowOff>156210</xdr:rowOff>
    </xdr:to>
    <xdr:pic>
      <xdr:nvPicPr>
        <xdr:cNvPr id="3" name="Picture 2">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107150"/>
          <a:ext cx="1336414" cy="1108710"/>
        </a:xfrm>
        <a:prstGeom prst="rect">
          <a:avLst/>
        </a:prstGeom>
      </xdr:spPr>
    </xdr:pic>
    <xdr:clientData/>
  </xdr:twoCellAnchor>
  <xdr:twoCellAnchor editAs="oneCell">
    <xdr:from>
      <xdr:col>0</xdr:col>
      <xdr:colOff>47625</xdr:colOff>
      <xdr:row>151</xdr:row>
      <xdr:rowOff>0</xdr:rowOff>
    </xdr:from>
    <xdr:to>
      <xdr:col>2</xdr:col>
      <xdr:colOff>250564</xdr:colOff>
      <xdr:row>156</xdr:row>
      <xdr:rowOff>156210</xdr:rowOff>
    </xdr:to>
    <xdr:pic>
      <xdr:nvPicPr>
        <xdr:cNvPr id="4" name="Picture 3">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107150"/>
          <a:ext cx="1336414" cy="11087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28576</xdr:rowOff>
    </xdr:from>
    <xdr:to>
      <xdr:col>3</xdr:col>
      <xdr:colOff>115062</xdr:colOff>
      <xdr:row>6</xdr:row>
      <xdr:rowOff>95813</xdr:rowOff>
    </xdr:to>
    <xdr:pic>
      <xdr:nvPicPr>
        <xdr:cNvPr id="2" name="Picture 1">
          <a:extLst>
            <a:ext uri="{FF2B5EF4-FFF2-40B4-BE49-F238E27FC236}">
              <a16:creationId xmlns=""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8576"/>
          <a:ext cx="1353312" cy="12673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67437</xdr:colOff>
      <xdr:row>7</xdr:row>
      <xdr:rowOff>562</xdr:rowOff>
    </xdr:to>
    <xdr:pic>
      <xdr:nvPicPr>
        <xdr:cNvPr id="2" name="Picture 1">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3312" cy="12673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19050</xdr:colOff>
      <xdr:row>11</xdr:row>
      <xdr:rowOff>76200</xdr:rowOff>
    </xdr:from>
    <xdr:to>
      <xdr:col>9</xdr:col>
      <xdr:colOff>133350</xdr:colOff>
      <xdr:row>30</xdr:row>
      <xdr:rowOff>19050</xdr:rowOff>
    </xdr:to>
    <xdr:sp macro="" textlink="">
      <xdr:nvSpPr>
        <xdr:cNvPr id="2" name="Right Brace 1">
          <a:extLst>
            <a:ext uri="{FF2B5EF4-FFF2-40B4-BE49-F238E27FC236}">
              <a16:creationId xmlns="" xmlns:a16="http://schemas.microsoft.com/office/drawing/2014/main" id="{00000000-0008-0000-0000-000002000000}"/>
            </a:ext>
          </a:extLst>
        </xdr:cNvPr>
        <xdr:cNvSpPr/>
      </xdr:nvSpPr>
      <xdr:spPr>
        <a:xfrm>
          <a:off x="9791700" y="2038350"/>
          <a:ext cx="114300" cy="5076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11</xdr:row>
      <xdr:rowOff>44450</xdr:rowOff>
    </xdr:from>
    <xdr:to>
      <xdr:col>10</xdr:col>
      <xdr:colOff>107950</xdr:colOff>
      <xdr:row>30</xdr:row>
      <xdr:rowOff>15875</xdr:rowOff>
    </xdr:to>
    <xdr:sp macro="" textlink="">
      <xdr:nvSpPr>
        <xdr:cNvPr id="3" name="Right Brace 2">
          <a:extLst>
            <a:ext uri="{FF2B5EF4-FFF2-40B4-BE49-F238E27FC236}">
              <a16:creationId xmlns="" xmlns:a16="http://schemas.microsoft.com/office/drawing/2014/main" id="{00000000-0008-0000-0000-000003000000}"/>
            </a:ext>
          </a:extLst>
        </xdr:cNvPr>
        <xdr:cNvSpPr/>
      </xdr:nvSpPr>
      <xdr:spPr>
        <a:xfrm>
          <a:off x="10804525" y="2006600"/>
          <a:ext cx="95250" cy="5105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11</xdr:row>
      <xdr:rowOff>66675</xdr:rowOff>
    </xdr:from>
    <xdr:to>
      <xdr:col>11</xdr:col>
      <xdr:colOff>139699</xdr:colOff>
      <xdr:row>30</xdr:row>
      <xdr:rowOff>22225</xdr:rowOff>
    </xdr:to>
    <xdr:sp macro="" textlink="">
      <xdr:nvSpPr>
        <xdr:cNvPr id="4" name="Right Brace 3">
          <a:extLst>
            <a:ext uri="{FF2B5EF4-FFF2-40B4-BE49-F238E27FC236}">
              <a16:creationId xmlns="" xmlns:a16="http://schemas.microsoft.com/office/drawing/2014/main" id="{00000000-0008-0000-0000-000004000000}"/>
            </a:ext>
          </a:extLst>
        </xdr:cNvPr>
        <xdr:cNvSpPr/>
      </xdr:nvSpPr>
      <xdr:spPr>
        <a:xfrm>
          <a:off x="11744325" y="2028825"/>
          <a:ext cx="120649" cy="50895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11</xdr:row>
      <xdr:rowOff>76200</xdr:rowOff>
    </xdr:from>
    <xdr:to>
      <xdr:col>12</xdr:col>
      <xdr:colOff>114299</xdr:colOff>
      <xdr:row>30</xdr:row>
      <xdr:rowOff>15875</xdr:rowOff>
    </xdr:to>
    <xdr:sp macro="" textlink="">
      <xdr:nvSpPr>
        <xdr:cNvPr id="5" name="Right Brace 4">
          <a:extLst>
            <a:ext uri="{FF2B5EF4-FFF2-40B4-BE49-F238E27FC236}">
              <a16:creationId xmlns="" xmlns:a16="http://schemas.microsoft.com/office/drawing/2014/main" id="{00000000-0008-0000-0000-000005000000}"/>
            </a:ext>
          </a:extLst>
        </xdr:cNvPr>
        <xdr:cNvSpPr/>
      </xdr:nvSpPr>
      <xdr:spPr>
        <a:xfrm>
          <a:off x="12652375" y="2038350"/>
          <a:ext cx="101599" cy="50736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51</xdr:row>
      <xdr:rowOff>171450</xdr:rowOff>
    </xdr:from>
    <xdr:to>
      <xdr:col>9</xdr:col>
      <xdr:colOff>133350</xdr:colOff>
      <xdr:row>64</xdr:row>
      <xdr:rowOff>123825</xdr:rowOff>
    </xdr:to>
    <xdr:sp macro="" textlink="">
      <xdr:nvSpPr>
        <xdr:cNvPr id="6" name="Right Brace 5">
          <a:extLst>
            <a:ext uri="{FF2B5EF4-FFF2-40B4-BE49-F238E27FC236}">
              <a16:creationId xmlns="" xmlns:a16="http://schemas.microsoft.com/office/drawing/2014/main" id="{00000000-0008-0000-0000-000006000000}"/>
            </a:ext>
          </a:extLst>
        </xdr:cNvPr>
        <xdr:cNvSpPr/>
      </xdr:nvSpPr>
      <xdr:spPr>
        <a:xfrm>
          <a:off x="9791700" y="11087100"/>
          <a:ext cx="114300" cy="26098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51</xdr:row>
      <xdr:rowOff>158750</xdr:rowOff>
    </xdr:from>
    <xdr:to>
      <xdr:col>10</xdr:col>
      <xdr:colOff>107950</xdr:colOff>
      <xdr:row>64</xdr:row>
      <xdr:rowOff>149225</xdr:rowOff>
    </xdr:to>
    <xdr:sp macro="" textlink="">
      <xdr:nvSpPr>
        <xdr:cNvPr id="7" name="Right Brace 6">
          <a:extLst>
            <a:ext uri="{FF2B5EF4-FFF2-40B4-BE49-F238E27FC236}">
              <a16:creationId xmlns="" xmlns:a16="http://schemas.microsoft.com/office/drawing/2014/main" id="{00000000-0008-0000-0000-000007000000}"/>
            </a:ext>
          </a:extLst>
        </xdr:cNvPr>
        <xdr:cNvSpPr/>
      </xdr:nvSpPr>
      <xdr:spPr>
        <a:xfrm>
          <a:off x="10804525" y="11074400"/>
          <a:ext cx="95250" cy="26479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51</xdr:row>
      <xdr:rowOff>171450</xdr:rowOff>
    </xdr:from>
    <xdr:to>
      <xdr:col>11</xdr:col>
      <xdr:colOff>139699</xdr:colOff>
      <xdr:row>64</xdr:row>
      <xdr:rowOff>165100</xdr:rowOff>
    </xdr:to>
    <xdr:sp macro="" textlink="">
      <xdr:nvSpPr>
        <xdr:cNvPr id="8" name="Right Brace 7">
          <a:extLst>
            <a:ext uri="{FF2B5EF4-FFF2-40B4-BE49-F238E27FC236}">
              <a16:creationId xmlns="" xmlns:a16="http://schemas.microsoft.com/office/drawing/2014/main" id="{00000000-0008-0000-0000-000008000000}"/>
            </a:ext>
          </a:extLst>
        </xdr:cNvPr>
        <xdr:cNvSpPr/>
      </xdr:nvSpPr>
      <xdr:spPr>
        <a:xfrm>
          <a:off x="11744325" y="11087100"/>
          <a:ext cx="120649" cy="2651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52</xdr:row>
      <xdr:rowOff>0</xdr:rowOff>
    </xdr:from>
    <xdr:to>
      <xdr:col>12</xdr:col>
      <xdr:colOff>114299</xdr:colOff>
      <xdr:row>64</xdr:row>
      <xdr:rowOff>158750</xdr:rowOff>
    </xdr:to>
    <xdr:sp macro="" textlink="">
      <xdr:nvSpPr>
        <xdr:cNvPr id="9" name="Right Brace 8">
          <a:extLst>
            <a:ext uri="{FF2B5EF4-FFF2-40B4-BE49-F238E27FC236}">
              <a16:creationId xmlns="" xmlns:a16="http://schemas.microsoft.com/office/drawing/2014/main" id="{00000000-0008-0000-0000-000009000000}"/>
            </a:ext>
          </a:extLst>
        </xdr:cNvPr>
        <xdr:cNvSpPr/>
      </xdr:nvSpPr>
      <xdr:spPr>
        <a:xfrm>
          <a:off x="12652375" y="11096625"/>
          <a:ext cx="101599" cy="26352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22225</xdr:colOff>
      <xdr:row>96</xdr:row>
      <xdr:rowOff>41276</xdr:rowOff>
    </xdr:from>
    <xdr:to>
      <xdr:col>10</xdr:col>
      <xdr:colOff>133350</xdr:colOff>
      <xdr:row>103</xdr:row>
      <xdr:rowOff>933451</xdr:rowOff>
    </xdr:to>
    <xdr:sp macro="" textlink="">
      <xdr:nvSpPr>
        <xdr:cNvPr id="11" name="Right Brace 10">
          <a:extLst>
            <a:ext uri="{FF2B5EF4-FFF2-40B4-BE49-F238E27FC236}">
              <a16:creationId xmlns="" xmlns:a16="http://schemas.microsoft.com/office/drawing/2014/main" id="{00000000-0008-0000-0000-00000B000000}"/>
            </a:ext>
          </a:extLst>
        </xdr:cNvPr>
        <xdr:cNvSpPr/>
      </xdr:nvSpPr>
      <xdr:spPr>
        <a:xfrm>
          <a:off x="10814050" y="19500851"/>
          <a:ext cx="111125" cy="3835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28576</xdr:colOff>
      <xdr:row>96</xdr:row>
      <xdr:rowOff>19050</xdr:rowOff>
    </xdr:from>
    <xdr:to>
      <xdr:col>11</xdr:col>
      <xdr:colOff>142875</xdr:colOff>
      <xdr:row>103</xdr:row>
      <xdr:rowOff>952501</xdr:rowOff>
    </xdr:to>
    <xdr:sp macro="" textlink="">
      <xdr:nvSpPr>
        <xdr:cNvPr id="12" name="Right Brace 11">
          <a:extLst>
            <a:ext uri="{FF2B5EF4-FFF2-40B4-BE49-F238E27FC236}">
              <a16:creationId xmlns="" xmlns:a16="http://schemas.microsoft.com/office/drawing/2014/main" id="{00000000-0008-0000-0000-00000C000000}"/>
            </a:ext>
          </a:extLst>
        </xdr:cNvPr>
        <xdr:cNvSpPr/>
      </xdr:nvSpPr>
      <xdr:spPr>
        <a:xfrm>
          <a:off x="11753851" y="19478625"/>
          <a:ext cx="114299" cy="387667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12700</xdr:colOff>
      <xdr:row>128</xdr:row>
      <xdr:rowOff>44450</xdr:rowOff>
    </xdr:from>
    <xdr:to>
      <xdr:col>9</xdr:col>
      <xdr:colOff>133350</xdr:colOff>
      <xdr:row>141</xdr:row>
      <xdr:rowOff>0</xdr:rowOff>
    </xdr:to>
    <xdr:sp macro="" textlink="">
      <xdr:nvSpPr>
        <xdr:cNvPr id="14" name="Right Brace 13">
          <a:extLst>
            <a:ext uri="{FF2B5EF4-FFF2-40B4-BE49-F238E27FC236}">
              <a16:creationId xmlns="" xmlns:a16="http://schemas.microsoft.com/office/drawing/2014/main" id="{00000000-0008-0000-0000-000016000000}"/>
            </a:ext>
          </a:extLst>
        </xdr:cNvPr>
        <xdr:cNvSpPr/>
      </xdr:nvSpPr>
      <xdr:spPr>
        <a:xfrm>
          <a:off x="9785350" y="29286200"/>
          <a:ext cx="120650" cy="46132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12700</xdr:colOff>
      <xdr:row>128</xdr:row>
      <xdr:rowOff>50800</xdr:rowOff>
    </xdr:from>
    <xdr:to>
      <xdr:col>10</xdr:col>
      <xdr:colOff>133350</xdr:colOff>
      <xdr:row>141</xdr:row>
      <xdr:rowOff>0</xdr:rowOff>
    </xdr:to>
    <xdr:sp macro="" textlink="">
      <xdr:nvSpPr>
        <xdr:cNvPr id="15" name="Right Brace 14">
          <a:extLst>
            <a:ext uri="{FF2B5EF4-FFF2-40B4-BE49-F238E27FC236}">
              <a16:creationId xmlns="" xmlns:a16="http://schemas.microsoft.com/office/drawing/2014/main" id="{00000000-0008-0000-0000-000017000000}"/>
            </a:ext>
          </a:extLst>
        </xdr:cNvPr>
        <xdr:cNvSpPr/>
      </xdr:nvSpPr>
      <xdr:spPr>
        <a:xfrm>
          <a:off x="10804525" y="29292550"/>
          <a:ext cx="120650" cy="46069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0</xdr:colOff>
      <xdr:row>128</xdr:row>
      <xdr:rowOff>38100</xdr:rowOff>
    </xdr:from>
    <xdr:to>
      <xdr:col>11</xdr:col>
      <xdr:colOff>120650</xdr:colOff>
      <xdr:row>141</xdr:row>
      <xdr:rowOff>0</xdr:rowOff>
    </xdr:to>
    <xdr:sp macro="" textlink="">
      <xdr:nvSpPr>
        <xdr:cNvPr id="16" name="Right Brace 15">
          <a:extLst>
            <a:ext uri="{FF2B5EF4-FFF2-40B4-BE49-F238E27FC236}">
              <a16:creationId xmlns="" xmlns:a16="http://schemas.microsoft.com/office/drawing/2014/main" id="{00000000-0008-0000-0000-000018000000}"/>
            </a:ext>
          </a:extLst>
        </xdr:cNvPr>
        <xdr:cNvSpPr/>
      </xdr:nvSpPr>
      <xdr:spPr>
        <a:xfrm>
          <a:off x="11725275" y="29279850"/>
          <a:ext cx="120650" cy="46196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0</xdr:colOff>
      <xdr:row>128</xdr:row>
      <xdr:rowOff>38100</xdr:rowOff>
    </xdr:from>
    <xdr:to>
      <xdr:col>12</xdr:col>
      <xdr:colOff>120650</xdr:colOff>
      <xdr:row>141</xdr:row>
      <xdr:rowOff>0</xdr:rowOff>
    </xdr:to>
    <xdr:sp macro="" textlink="">
      <xdr:nvSpPr>
        <xdr:cNvPr id="17" name="Right Brace 16">
          <a:extLst>
            <a:ext uri="{FF2B5EF4-FFF2-40B4-BE49-F238E27FC236}">
              <a16:creationId xmlns="" xmlns:a16="http://schemas.microsoft.com/office/drawing/2014/main" id="{00000000-0008-0000-0000-000019000000}"/>
            </a:ext>
          </a:extLst>
        </xdr:cNvPr>
        <xdr:cNvSpPr/>
      </xdr:nvSpPr>
      <xdr:spPr>
        <a:xfrm>
          <a:off x="12639675" y="29279850"/>
          <a:ext cx="120650" cy="46196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38099</xdr:colOff>
      <xdr:row>163</xdr:row>
      <xdr:rowOff>41275</xdr:rowOff>
    </xdr:from>
    <xdr:to>
      <xdr:col>9</xdr:col>
      <xdr:colOff>180974</xdr:colOff>
      <xdr:row>190</xdr:row>
      <xdr:rowOff>533400</xdr:rowOff>
    </xdr:to>
    <xdr:sp macro="" textlink="">
      <xdr:nvSpPr>
        <xdr:cNvPr id="18" name="Right Brace 17">
          <a:extLst>
            <a:ext uri="{FF2B5EF4-FFF2-40B4-BE49-F238E27FC236}">
              <a16:creationId xmlns="" xmlns:a16="http://schemas.microsoft.com/office/drawing/2014/main" id="{00000000-0008-0000-0000-000012000000}"/>
            </a:ext>
          </a:extLst>
        </xdr:cNvPr>
        <xdr:cNvSpPr/>
      </xdr:nvSpPr>
      <xdr:spPr>
        <a:xfrm>
          <a:off x="9810749" y="37817425"/>
          <a:ext cx="142875" cy="10693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44450</xdr:colOff>
      <xdr:row>163</xdr:row>
      <xdr:rowOff>34925</xdr:rowOff>
    </xdr:from>
    <xdr:to>
      <xdr:col>10</xdr:col>
      <xdr:colOff>152400</xdr:colOff>
      <xdr:row>190</xdr:row>
      <xdr:rowOff>533400</xdr:rowOff>
    </xdr:to>
    <xdr:sp macro="" textlink="">
      <xdr:nvSpPr>
        <xdr:cNvPr id="19" name="Right Brace 18">
          <a:extLst>
            <a:ext uri="{FF2B5EF4-FFF2-40B4-BE49-F238E27FC236}">
              <a16:creationId xmlns="" xmlns:a16="http://schemas.microsoft.com/office/drawing/2014/main" id="{00000000-0008-0000-0000-000013000000}"/>
            </a:ext>
          </a:extLst>
        </xdr:cNvPr>
        <xdr:cNvSpPr/>
      </xdr:nvSpPr>
      <xdr:spPr>
        <a:xfrm>
          <a:off x="10836275" y="37811075"/>
          <a:ext cx="107950" cy="10699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36831</xdr:colOff>
      <xdr:row>163</xdr:row>
      <xdr:rowOff>31751</xdr:rowOff>
    </xdr:from>
    <xdr:to>
      <xdr:col>11</xdr:col>
      <xdr:colOff>161925</xdr:colOff>
      <xdr:row>190</xdr:row>
      <xdr:rowOff>523875</xdr:rowOff>
    </xdr:to>
    <xdr:sp macro="" textlink="">
      <xdr:nvSpPr>
        <xdr:cNvPr id="20" name="Right Brace 19">
          <a:extLst>
            <a:ext uri="{FF2B5EF4-FFF2-40B4-BE49-F238E27FC236}">
              <a16:creationId xmlns="" xmlns:a16="http://schemas.microsoft.com/office/drawing/2014/main" id="{00000000-0008-0000-0000-000014000000}"/>
            </a:ext>
          </a:extLst>
        </xdr:cNvPr>
        <xdr:cNvSpPr/>
      </xdr:nvSpPr>
      <xdr:spPr>
        <a:xfrm>
          <a:off x="11762106" y="37807901"/>
          <a:ext cx="125094" cy="1069339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15874</xdr:colOff>
      <xdr:row>163</xdr:row>
      <xdr:rowOff>38100</xdr:rowOff>
    </xdr:from>
    <xdr:to>
      <xdr:col>12</xdr:col>
      <xdr:colOff>190499</xdr:colOff>
      <xdr:row>190</xdr:row>
      <xdr:rowOff>523875</xdr:rowOff>
    </xdr:to>
    <xdr:sp macro="" textlink="">
      <xdr:nvSpPr>
        <xdr:cNvPr id="21" name="Right Brace 20">
          <a:extLst>
            <a:ext uri="{FF2B5EF4-FFF2-40B4-BE49-F238E27FC236}">
              <a16:creationId xmlns="" xmlns:a16="http://schemas.microsoft.com/office/drawing/2014/main" id="{00000000-0008-0000-0000-000015000000}"/>
            </a:ext>
          </a:extLst>
        </xdr:cNvPr>
        <xdr:cNvSpPr/>
      </xdr:nvSpPr>
      <xdr:spPr>
        <a:xfrm>
          <a:off x="12655549" y="37814250"/>
          <a:ext cx="174625" cy="10687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223</xdr:row>
      <xdr:rowOff>123825</xdr:rowOff>
    </xdr:from>
    <xdr:to>
      <xdr:col>9</xdr:col>
      <xdr:colOff>133350</xdr:colOff>
      <xdr:row>239</xdr:row>
      <xdr:rowOff>76200</xdr:rowOff>
    </xdr:to>
    <xdr:sp macro="" textlink="">
      <xdr:nvSpPr>
        <xdr:cNvPr id="22" name="Right Brace 21">
          <a:extLst>
            <a:ext uri="{FF2B5EF4-FFF2-40B4-BE49-F238E27FC236}">
              <a16:creationId xmlns="" xmlns:a16="http://schemas.microsoft.com/office/drawing/2014/main" id="{00000000-0008-0000-0000-00001A000000}"/>
            </a:ext>
          </a:extLst>
        </xdr:cNvPr>
        <xdr:cNvSpPr/>
      </xdr:nvSpPr>
      <xdr:spPr>
        <a:xfrm>
          <a:off x="9791700" y="54768750"/>
          <a:ext cx="114300" cy="38957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223</xdr:row>
      <xdr:rowOff>92075</xdr:rowOff>
    </xdr:from>
    <xdr:to>
      <xdr:col>10</xdr:col>
      <xdr:colOff>107950</xdr:colOff>
      <xdr:row>239</xdr:row>
      <xdr:rowOff>82550</xdr:rowOff>
    </xdr:to>
    <xdr:sp macro="" textlink="">
      <xdr:nvSpPr>
        <xdr:cNvPr id="23" name="Right Brace 22">
          <a:extLst>
            <a:ext uri="{FF2B5EF4-FFF2-40B4-BE49-F238E27FC236}">
              <a16:creationId xmlns="" xmlns:a16="http://schemas.microsoft.com/office/drawing/2014/main" id="{00000000-0008-0000-0000-00001B000000}"/>
            </a:ext>
          </a:extLst>
        </xdr:cNvPr>
        <xdr:cNvSpPr/>
      </xdr:nvSpPr>
      <xdr:spPr>
        <a:xfrm>
          <a:off x="10804525" y="54737000"/>
          <a:ext cx="95250" cy="3933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223</xdr:row>
      <xdr:rowOff>114300</xdr:rowOff>
    </xdr:from>
    <xdr:to>
      <xdr:col>11</xdr:col>
      <xdr:colOff>139699</xdr:colOff>
      <xdr:row>239</xdr:row>
      <xdr:rowOff>107950</xdr:rowOff>
    </xdr:to>
    <xdr:sp macro="" textlink="">
      <xdr:nvSpPr>
        <xdr:cNvPr id="24" name="Right Brace 23">
          <a:extLst>
            <a:ext uri="{FF2B5EF4-FFF2-40B4-BE49-F238E27FC236}">
              <a16:creationId xmlns="" xmlns:a16="http://schemas.microsoft.com/office/drawing/2014/main" id="{00000000-0008-0000-0000-00001C000000}"/>
            </a:ext>
          </a:extLst>
        </xdr:cNvPr>
        <xdr:cNvSpPr/>
      </xdr:nvSpPr>
      <xdr:spPr>
        <a:xfrm>
          <a:off x="11744325" y="54759225"/>
          <a:ext cx="120649" cy="3937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223</xdr:row>
      <xdr:rowOff>123825</xdr:rowOff>
    </xdr:from>
    <xdr:to>
      <xdr:col>12</xdr:col>
      <xdr:colOff>114299</xdr:colOff>
      <xdr:row>239</xdr:row>
      <xdr:rowOff>101600</xdr:rowOff>
    </xdr:to>
    <xdr:sp macro="" textlink="">
      <xdr:nvSpPr>
        <xdr:cNvPr id="25" name="Right Brace 24">
          <a:extLst>
            <a:ext uri="{FF2B5EF4-FFF2-40B4-BE49-F238E27FC236}">
              <a16:creationId xmlns="" xmlns:a16="http://schemas.microsoft.com/office/drawing/2014/main" id="{00000000-0008-0000-0000-00001D000000}"/>
            </a:ext>
          </a:extLst>
        </xdr:cNvPr>
        <xdr:cNvSpPr/>
      </xdr:nvSpPr>
      <xdr:spPr>
        <a:xfrm>
          <a:off x="12652375" y="54768750"/>
          <a:ext cx="101599" cy="3921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269</xdr:row>
      <xdr:rowOff>123825</xdr:rowOff>
    </xdr:from>
    <xdr:to>
      <xdr:col>9</xdr:col>
      <xdr:colOff>133350</xdr:colOff>
      <xdr:row>284</xdr:row>
      <xdr:rowOff>76200</xdr:rowOff>
    </xdr:to>
    <xdr:sp macro="" textlink="">
      <xdr:nvSpPr>
        <xdr:cNvPr id="26" name="Right Brace 25">
          <a:extLst>
            <a:ext uri="{FF2B5EF4-FFF2-40B4-BE49-F238E27FC236}">
              <a16:creationId xmlns="" xmlns:a16="http://schemas.microsoft.com/office/drawing/2014/main" id="{00000000-0008-0000-0000-00001E000000}"/>
            </a:ext>
          </a:extLst>
        </xdr:cNvPr>
        <xdr:cNvSpPr/>
      </xdr:nvSpPr>
      <xdr:spPr>
        <a:xfrm>
          <a:off x="9791700" y="64065150"/>
          <a:ext cx="114300" cy="44386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269</xdr:row>
      <xdr:rowOff>92075</xdr:rowOff>
    </xdr:from>
    <xdr:to>
      <xdr:col>10</xdr:col>
      <xdr:colOff>107950</xdr:colOff>
      <xdr:row>284</xdr:row>
      <xdr:rowOff>82550</xdr:rowOff>
    </xdr:to>
    <xdr:sp macro="" textlink="">
      <xdr:nvSpPr>
        <xdr:cNvPr id="27" name="Right Brace 26">
          <a:extLst>
            <a:ext uri="{FF2B5EF4-FFF2-40B4-BE49-F238E27FC236}">
              <a16:creationId xmlns="" xmlns:a16="http://schemas.microsoft.com/office/drawing/2014/main" id="{00000000-0008-0000-0000-00001F000000}"/>
            </a:ext>
          </a:extLst>
        </xdr:cNvPr>
        <xdr:cNvSpPr/>
      </xdr:nvSpPr>
      <xdr:spPr>
        <a:xfrm>
          <a:off x="10804525" y="64033400"/>
          <a:ext cx="95250" cy="4476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269</xdr:row>
      <xdr:rowOff>114300</xdr:rowOff>
    </xdr:from>
    <xdr:to>
      <xdr:col>11</xdr:col>
      <xdr:colOff>139699</xdr:colOff>
      <xdr:row>284</xdr:row>
      <xdr:rowOff>107950</xdr:rowOff>
    </xdr:to>
    <xdr:sp macro="" textlink="">
      <xdr:nvSpPr>
        <xdr:cNvPr id="28" name="Right Brace 27">
          <a:extLst>
            <a:ext uri="{FF2B5EF4-FFF2-40B4-BE49-F238E27FC236}">
              <a16:creationId xmlns="" xmlns:a16="http://schemas.microsoft.com/office/drawing/2014/main" id="{00000000-0008-0000-0000-000020000000}"/>
            </a:ext>
          </a:extLst>
        </xdr:cNvPr>
        <xdr:cNvSpPr/>
      </xdr:nvSpPr>
      <xdr:spPr>
        <a:xfrm>
          <a:off x="11744325" y="64055625"/>
          <a:ext cx="120649" cy="44799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269</xdr:row>
      <xdr:rowOff>123825</xdr:rowOff>
    </xdr:from>
    <xdr:to>
      <xdr:col>12</xdr:col>
      <xdr:colOff>114299</xdr:colOff>
      <xdr:row>284</xdr:row>
      <xdr:rowOff>101600</xdr:rowOff>
    </xdr:to>
    <xdr:sp macro="" textlink="">
      <xdr:nvSpPr>
        <xdr:cNvPr id="29" name="Right Brace 28">
          <a:extLst>
            <a:ext uri="{FF2B5EF4-FFF2-40B4-BE49-F238E27FC236}">
              <a16:creationId xmlns="" xmlns:a16="http://schemas.microsoft.com/office/drawing/2014/main" id="{00000000-0008-0000-0000-000021000000}"/>
            </a:ext>
          </a:extLst>
        </xdr:cNvPr>
        <xdr:cNvSpPr/>
      </xdr:nvSpPr>
      <xdr:spPr>
        <a:xfrm>
          <a:off x="12652375" y="64065150"/>
          <a:ext cx="101599" cy="446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311</xdr:row>
      <xdr:rowOff>123825</xdr:rowOff>
    </xdr:from>
    <xdr:to>
      <xdr:col>9</xdr:col>
      <xdr:colOff>133350</xdr:colOff>
      <xdr:row>327</xdr:row>
      <xdr:rowOff>76200</xdr:rowOff>
    </xdr:to>
    <xdr:sp macro="" textlink="">
      <xdr:nvSpPr>
        <xdr:cNvPr id="30" name="Right Brace 29">
          <a:extLst>
            <a:ext uri="{FF2B5EF4-FFF2-40B4-BE49-F238E27FC236}">
              <a16:creationId xmlns="" xmlns:a16="http://schemas.microsoft.com/office/drawing/2014/main" id="{00000000-0008-0000-0000-000022000000}"/>
            </a:ext>
          </a:extLst>
        </xdr:cNvPr>
        <xdr:cNvSpPr/>
      </xdr:nvSpPr>
      <xdr:spPr>
        <a:xfrm>
          <a:off x="9791700" y="72980550"/>
          <a:ext cx="114300" cy="36861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311</xdr:row>
      <xdr:rowOff>92075</xdr:rowOff>
    </xdr:from>
    <xdr:to>
      <xdr:col>10</xdr:col>
      <xdr:colOff>107950</xdr:colOff>
      <xdr:row>327</xdr:row>
      <xdr:rowOff>82550</xdr:rowOff>
    </xdr:to>
    <xdr:sp macro="" textlink="">
      <xdr:nvSpPr>
        <xdr:cNvPr id="31" name="Right Brace 30">
          <a:extLst>
            <a:ext uri="{FF2B5EF4-FFF2-40B4-BE49-F238E27FC236}">
              <a16:creationId xmlns="" xmlns:a16="http://schemas.microsoft.com/office/drawing/2014/main" id="{00000000-0008-0000-0000-000023000000}"/>
            </a:ext>
          </a:extLst>
        </xdr:cNvPr>
        <xdr:cNvSpPr/>
      </xdr:nvSpPr>
      <xdr:spPr>
        <a:xfrm>
          <a:off x="10804525" y="72948800"/>
          <a:ext cx="95250" cy="37242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311</xdr:row>
      <xdr:rowOff>114300</xdr:rowOff>
    </xdr:from>
    <xdr:to>
      <xdr:col>11</xdr:col>
      <xdr:colOff>139699</xdr:colOff>
      <xdr:row>327</xdr:row>
      <xdr:rowOff>107950</xdr:rowOff>
    </xdr:to>
    <xdr:sp macro="" textlink="">
      <xdr:nvSpPr>
        <xdr:cNvPr id="32" name="Right Brace 31">
          <a:extLst>
            <a:ext uri="{FF2B5EF4-FFF2-40B4-BE49-F238E27FC236}">
              <a16:creationId xmlns="" xmlns:a16="http://schemas.microsoft.com/office/drawing/2014/main" id="{00000000-0008-0000-0000-000024000000}"/>
            </a:ext>
          </a:extLst>
        </xdr:cNvPr>
        <xdr:cNvSpPr/>
      </xdr:nvSpPr>
      <xdr:spPr>
        <a:xfrm>
          <a:off x="11744325" y="72971025"/>
          <a:ext cx="120649" cy="3727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311</xdr:row>
      <xdr:rowOff>123825</xdr:rowOff>
    </xdr:from>
    <xdr:to>
      <xdr:col>12</xdr:col>
      <xdr:colOff>114299</xdr:colOff>
      <xdr:row>327</xdr:row>
      <xdr:rowOff>101600</xdr:rowOff>
    </xdr:to>
    <xdr:sp macro="" textlink="">
      <xdr:nvSpPr>
        <xdr:cNvPr id="33" name="Right Brace 32">
          <a:extLst>
            <a:ext uri="{FF2B5EF4-FFF2-40B4-BE49-F238E27FC236}">
              <a16:creationId xmlns="" xmlns:a16="http://schemas.microsoft.com/office/drawing/2014/main" id="{00000000-0008-0000-0000-000025000000}"/>
            </a:ext>
          </a:extLst>
        </xdr:cNvPr>
        <xdr:cNvSpPr/>
      </xdr:nvSpPr>
      <xdr:spPr>
        <a:xfrm>
          <a:off x="12652375" y="72980550"/>
          <a:ext cx="101599" cy="37115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355</xdr:row>
      <xdr:rowOff>123825</xdr:rowOff>
    </xdr:from>
    <xdr:to>
      <xdr:col>9</xdr:col>
      <xdr:colOff>133350</xdr:colOff>
      <xdr:row>369</xdr:row>
      <xdr:rowOff>76200</xdr:rowOff>
    </xdr:to>
    <xdr:sp macro="" textlink="">
      <xdr:nvSpPr>
        <xdr:cNvPr id="34" name="Right Brace 33">
          <a:extLst>
            <a:ext uri="{FF2B5EF4-FFF2-40B4-BE49-F238E27FC236}">
              <a16:creationId xmlns="" xmlns:a16="http://schemas.microsoft.com/office/drawing/2014/main" id="{00000000-0008-0000-0000-000026000000}"/>
            </a:ext>
          </a:extLst>
        </xdr:cNvPr>
        <xdr:cNvSpPr/>
      </xdr:nvSpPr>
      <xdr:spPr>
        <a:xfrm>
          <a:off x="9791700" y="81638775"/>
          <a:ext cx="114300" cy="3600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355</xdr:row>
      <xdr:rowOff>92075</xdr:rowOff>
    </xdr:from>
    <xdr:to>
      <xdr:col>10</xdr:col>
      <xdr:colOff>107950</xdr:colOff>
      <xdr:row>369</xdr:row>
      <xdr:rowOff>82550</xdr:rowOff>
    </xdr:to>
    <xdr:sp macro="" textlink="">
      <xdr:nvSpPr>
        <xdr:cNvPr id="35" name="Right Brace 34">
          <a:extLst>
            <a:ext uri="{FF2B5EF4-FFF2-40B4-BE49-F238E27FC236}">
              <a16:creationId xmlns="" xmlns:a16="http://schemas.microsoft.com/office/drawing/2014/main" id="{00000000-0008-0000-0000-000027000000}"/>
            </a:ext>
          </a:extLst>
        </xdr:cNvPr>
        <xdr:cNvSpPr/>
      </xdr:nvSpPr>
      <xdr:spPr>
        <a:xfrm>
          <a:off x="10804525" y="81607025"/>
          <a:ext cx="95250" cy="3638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355</xdr:row>
      <xdr:rowOff>114300</xdr:rowOff>
    </xdr:from>
    <xdr:to>
      <xdr:col>11</xdr:col>
      <xdr:colOff>139699</xdr:colOff>
      <xdr:row>369</xdr:row>
      <xdr:rowOff>107950</xdr:rowOff>
    </xdr:to>
    <xdr:sp macro="" textlink="">
      <xdr:nvSpPr>
        <xdr:cNvPr id="36" name="Right Brace 35">
          <a:extLst>
            <a:ext uri="{FF2B5EF4-FFF2-40B4-BE49-F238E27FC236}">
              <a16:creationId xmlns="" xmlns:a16="http://schemas.microsoft.com/office/drawing/2014/main" id="{00000000-0008-0000-0000-000028000000}"/>
            </a:ext>
          </a:extLst>
        </xdr:cNvPr>
        <xdr:cNvSpPr/>
      </xdr:nvSpPr>
      <xdr:spPr>
        <a:xfrm>
          <a:off x="11744325" y="81629250"/>
          <a:ext cx="120649" cy="36417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355</xdr:row>
      <xdr:rowOff>123825</xdr:rowOff>
    </xdr:from>
    <xdr:to>
      <xdr:col>12</xdr:col>
      <xdr:colOff>114299</xdr:colOff>
      <xdr:row>369</xdr:row>
      <xdr:rowOff>101600</xdr:rowOff>
    </xdr:to>
    <xdr:sp macro="" textlink="">
      <xdr:nvSpPr>
        <xdr:cNvPr id="37" name="Right Brace 36">
          <a:extLst>
            <a:ext uri="{FF2B5EF4-FFF2-40B4-BE49-F238E27FC236}">
              <a16:creationId xmlns="" xmlns:a16="http://schemas.microsoft.com/office/drawing/2014/main" id="{00000000-0008-0000-0000-000029000000}"/>
            </a:ext>
          </a:extLst>
        </xdr:cNvPr>
        <xdr:cNvSpPr/>
      </xdr:nvSpPr>
      <xdr:spPr>
        <a:xfrm>
          <a:off x="12652375" y="81638775"/>
          <a:ext cx="101599" cy="36258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85725</xdr:colOff>
      <xdr:row>405</xdr:row>
      <xdr:rowOff>38100</xdr:rowOff>
    </xdr:from>
    <xdr:to>
      <xdr:col>9</xdr:col>
      <xdr:colOff>333375</xdr:colOff>
      <xdr:row>423</xdr:row>
      <xdr:rowOff>0</xdr:rowOff>
    </xdr:to>
    <xdr:sp macro="" textlink="">
      <xdr:nvSpPr>
        <xdr:cNvPr id="38" name="Right Brace 37">
          <a:extLst>
            <a:ext uri="{FF2B5EF4-FFF2-40B4-BE49-F238E27FC236}">
              <a16:creationId xmlns="" xmlns:a16="http://schemas.microsoft.com/office/drawing/2014/main" id="{00000000-0008-0000-0000-00002A000000}"/>
            </a:ext>
          </a:extLst>
        </xdr:cNvPr>
        <xdr:cNvSpPr/>
      </xdr:nvSpPr>
      <xdr:spPr>
        <a:xfrm>
          <a:off x="9858375" y="91297125"/>
          <a:ext cx="247650" cy="24079200"/>
        </a:xfrm>
        <a:prstGeom prst="rightBrace">
          <a:avLst>
            <a:gd name="adj1" fmla="val 8333"/>
            <a:gd name="adj2" fmla="val 5014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12698</xdr:colOff>
      <xdr:row>479</xdr:row>
      <xdr:rowOff>25400</xdr:rowOff>
    </xdr:from>
    <xdr:to>
      <xdr:col>9</xdr:col>
      <xdr:colOff>238125</xdr:colOff>
      <xdr:row>507</xdr:row>
      <xdr:rowOff>466725</xdr:rowOff>
    </xdr:to>
    <xdr:sp macro="" textlink="">
      <xdr:nvSpPr>
        <xdr:cNvPr id="42" name="Right Brace 41">
          <a:extLst>
            <a:ext uri="{FF2B5EF4-FFF2-40B4-BE49-F238E27FC236}">
              <a16:creationId xmlns="" xmlns:a16="http://schemas.microsoft.com/office/drawing/2014/main" id="{00000000-0008-0000-0000-00002E000000}"/>
            </a:ext>
          </a:extLst>
        </xdr:cNvPr>
        <xdr:cNvSpPr/>
      </xdr:nvSpPr>
      <xdr:spPr>
        <a:xfrm>
          <a:off x="9785348" y="111486950"/>
          <a:ext cx="225427" cy="144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12700</xdr:colOff>
      <xdr:row>479</xdr:row>
      <xdr:rowOff>31750</xdr:rowOff>
    </xdr:from>
    <xdr:to>
      <xdr:col>10</xdr:col>
      <xdr:colOff>161925</xdr:colOff>
      <xdr:row>508</xdr:row>
      <xdr:rowOff>9525</xdr:rowOff>
    </xdr:to>
    <xdr:sp macro="" textlink="">
      <xdr:nvSpPr>
        <xdr:cNvPr id="43" name="Right Brace 42">
          <a:extLst>
            <a:ext uri="{FF2B5EF4-FFF2-40B4-BE49-F238E27FC236}">
              <a16:creationId xmlns="" xmlns:a16="http://schemas.microsoft.com/office/drawing/2014/main" id="{00000000-0008-0000-0000-00002F000000}"/>
            </a:ext>
          </a:extLst>
        </xdr:cNvPr>
        <xdr:cNvSpPr/>
      </xdr:nvSpPr>
      <xdr:spPr>
        <a:xfrm>
          <a:off x="10804525" y="111493300"/>
          <a:ext cx="149225" cy="144272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xdr:colOff>
      <xdr:row>479</xdr:row>
      <xdr:rowOff>28575</xdr:rowOff>
    </xdr:from>
    <xdr:to>
      <xdr:col>11</xdr:col>
      <xdr:colOff>171451</xdr:colOff>
      <xdr:row>508</xdr:row>
      <xdr:rowOff>9524</xdr:rowOff>
    </xdr:to>
    <xdr:sp macro="" textlink="">
      <xdr:nvSpPr>
        <xdr:cNvPr id="44" name="Right Brace 43">
          <a:extLst>
            <a:ext uri="{FF2B5EF4-FFF2-40B4-BE49-F238E27FC236}">
              <a16:creationId xmlns="" xmlns:a16="http://schemas.microsoft.com/office/drawing/2014/main" id="{00000000-0008-0000-0000-000030000000}"/>
            </a:ext>
          </a:extLst>
        </xdr:cNvPr>
        <xdr:cNvSpPr/>
      </xdr:nvSpPr>
      <xdr:spPr>
        <a:xfrm>
          <a:off x="11725276" y="111490125"/>
          <a:ext cx="171450" cy="1443037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1906</xdr:colOff>
      <xdr:row>566</xdr:row>
      <xdr:rowOff>28575</xdr:rowOff>
    </xdr:from>
    <xdr:to>
      <xdr:col>9</xdr:col>
      <xdr:colOff>114300</xdr:colOff>
      <xdr:row>598</xdr:row>
      <xdr:rowOff>409575</xdr:rowOff>
    </xdr:to>
    <xdr:sp macro="" textlink="">
      <xdr:nvSpPr>
        <xdr:cNvPr id="45" name="Right Brace 44">
          <a:extLst>
            <a:ext uri="{FF2B5EF4-FFF2-40B4-BE49-F238E27FC236}">
              <a16:creationId xmlns="" xmlns:a16="http://schemas.microsoft.com/office/drawing/2014/main" id="{00000000-0008-0000-0000-000032000000}"/>
            </a:ext>
          </a:extLst>
        </xdr:cNvPr>
        <xdr:cNvSpPr/>
      </xdr:nvSpPr>
      <xdr:spPr>
        <a:xfrm>
          <a:off x="9774556" y="137064750"/>
          <a:ext cx="112394" cy="12858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0</xdr:colOff>
      <xdr:row>566</xdr:row>
      <xdr:rowOff>0</xdr:rowOff>
    </xdr:from>
    <xdr:to>
      <xdr:col>10</xdr:col>
      <xdr:colOff>112394</xdr:colOff>
      <xdr:row>598</xdr:row>
      <xdr:rowOff>381000</xdr:rowOff>
    </xdr:to>
    <xdr:sp macro="" textlink="">
      <xdr:nvSpPr>
        <xdr:cNvPr id="46" name="Right Brace 45">
          <a:extLst>
            <a:ext uri="{FF2B5EF4-FFF2-40B4-BE49-F238E27FC236}">
              <a16:creationId xmlns="" xmlns:a16="http://schemas.microsoft.com/office/drawing/2014/main" id="{00000000-0008-0000-0000-000033000000}"/>
            </a:ext>
          </a:extLst>
        </xdr:cNvPr>
        <xdr:cNvSpPr/>
      </xdr:nvSpPr>
      <xdr:spPr>
        <a:xfrm>
          <a:off x="10791825" y="137036175"/>
          <a:ext cx="112394" cy="12858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0</xdr:colOff>
      <xdr:row>566</xdr:row>
      <xdr:rowOff>0</xdr:rowOff>
    </xdr:from>
    <xdr:to>
      <xdr:col>11</xdr:col>
      <xdr:colOff>112394</xdr:colOff>
      <xdr:row>598</xdr:row>
      <xdr:rowOff>381000</xdr:rowOff>
    </xdr:to>
    <xdr:sp macro="" textlink="">
      <xdr:nvSpPr>
        <xdr:cNvPr id="47" name="Right Brace 46">
          <a:extLst>
            <a:ext uri="{FF2B5EF4-FFF2-40B4-BE49-F238E27FC236}">
              <a16:creationId xmlns="" xmlns:a16="http://schemas.microsoft.com/office/drawing/2014/main" id="{00000000-0008-0000-0000-000034000000}"/>
            </a:ext>
          </a:extLst>
        </xdr:cNvPr>
        <xdr:cNvSpPr/>
      </xdr:nvSpPr>
      <xdr:spPr>
        <a:xfrm>
          <a:off x="11725275" y="137036175"/>
          <a:ext cx="112394" cy="12858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904875</xdr:colOff>
      <xdr:row>566</xdr:row>
      <xdr:rowOff>0</xdr:rowOff>
    </xdr:from>
    <xdr:to>
      <xdr:col>12</xdr:col>
      <xdr:colOff>102869</xdr:colOff>
      <xdr:row>598</xdr:row>
      <xdr:rowOff>381000</xdr:rowOff>
    </xdr:to>
    <xdr:sp macro="" textlink="">
      <xdr:nvSpPr>
        <xdr:cNvPr id="48" name="Right Brace 47">
          <a:extLst>
            <a:ext uri="{FF2B5EF4-FFF2-40B4-BE49-F238E27FC236}">
              <a16:creationId xmlns="" xmlns:a16="http://schemas.microsoft.com/office/drawing/2014/main" id="{00000000-0008-0000-0000-000035000000}"/>
            </a:ext>
          </a:extLst>
        </xdr:cNvPr>
        <xdr:cNvSpPr/>
      </xdr:nvSpPr>
      <xdr:spPr>
        <a:xfrm>
          <a:off x="12630150" y="137036175"/>
          <a:ext cx="112394" cy="12858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914399</xdr:colOff>
      <xdr:row>479</xdr:row>
      <xdr:rowOff>0</xdr:rowOff>
    </xdr:from>
    <xdr:to>
      <xdr:col>12</xdr:col>
      <xdr:colOff>228600</xdr:colOff>
      <xdr:row>507</xdr:row>
      <xdr:rowOff>466725</xdr:rowOff>
    </xdr:to>
    <xdr:sp macro="" textlink="">
      <xdr:nvSpPr>
        <xdr:cNvPr id="49" name="Right Brace 48">
          <a:extLst>
            <a:ext uri="{FF2B5EF4-FFF2-40B4-BE49-F238E27FC236}">
              <a16:creationId xmlns="" xmlns:a16="http://schemas.microsoft.com/office/drawing/2014/main" id="{00000000-0008-0000-0000-000036000000}"/>
            </a:ext>
          </a:extLst>
        </xdr:cNvPr>
        <xdr:cNvSpPr/>
      </xdr:nvSpPr>
      <xdr:spPr>
        <a:xfrm>
          <a:off x="12639674" y="111461550"/>
          <a:ext cx="228601" cy="144399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19049</xdr:colOff>
      <xdr:row>626</xdr:row>
      <xdr:rowOff>76200</xdr:rowOff>
    </xdr:from>
    <xdr:to>
      <xdr:col>9</xdr:col>
      <xdr:colOff>152400</xdr:colOff>
      <xdr:row>687</xdr:row>
      <xdr:rowOff>9524</xdr:rowOff>
    </xdr:to>
    <xdr:sp macro="" textlink="">
      <xdr:nvSpPr>
        <xdr:cNvPr id="50" name="Right Brace 49">
          <a:extLst>
            <a:ext uri="{FF2B5EF4-FFF2-40B4-BE49-F238E27FC236}">
              <a16:creationId xmlns="" xmlns:a16="http://schemas.microsoft.com/office/drawing/2014/main" id="{00000000-0008-0000-0000-000037000000}"/>
            </a:ext>
          </a:extLst>
        </xdr:cNvPr>
        <xdr:cNvSpPr/>
      </xdr:nvSpPr>
      <xdr:spPr>
        <a:xfrm>
          <a:off x="9791699" y="154933650"/>
          <a:ext cx="133351" cy="972502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626</xdr:row>
      <xdr:rowOff>63500</xdr:rowOff>
    </xdr:from>
    <xdr:to>
      <xdr:col>10</xdr:col>
      <xdr:colOff>180975</xdr:colOff>
      <xdr:row>686</xdr:row>
      <xdr:rowOff>457200</xdr:rowOff>
    </xdr:to>
    <xdr:sp macro="" textlink="">
      <xdr:nvSpPr>
        <xdr:cNvPr id="51" name="Right Brace 50">
          <a:extLst>
            <a:ext uri="{FF2B5EF4-FFF2-40B4-BE49-F238E27FC236}">
              <a16:creationId xmlns="" xmlns:a16="http://schemas.microsoft.com/office/drawing/2014/main" id="{00000000-0008-0000-0000-000038000000}"/>
            </a:ext>
          </a:extLst>
        </xdr:cNvPr>
        <xdr:cNvSpPr/>
      </xdr:nvSpPr>
      <xdr:spPr>
        <a:xfrm>
          <a:off x="10804525" y="154920950"/>
          <a:ext cx="168275" cy="97186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19051</xdr:colOff>
      <xdr:row>626</xdr:row>
      <xdr:rowOff>85724</xdr:rowOff>
    </xdr:from>
    <xdr:to>
      <xdr:col>11</xdr:col>
      <xdr:colOff>190501</xdr:colOff>
      <xdr:row>686</xdr:row>
      <xdr:rowOff>457199</xdr:rowOff>
    </xdr:to>
    <xdr:sp macro="" textlink="">
      <xdr:nvSpPr>
        <xdr:cNvPr id="52" name="Right Brace 51">
          <a:extLst>
            <a:ext uri="{FF2B5EF4-FFF2-40B4-BE49-F238E27FC236}">
              <a16:creationId xmlns="" xmlns:a16="http://schemas.microsoft.com/office/drawing/2014/main" id="{00000000-0008-0000-0000-000039000000}"/>
            </a:ext>
          </a:extLst>
        </xdr:cNvPr>
        <xdr:cNvSpPr/>
      </xdr:nvSpPr>
      <xdr:spPr>
        <a:xfrm>
          <a:off x="11744326" y="154943174"/>
          <a:ext cx="171450" cy="9696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626</xdr:row>
      <xdr:rowOff>95250</xdr:rowOff>
    </xdr:from>
    <xdr:to>
      <xdr:col>12</xdr:col>
      <xdr:colOff>161925</xdr:colOff>
      <xdr:row>687</xdr:row>
      <xdr:rowOff>0</xdr:rowOff>
    </xdr:to>
    <xdr:sp macro="" textlink="">
      <xdr:nvSpPr>
        <xdr:cNvPr id="53" name="Right Brace 52">
          <a:extLst>
            <a:ext uri="{FF2B5EF4-FFF2-40B4-BE49-F238E27FC236}">
              <a16:creationId xmlns="" xmlns:a16="http://schemas.microsoft.com/office/drawing/2014/main" id="{00000000-0008-0000-0000-00003A000000}"/>
            </a:ext>
          </a:extLst>
        </xdr:cNvPr>
        <xdr:cNvSpPr/>
      </xdr:nvSpPr>
      <xdr:spPr>
        <a:xfrm>
          <a:off x="12652375" y="154952700"/>
          <a:ext cx="149225" cy="9696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732</xdr:row>
      <xdr:rowOff>76200</xdr:rowOff>
    </xdr:from>
    <xdr:to>
      <xdr:col>9</xdr:col>
      <xdr:colOff>133350</xdr:colOff>
      <xdr:row>753</xdr:row>
      <xdr:rowOff>228600</xdr:rowOff>
    </xdr:to>
    <xdr:sp macro="" textlink="">
      <xdr:nvSpPr>
        <xdr:cNvPr id="54" name="Right Brace 53">
          <a:extLst>
            <a:ext uri="{FF2B5EF4-FFF2-40B4-BE49-F238E27FC236}">
              <a16:creationId xmlns="" xmlns:a16="http://schemas.microsoft.com/office/drawing/2014/main" id="{00000000-0008-0000-0000-00003B000000}"/>
            </a:ext>
          </a:extLst>
        </xdr:cNvPr>
        <xdr:cNvSpPr/>
      </xdr:nvSpPr>
      <xdr:spPr>
        <a:xfrm>
          <a:off x="9791700" y="173116875"/>
          <a:ext cx="114300" cy="59340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0</xdr:colOff>
      <xdr:row>732</xdr:row>
      <xdr:rowOff>57150</xdr:rowOff>
    </xdr:from>
    <xdr:to>
      <xdr:col>10</xdr:col>
      <xdr:colOff>114300</xdr:colOff>
      <xdr:row>753</xdr:row>
      <xdr:rowOff>209550</xdr:rowOff>
    </xdr:to>
    <xdr:sp macro="" textlink="">
      <xdr:nvSpPr>
        <xdr:cNvPr id="55" name="Right Brace 54">
          <a:extLst>
            <a:ext uri="{FF2B5EF4-FFF2-40B4-BE49-F238E27FC236}">
              <a16:creationId xmlns="" xmlns:a16="http://schemas.microsoft.com/office/drawing/2014/main" id="{00000000-0008-0000-0000-00003C000000}"/>
            </a:ext>
          </a:extLst>
        </xdr:cNvPr>
        <xdr:cNvSpPr/>
      </xdr:nvSpPr>
      <xdr:spPr>
        <a:xfrm>
          <a:off x="10791825" y="173097825"/>
          <a:ext cx="114300" cy="59436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0</xdr:colOff>
      <xdr:row>732</xdr:row>
      <xdr:rowOff>57150</xdr:rowOff>
    </xdr:from>
    <xdr:to>
      <xdr:col>11</xdr:col>
      <xdr:colOff>114300</xdr:colOff>
      <xdr:row>753</xdr:row>
      <xdr:rowOff>209550</xdr:rowOff>
    </xdr:to>
    <xdr:sp macro="" textlink="">
      <xdr:nvSpPr>
        <xdr:cNvPr id="56" name="Right Brace 55">
          <a:extLst>
            <a:ext uri="{FF2B5EF4-FFF2-40B4-BE49-F238E27FC236}">
              <a16:creationId xmlns="" xmlns:a16="http://schemas.microsoft.com/office/drawing/2014/main" id="{00000000-0008-0000-0000-00003D000000}"/>
            </a:ext>
          </a:extLst>
        </xdr:cNvPr>
        <xdr:cNvSpPr/>
      </xdr:nvSpPr>
      <xdr:spPr>
        <a:xfrm>
          <a:off x="11725275" y="173097825"/>
          <a:ext cx="114300" cy="59436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0</xdr:colOff>
      <xdr:row>732</xdr:row>
      <xdr:rowOff>76200</xdr:rowOff>
    </xdr:from>
    <xdr:to>
      <xdr:col>12</xdr:col>
      <xdr:colOff>114300</xdr:colOff>
      <xdr:row>753</xdr:row>
      <xdr:rowOff>228600</xdr:rowOff>
    </xdr:to>
    <xdr:sp macro="" textlink="">
      <xdr:nvSpPr>
        <xdr:cNvPr id="57" name="Right Brace 56">
          <a:extLst>
            <a:ext uri="{FF2B5EF4-FFF2-40B4-BE49-F238E27FC236}">
              <a16:creationId xmlns="" xmlns:a16="http://schemas.microsoft.com/office/drawing/2014/main" id="{00000000-0008-0000-0000-00003E000000}"/>
            </a:ext>
          </a:extLst>
        </xdr:cNvPr>
        <xdr:cNvSpPr/>
      </xdr:nvSpPr>
      <xdr:spPr>
        <a:xfrm>
          <a:off x="12639675" y="173116875"/>
          <a:ext cx="114300" cy="59340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28575</xdr:colOff>
      <xdr:row>96</xdr:row>
      <xdr:rowOff>38100</xdr:rowOff>
    </xdr:from>
    <xdr:to>
      <xdr:col>9</xdr:col>
      <xdr:colOff>139700</xdr:colOff>
      <xdr:row>103</xdr:row>
      <xdr:rowOff>930275</xdr:rowOff>
    </xdr:to>
    <xdr:sp macro="" textlink="">
      <xdr:nvSpPr>
        <xdr:cNvPr id="58" name="Right Brace 57">
          <a:extLst>
            <a:ext uri="{FF2B5EF4-FFF2-40B4-BE49-F238E27FC236}">
              <a16:creationId xmlns="" xmlns:a16="http://schemas.microsoft.com/office/drawing/2014/main" id="{00000000-0008-0000-0000-00000B000000}"/>
            </a:ext>
          </a:extLst>
        </xdr:cNvPr>
        <xdr:cNvSpPr/>
      </xdr:nvSpPr>
      <xdr:spPr>
        <a:xfrm>
          <a:off x="9801225" y="19497675"/>
          <a:ext cx="111125" cy="3835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28575</xdr:colOff>
      <xdr:row>96</xdr:row>
      <xdr:rowOff>9525</xdr:rowOff>
    </xdr:from>
    <xdr:to>
      <xdr:col>12</xdr:col>
      <xdr:colOff>142874</xdr:colOff>
      <xdr:row>103</xdr:row>
      <xdr:rowOff>942976</xdr:rowOff>
    </xdr:to>
    <xdr:sp macro="" textlink="">
      <xdr:nvSpPr>
        <xdr:cNvPr id="59" name="Right Brace 58">
          <a:extLst>
            <a:ext uri="{FF2B5EF4-FFF2-40B4-BE49-F238E27FC236}">
              <a16:creationId xmlns="" xmlns:a16="http://schemas.microsoft.com/office/drawing/2014/main" id="{00000000-0008-0000-0000-00000C000000}"/>
            </a:ext>
          </a:extLst>
        </xdr:cNvPr>
        <xdr:cNvSpPr/>
      </xdr:nvSpPr>
      <xdr:spPr>
        <a:xfrm>
          <a:off x="12668250" y="19469100"/>
          <a:ext cx="114299" cy="387667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962025</xdr:colOff>
      <xdr:row>405</xdr:row>
      <xdr:rowOff>38100</xdr:rowOff>
    </xdr:from>
    <xdr:to>
      <xdr:col>10</xdr:col>
      <xdr:colOff>190500</xdr:colOff>
      <xdr:row>423</xdr:row>
      <xdr:rowOff>0</xdr:rowOff>
    </xdr:to>
    <xdr:sp macro="" textlink="">
      <xdr:nvSpPr>
        <xdr:cNvPr id="61" name="Right Brace 60">
          <a:extLst>
            <a:ext uri="{FF2B5EF4-FFF2-40B4-BE49-F238E27FC236}">
              <a16:creationId xmlns="" xmlns:a16="http://schemas.microsoft.com/office/drawing/2014/main" id="{00000000-0008-0000-0000-00002A000000}"/>
            </a:ext>
          </a:extLst>
        </xdr:cNvPr>
        <xdr:cNvSpPr/>
      </xdr:nvSpPr>
      <xdr:spPr>
        <a:xfrm>
          <a:off x="10734675" y="91297125"/>
          <a:ext cx="247650" cy="24079200"/>
        </a:xfrm>
        <a:prstGeom prst="rightBrace">
          <a:avLst>
            <a:gd name="adj1" fmla="val 8333"/>
            <a:gd name="adj2" fmla="val 5014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885825</xdr:colOff>
      <xdr:row>405</xdr:row>
      <xdr:rowOff>28575</xdr:rowOff>
    </xdr:from>
    <xdr:to>
      <xdr:col>12</xdr:col>
      <xdr:colOff>219075</xdr:colOff>
      <xdr:row>423</xdr:row>
      <xdr:rowOff>0</xdr:rowOff>
    </xdr:to>
    <xdr:sp macro="" textlink="">
      <xdr:nvSpPr>
        <xdr:cNvPr id="62" name="Right Brace 61">
          <a:extLst>
            <a:ext uri="{FF2B5EF4-FFF2-40B4-BE49-F238E27FC236}">
              <a16:creationId xmlns="" xmlns:a16="http://schemas.microsoft.com/office/drawing/2014/main" id="{00000000-0008-0000-0000-00002A000000}"/>
            </a:ext>
          </a:extLst>
        </xdr:cNvPr>
        <xdr:cNvSpPr/>
      </xdr:nvSpPr>
      <xdr:spPr>
        <a:xfrm>
          <a:off x="12611100" y="91287600"/>
          <a:ext cx="247650" cy="24079200"/>
        </a:xfrm>
        <a:prstGeom prst="rightBrace">
          <a:avLst>
            <a:gd name="adj1" fmla="val 8333"/>
            <a:gd name="adj2" fmla="val 5014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0</xdr:colOff>
      <xdr:row>405</xdr:row>
      <xdr:rowOff>19050</xdr:rowOff>
    </xdr:from>
    <xdr:to>
      <xdr:col>11</xdr:col>
      <xdr:colOff>247650</xdr:colOff>
      <xdr:row>423</xdr:row>
      <xdr:rowOff>0</xdr:rowOff>
    </xdr:to>
    <xdr:sp macro="" textlink="">
      <xdr:nvSpPr>
        <xdr:cNvPr id="65" name="Right Brace 64">
          <a:extLst>
            <a:ext uri="{FF2B5EF4-FFF2-40B4-BE49-F238E27FC236}">
              <a16:creationId xmlns="" xmlns:a16="http://schemas.microsoft.com/office/drawing/2014/main" id="{00000000-0008-0000-0000-00002A000000}"/>
            </a:ext>
          </a:extLst>
        </xdr:cNvPr>
        <xdr:cNvSpPr/>
      </xdr:nvSpPr>
      <xdr:spPr>
        <a:xfrm>
          <a:off x="11725275" y="91278075"/>
          <a:ext cx="247650" cy="24079200"/>
        </a:xfrm>
        <a:prstGeom prst="rightBrace">
          <a:avLst>
            <a:gd name="adj1" fmla="val 8333"/>
            <a:gd name="adj2" fmla="val 5014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12700</xdr:colOff>
      <xdr:row>11</xdr:row>
      <xdr:rowOff>44450</xdr:rowOff>
    </xdr:from>
    <xdr:to>
      <xdr:col>11</xdr:col>
      <xdr:colOff>107950</xdr:colOff>
      <xdr:row>30</xdr:row>
      <xdr:rowOff>15875</xdr:rowOff>
    </xdr:to>
    <xdr:sp macro="" textlink="">
      <xdr:nvSpPr>
        <xdr:cNvPr id="60" name="Right Brace 59">
          <a:extLst>
            <a:ext uri="{FF2B5EF4-FFF2-40B4-BE49-F238E27FC236}">
              <a16:creationId xmlns="" xmlns:a16="http://schemas.microsoft.com/office/drawing/2014/main" id="{00000000-0008-0000-0000-000003000000}"/>
            </a:ext>
          </a:extLst>
        </xdr:cNvPr>
        <xdr:cNvSpPr/>
      </xdr:nvSpPr>
      <xdr:spPr>
        <a:xfrm>
          <a:off x="10804525" y="2006600"/>
          <a:ext cx="95250" cy="5105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104776</xdr:colOff>
      <xdr:row>0</xdr:row>
      <xdr:rowOff>0</xdr:rowOff>
    </xdr:from>
    <xdr:to>
      <xdr:col>2</xdr:col>
      <xdr:colOff>1209675</xdr:colOff>
      <xdr:row>6</xdr:row>
      <xdr:rowOff>38099</xdr:rowOff>
    </xdr:to>
    <xdr:pic>
      <xdr:nvPicPr>
        <xdr:cNvPr id="2" name="Picture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1" y="0"/>
          <a:ext cx="1104899" cy="1104899"/>
        </a:xfrm>
        <a:prstGeom prst="rect">
          <a:avLst/>
        </a:prstGeom>
      </xdr:spPr>
    </xdr:pic>
    <xdr:clientData/>
  </xdr:twoCellAnchor>
  <xdr:twoCellAnchor editAs="oneCell">
    <xdr:from>
      <xdr:col>2</xdr:col>
      <xdr:colOff>104776</xdr:colOff>
      <xdr:row>130</xdr:row>
      <xdr:rowOff>0</xdr:rowOff>
    </xdr:from>
    <xdr:to>
      <xdr:col>2</xdr:col>
      <xdr:colOff>1209675</xdr:colOff>
      <xdr:row>136</xdr:row>
      <xdr:rowOff>38099</xdr:rowOff>
    </xdr:to>
    <xdr:pic>
      <xdr:nvPicPr>
        <xdr:cNvPr id="4" name="Picture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1" y="0"/>
          <a:ext cx="1104899" cy="11048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ver%20PC/Desktop/Budget%20Office%20Files/Budget%20Office%20Files/BUDGET%202022/Annual%20Budget%202022-Consolidated-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ver%20PC/Desktop/Budget%20Office%20Files/Budget%20Office%20Files/BUDGET%202019/5%20Plantilla%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P NO. 2"/>
      <sheetName val="LBP NO. 2a"/>
      <sheetName val="Consolidated"/>
      <sheetName val="LBP No. 4"/>
      <sheetName val="Sheet2"/>
      <sheetName val="Sheet3"/>
    </sheetNames>
    <sheetDataSet>
      <sheetData sheetId="0">
        <row r="852">
          <cell r="M852">
            <v>0</v>
          </cell>
        </row>
        <row r="1013">
          <cell r="M1013">
            <v>0</v>
          </cell>
        </row>
        <row r="1014">
          <cell r="J1014">
            <v>5352438.5600000005</v>
          </cell>
          <cell r="K1014">
            <v>7381938.1799999997</v>
          </cell>
          <cell r="L1014">
            <v>12734376.74</v>
          </cell>
          <cell r="M1014">
            <v>12089057</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P NO. 1"/>
      <sheetName val="LBP NO. 2"/>
      <sheetName val="LBP NO. 2 Sort"/>
      <sheetName val="LBP NO. 2a"/>
      <sheetName val="LBP NO. 3"/>
      <sheetName val="LBP NO. 3a per office"/>
      <sheetName val="LBP No. 4"/>
      <sheetName val="LBP NO. 5"/>
      <sheetName val="LBP NO. 6"/>
      <sheetName val="LBP NO. 7"/>
      <sheetName val="Summary"/>
      <sheetName val="PROPOSED BUDGET"/>
      <sheetName val="2018 Annual Budget"/>
      <sheetName val="LBP NO. 8 2018"/>
      <sheetName val="Chart"/>
      <sheetName val="Sheet1"/>
      <sheetName val="Sorting GF Exp"/>
      <sheetName val="LBP NO. 3 sorting"/>
      <sheetName val="LBP NO. 2 Sorting"/>
      <sheetName val="LBP NO. 3 SORTING_2"/>
      <sheetName val="LBP NO. 2-FINAL  SORTING"/>
      <sheetName val="LBP NO. 2 FINAL"/>
      <sheetName val="Category"/>
      <sheetName val="LBP NO. 2 FOR 8 "/>
      <sheetName val="Sheet2"/>
    </sheetNames>
    <sheetDataSet>
      <sheetData sheetId="0" refreshError="1"/>
      <sheetData sheetId="1" refreshError="1"/>
      <sheetData sheetId="2" refreshError="1"/>
      <sheetData sheetId="3" refreshError="1"/>
      <sheetData sheetId="4">
        <row r="481">
          <cell r="J481">
            <v>32549268</v>
          </cell>
          <cell r="M481">
            <v>3192793</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3"/>
  <sheetViews>
    <sheetView topLeftCell="A40" workbookViewId="0">
      <selection activeCell="R46" sqref="R46"/>
    </sheetView>
  </sheetViews>
  <sheetFormatPr defaultRowHeight="15"/>
  <cols>
    <col min="1" max="1" width="2.7109375" style="1113" customWidth="1"/>
    <col min="2" max="2" width="2.140625" style="1113" customWidth="1"/>
    <col min="3" max="5" width="1.7109375" style="1113" customWidth="1"/>
    <col min="6" max="6" width="41.7109375" style="1113" customWidth="1"/>
    <col min="7" max="7" width="6.5703125" style="1145" hidden="1" customWidth="1"/>
    <col min="8" max="8" width="12.28515625" style="1113" customWidth="1"/>
    <col min="9" max="9" width="14.7109375" style="1113" customWidth="1"/>
    <col min="10" max="10" width="13.7109375" style="1113" hidden="1" customWidth="1"/>
    <col min="11" max="11" width="14.7109375" style="1146" hidden="1" customWidth="1"/>
    <col min="12" max="12" width="15.85546875" style="1146" customWidth="1"/>
    <col min="13" max="13" width="14.85546875" style="1113" customWidth="1"/>
    <col min="14" max="14" width="2.7109375" style="1113" customWidth="1"/>
    <col min="15" max="15" width="9.140625" style="1113"/>
    <col min="16" max="16" width="9.140625" style="1113" customWidth="1"/>
    <col min="17" max="16384" width="9.140625" style="1113"/>
  </cols>
  <sheetData>
    <row r="2" spans="1:13" ht="18">
      <c r="A2" s="1231" t="s">
        <v>883</v>
      </c>
      <c r="B2" s="1231"/>
      <c r="C2" s="1231"/>
      <c r="D2" s="1231"/>
      <c r="E2" s="1231"/>
      <c r="F2" s="1231"/>
      <c r="G2" s="1231"/>
      <c r="H2" s="1231"/>
      <c r="I2" s="1231"/>
      <c r="J2" s="1231"/>
      <c r="K2" s="1231"/>
      <c r="L2" s="1231"/>
      <c r="M2" s="1231"/>
    </row>
    <row r="3" spans="1:13" ht="18">
      <c r="A3" s="1231" t="s">
        <v>178</v>
      </c>
      <c r="B3" s="1231"/>
      <c r="C3" s="1231"/>
      <c r="D3" s="1231"/>
      <c r="E3" s="1231"/>
      <c r="F3" s="1231"/>
      <c r="G3" s="1231"/>
      <c r="H3" s="1231"/>
      <c r="I3" s="1231"/>
      <c r="J3" s="1231"/>
      <c r="K3" s="1231"/>
      <c r="L3" s="1231"/>
      <c r="M3" s="1231"/>
    </row>
    <row r="4" spans="1:13" ht="18">
      <c r="A4" s="1231" t="s">
        <v>1742</v>
      </c>
      <c r="B4" s="1231"/>
      <c r="C4" s="1231"/>
      <c r="D4" s="1231"/>
      <c r="E4" s="1231"/>
      <c r="F4" s="1231"/>
      <c r="G4" s="1231"/>
      <c r="H4" s="1231"/>
      <c r="I4" s="1231"/>
      <c r="J4" s="1231"/>
      <c r="K4" s="1231"/>
      <c r="L4" s="1231"/>
      <c r="M4" s="1231"/>
    </row>
    <row r="5" spans="1:13" ht="18">
      <c r="A5" s="1231"/>
      <c r="B5" s="1231"/>
      <c r="C5" s="1231"/>
      <c r="D5" s="1231"/>
      <c r="E5" s="1231"/>
      <c r="F5" s="1231"/>
      <c r="G5" s="1231"/>
      <c r="H5" s="1231"/>
      <c r="I5" s="1231"/>
      <c r="J5" s="1231"/>
      <c r="K5" s="1231"/>
      <c r="L5" s="1231"/>
      <c r="M5" s="1231"/>
    </row>
    <row r="6" spans="1:13" ht="18">
      <c r="A6" s="1114"/>
      <c r="B6" s="1114"/>
      <c r="C6" s="1114"/>
      <c r="D6" s="1114"/>
      <c r="E6" s="1114"/>
      <c r="F6" s="1114"/>
      <c r="G6" s="1115"/>
      <c r="H6" s="1114"/>
      <c r="I6" s="1114"/>
      <c r="J6" s="1114"/>
      <c r="K6" s="1116"/>
      <c r="L6" s="1116"/>
      <c r="M6" s="1114"/>
    </row>
    <row r="7" spans="1:13" ht="18">
      <c r="A7" s="1114"/>
      <c r="B7" s="1114"/>
      <c r="C7" s="1114"/>
      <c r="D7" s="1114"/>
      <c r="E7" s="1114"/>
      <c r="F7" s="1114"/>
      <c r="G7" s="1115"/>
      <c r="H7" s="1114"/>
      <c r="I7" s="1114"/>
      <c r="J7" s="1114"/>
      <c r="K7" s="1116"/>
      <c r="L7" s="1116"/>
      <c r="M7" s="1114"/>
    </row>
    <row r="8" spans="1:13" ht="20.25">
      <c r="A8" s="1235" t="s">
        <v>1743</v>
      </c>
      <c r="B8" s="1235"/>
      <c r="C8" s="1235"/>
      <c r="D8" s="1235"/>
      <c r="E8" s="1235"/>
      <c r="F8" s="1235"/>
      <c r="G8" s="1235"/>
      <c r="H8" s="1235"/>
      <c r="I8" s="1235"/>
      <c r="J8" s="1235"/>
      <c r="K8" s="1235"/>
      <c r="L8" s="1235"/>
      <c r="M8" s="1235"/>
    </row>
    <row r="9" spans="1:13">
      <c r="A9" s="1234" t="s">
        <v>1744</v>
      </c>
      <c r="B9" s="1234"/>
      <c r="C9" s="1234"/>
      <c r="D9" s="1234"/>
      <c r="E9" s="1234"/>
      <c r="F9" s="1234"/>
      <c r="G9" s="1234"/>
      <c r="H9" s="1234"/>
      <c r="I9" s="1234"/>
      <c r="J9" s="1234"/>
      <c r="K9" s="1234"/>
      <c r="L9" s="1234"/>
      <c r="M9" s="1234"/>
    </row>
    <row r="10" spans="1:13" ht="20.100000000000001" customHeight="1">
      <c r="A10" s="1227" t="s">
        <v>1759</v>
      </c>
      <c r="B10" s="1227"/>
      <c r="C10" s="1227"/>
      <c r="D10" s="1227"/>
      <c r="E10" s="1227"/>
      <c r="F10" s="1227"/>
      <c r="G10" s="1227"/>
      <c r="H10" s="1227"/>
      <c r="I10" s="1227"/>
      <c r="J10" s="1227"/>
      <c r="K10" s="1227"/>
      <c r="L10" s="1227"/>
      <c r="M10" s="1227"/>
    </row>
    <row r="11" spans="1:13" ht="20.100000000000001" customHeight="1">
      <c r="A11" s="1227"/>
      <c r="B11" s="1227"/>
      <c r="C11" s="1227"/>
      <c r="D11" s="1227"/>
      <c r="E11" s="1227"/>
      <c r="F11" s="1227"/>
      <c r="G11" s="1227"/>
      <c r="H11" s="1227"/>
      <c r="I11" s="1227"/>
      <c r="J11" s="1227"/>
      <c r="K11" s="1227"/>
      <c r="L11" s="1227"/>
      <c r="M11" s="1227"/>
    </row>
    <row r="12" spans="1:13" ht="20.100000000000001" customHeight="1">
      <c r="A12" s="1227"/>
      <c r="B12" s="1227"/>
      <c r="C12" s="1227"/>
      <c r="D12" s="1227"/>
      <c r="E12" s="1227"/>
      <c r="F12" s="1227"/>
      <c r="G12" s="1227"/>
      <c r="H12" s="1227"/>
      <c r="I12" s="1227"/>
      <c r="J12" s="1227"/>
      <c r="K12" s="1227"/>
      <c r="L12" s="1227"/>
      <c r="M12" s="1227"/>
    </row>
    <row r="13" spans="1:13" ht="20.100000000000001" customHeight="1">
      <c r="A13" s="1227"/>
      <c r="B13" s="1227"/>
      <c r="C13" s="1227"/>
      <c r="D13" s="1227"/>
      <c r="E13" s="1227"/>
      <c r="F13" s="1227"/>
      <c r="G13" s="1227"/>
      <c r="H13" s="1227"/>
      <c r="I13" s="1227"/>
      <c r="J13" s="1227"/>
      <c r="K13" s="1227"/>
      <c r="L13" s="1227"/>
      <c r="M13" s="1227"/>
    </row>
    <row r="14" spans="1:13">
      <c r="A14" s="1117"/>
      <c r="B14" s="1117"/>
      <c r="C14" s="1117"/>
      <c r="D14" s="1117"/>
      <c r="E14" s="1117"/>
      <c r="F14" s="1117"/>
      <c r="G14" s="1117"/>
      <c r="H14" s="1117"/>
      <c r="I14" s="1117"/>
      <c r="J14" s="1117"/>
      <c r="K14" s="1117"/>
      <c r="L14" s="1117"/>
      <c r="M14" s="1117"/>
    </row>
    <row r="16" spans="1:13" ht="18">
      <c r="A16" s="1114" t="s">
        <v>1745</v>
      </c>
      <c r="B16" s="1114"/>
      <c r="C16" s="1114"/>
      <c r="D16" s="1114"/>
      <c r="E16" s="1114"/>
      <c r="F16" s="1114"/>
      <c r="G16" s="1115"/>
      <c r="H16" s="1114"/>
      <c r="I16" s="1114"/>
      <c r="J16" s="1114"/>
      <c r="K16" s="1116"/>
      <c r="L16" s="1116"/>
      <c r="M16" s="1114"/>
    </row>
    <row r="17" spans="1:13" ht="18">
      <c r="A17" s="1114"/>
      <c r="B17" s="1114"/>
      <c r="C17" s="1114"/>
      <c r="D17" s="1114"/>
      <c r="E17" s="1114"/>
      <c r="F17" s="1118" t="s">
        <v>1746</v>
      </c>
      <c r="G17" s="1115"/>
      <c r="H17" s="1114"/>
      <c r="I17" s="1114" t="s">
        <v>22</v>
      </c>
      <c r="J17" s="1114"/>
      <c r="K17" s="1116"/>
      <c r="L17" s="1114"/>
      <c r="M17" s="1114"/>
    </row>
    <row r="18" spans="1:13" ht="18">
      <c r="A18" s="1114"/>
      <c r="B18" s="1114"/>
      <c r="C18" s="1114"/>
      <c r="D18" s="1114"/>
      <c r="E18" s="1114"/>
      <c r="F18" s="1118"/>
      <c r="G18" s="1115"/>
      <c r="H18" s="1114"/>
      <c r="I18" s="1114" t="s">
        <v>1747</v>
      </c>
      <c r="J18" s="1119"/>
      <c r="K18" s="1119"/>
      <c r="L18" s="1119"/>
      <c r="M18" s="1119"/>
    </row>
    <row r="19" spans="1:13" ht="18">
      <c r="A19" s="1114"/>
      <c r="B19" s="1114"/>
      <c r="C19" s="1114"/>
      <c r="D19" s="1114"/>
      <c r="E19" s="1114"/>
      <c r="F19" s="1118" t="s">
        <v>1748</v>
      </c>
      <c r="G19" s="1115"/>
      <c r="H19" s="1114"/>
      <c r="I19" s="1114" t="s">
        <v>1749</v>
      </c>
      <c r="J19" s="1114"/>
      <c r="K19" s="1116"/>
      <c r="L19" s="1114"/>
      <c r="M19" s="1114"/>
    </row>
    <row r="20" spans="1:13" ht="18">
      <c r="A20" s="1114"/>
      <c r="B20" s="1114"/>
      <c r="C20" s="1114"/>
      <c r="D20" s="1114"/>
      <c r="E20" s="1114"/>
      <c r="F20" s="1118" t="s">
        <v>1750</v>
      </c>
      <c r="G20" s="1115"/>
      <c r="H20" s="1114"/>
      <c r="I20" s="1231" t="s">
        <v>1751</v>
      </c>
      <c r="J20" s="1231"/>
      <c r="K20" s="1231"/>
      <c r="L20" s="1231"/>
      <c r="M20" s="1119"/>
    </row>
    <row r="21" spans="1:13" ht="18">
      <c r="A21" s="1114"/>
      <c r="B21" s="1114"/>
      <c r="C21" s="1114"/>
      <c r="D21" s="1114"/>
      <c r="E21" s="1114"/>
      <c r="F21" s="1118" t="s">
        <v>1760</v>
      </c>
      <c r="G21" s="1115"/>
      <c r="H21" s="1114"/>
      <c r="I21" s="1231" t="s">
        <v>1751</v>
      </c>
      <c r="J21" s="1231"/>
      <c r="K21" s="1231"/>
      <c r="L21" s="1231"/>
      <c r="M21" s="1119"/>
    </row>
    <row r="22" spans="1:13" ht="18">
      <c r="A22" s="1114"/>
      <c r="B22" s="1114"/>
      <c r="C22" s="1114"/>
      <c r="D22" s="1114"/>
      <c r="E22" s="1114"/>
      <c r="F22" s="1118" t="s">
        <v>1761</v>
      </c>
      <c r="G22" s="1115"/>
      <c r="H22" s="1114"/>
      <c r="I22" s="1231" t="s">
        <v>1751</v>
      </c>
      <c r="J22" s="1231"/>
      <c r="K22" s="1231"/>
      <c r="L22" s="1231"/>
      <c r="M22" s="1119"/>
    </row>
    <row r="23" spans="1:13" ht="18">
      <c r="A23" s="1114"/>
      <c r="B23" s="1114"/>
      <c r="C23" s="1114"/>
      <c r="D23" s="1114"/>
      <c r="E23" s="1114"/>
      <c r="F23" s="1118" t="s">
        <v>1762</v>
      </c>
      <c r="G23" s="1115"/>
      <c r="H23" s="1114"/>
      <c r="I23" s="1231" t="s">
        <v>1751</v>
      </c>
      <c r="J23" s="1231"/>
      <c r="K23" s="1231"/>
      <c r="L23" s="1231"/>
      <c r="M23" s="1119"/>
    </row>
    <row r="24" spans="1:13" ht="18">
      <c r="A24" s="1114"/>
      <c r="B24" s="1114"/>
      <c r="C24" s="1114"/>
      <c r="D24" s="1114"/>
      <c r="E24" s="1114"/>
      <c r="F24" s="1118" t="s">
        <v>1763</v>
      </c>
      <c r="G24" s="1115"/>
      <c r="H24" s="1114"/>
      <c r="I24" s="1231" t="s">
        <v>1751</v>
      </c>
      <c r="J24" s="1231"/>
      <c r="K24" s="1231"/>
      <c r="L24" s="1231"/>
      <c r="M24" s="1119"/>
    </row>
    <row r="25" spans="1:13" ht="18">
      <c r="A25" s="1114"/>
      <c r="B25" s="1114"/>
      <c r="C25" s="1114"/>
      <c r="D25" s="1114"/>
      <c r="E25" s="1114"/>
      <c r="F25" s="1118" t="s">
        <v>1764</v>
      </c>
      <c r="G25" s="1115"/>
      <c r="H25" s="1114"/>
      <c r="I25" s="1231" t="s">
        <v>1751</v>
      </c>
      <c r="J25" s="1231"/>
      <c r="K25" s="1231"/>
      <c r="L25" s="1231"/>
      <c r="M25" s="1114"/>
    </row>
    <row r="26" spans="1:13" ht="18">
      <c r="A26" s="1114"/>
      <c r="B26" s="1114"/>
      <c r="C26" s="1114"/>
      <c r="D26" s="1114"/>
      <c r="E26" s="1114"/>
      <c r="F26" s="1118" t="s">
        <v>1765</v>
      </c>
      <c r="G26" s="1115"/>
      <c r="H26" s="1114"/>
      <c r="I26" s="1231" t="s">
        <v>1751</v>
      </c>
      <c r="J26" s="1231"/>
      <c r="K26" s="1231"/>
      <c r="L26" s="1231"/>
      <c r="M26" s="1114"/>
    </row>
    <row r="27" spans="1:13" ht="18">
      <c r="A27" s="1114"/>
      <c r="B27" s="1114"/>
      <c r="C27" s="1114"/>
      <c r="D27" s="1114"/>
      <c r="E27" s="1114"/>
      <c r="F27" s="1118" t="s">
        <v>1766</v>
      </c>
      <c r="G27" s="1115"/>
      <c r="H27" s="1114"/>
      <c r="I27" s="1119" t="s">
        <v>1752</v>
      </c>
      <c r="J27" s="1114"/>
      <c r="K27" s="1116"/>
      <c r="L27" s="1119"/>
      <c r="M27" s="1114"/>
    </row>
    <row r="28" spans="1:13" ht="18">
      <c r="A28" s="1114"/>
      <c r="B28" s="1114"/>
      <c r="C28" s="1114"/>
      <c r="D28" s="1114"/>
      <c r="E28" s="1114"/>
      <c r="F28" s="1118" t="s">
        <v>1767</v>
      </c>
      <c r="G28" s="1115"/>
      <c r="H28" s="1114"/>
      <c r="I28" s="1119" t="s">
        <v>1768</v>
      </c>
      <c r="J28" s="1114"/>
      <c r="K28" s="1116"/>
      <c r="L28" s="1119"/>
      <c r="M28" s="1114"/>
    </row>
    <row r="29" spans="1:13" ht="18">
      <c r="A29" s="1114"/>
      <c r="B29" s="1114"/>
      <c r="C29" s="1114"/>
      <c r="D29" s="1114"/>
      <c r="E29" s="1114"/>
      <c r="F29" s="1118"/>
      <c r="G29" s="1115"/>
      <c r="H29" s="1114"/>
      <c r="I29" s="1119"/>
      <c r="J29" s="1114"/>
      <c r="K29" s="1116"/>
      <c r="L29" s="1119"/>
      <c r="M29" s="1114"/>
    </row>
    <row r="30" spans="1:13" ht="18">
      <c r="A30" s="1114" t="s">
        <v>1769</v>
      </c>
      <c r="B30" s="1114"/>
      <c r="C30" s="1114"/>
      <c r="D30" s="1114"/>
      <c r="E30" s="1114"/>
      <c r="F30" s="1118"/>
      <c r="G30" s="1115"/>
      <c r="H30" s="1114"/>
      <c r="I30" s="1119"/>
      <c r="J30" s="1119"/>
      <c r="K30" s="1119"/>
      <c r="L30" s="1119"/>
      <c r="M30" s="1114"/>
    </row>
    <row r="31" spans="1:13" ht="18">
      <c r="A31" s="1114"/>
      <c r="B31" s="1114"/>
      <c r="C31" s="1114"/>
      <c r="D31" s="1114"/>
      <c r="E31" s="1114"/>
      <c r="F31" s="1118"/>
      <c r="G31" s="1115"/>
      <c r="H31" s="1114"/>
      <c r="I31" s="1114"/>
      <c r="J31" s="1114"/>
      <c r="K31" s="1114"/>
      <c r="L31" s="1114"/>
      <c r="M31" s="1119"/>
    </row>
    <row r="32" spans="1:13" ht="18">
      <c r="A32" s="1114"/>
      <c r="B32" s="1114"/>
      <c r="C32" s="1114"/>
      <c r="D32" s="1114"/>
      <c r="E32" s="1114"/>
      <c r="F32" s="1118"/>
      <c r="G32" s="1115"/>
      <c r="H32" s="1114"/>
      <c r="I32" s="1118"/>
      <c r="J32" s="1114"/>
      <c r="K32" s="1116"/>
      <c r="L32" s="1116"/>
      <c r="M32" s="1114"/>
    </row>
    <row r="33" spans="1:13" ht="18">
      <c r="A33" s="1114"/>
      <c r="B33" s="1114"/>
      <c r="C33" s="1114"/>
      <c r="D33" s="1114"/>
      <c r="E33" s="1114"/>
      <c r="F33" s="1118"/>
      <c r="G33" s="1115"/>
      <c r="H33" s="1114"/>
      <c r="I33" s="1114"/>
      <c r="J33" s="1114"/>
      <c r="K33" s="1116"/>
      <c r="L33" s="1116"/>
      <c r="M33" s="1114"/>
    </row>
    <row r="34" spans="1:13" ht="15.75" customHeight="1">
      <c r="A34" s="1232" t="s">
        <v>1770</v>
      </c>
      <c r="B34" s="1232"/>
      <c r="C34" s="1232"/>
      <c r="D34" s="1232"/>
      <c r="E34" s="1232"/>
      <c r="F34" s="1232"/>
      <c r="G34" s="1232"/>
      <c r="H34" s="1232"/>
      <c r="I34" s="1232"/>
      <c r="J34" s="1232"/>
      <c r="K34" s="1232"/>
      <c r="L34" s="1232"/>
      <c r="M34" s="1232"/>
    </row>
    <row r="35" spans="1:13" ht="15.75" customHeight="1">
      <c r="A35" s="1232" t="s">
        <v>1771</v>
      </c>
      <c r="B35" s="1232"/>
      <c r="C35" s="1232"/>
      <c r="D35" s="1232"/>
      <c r="E35" s="1232"/>
      <c r="F35" s="1232"/>
      <c r="G35" s="1232"/>
      <c r="H35" s="1232"/>
      <c r="I35" s="1232"/>
      <c r="J35" s="1232"/>
      <c r="K35" s="1232"/>
      <c r="L35" s="1232"/>
      <c r="M35" s="1232"/>
    </row>
    <row r="36" spans="1:13" ht="18">
      <c r="A36" s="1114"/>
      <c r="B36" s="1114"/>
      <c r="C36" s="1114"/>
      <c r="D36" s="1114"/>
      <c r="E36" s="1114"/>
      <c r="F36" s="1118"/>
      <c r="G36" s="1115"/>
      <c r="H36" s="1114"/>
      <c r="I36" s="1114"/>
      <c r="J36" s="1114"/>
      <c r="K36" s="1116"/>
      <c r="L36" s="1116"/>
      <c r="M36" s="1114"/>
    </row>
    <row r="37" spans="1:13" ht="18">
      <c r="A37" s="1120"/>
      <c r="B37" s="1121"/>
      <c r="C37" s="1121"/>
      <c r="D37" s="1121"/>
      <c r="E37" s="1121"/>
      <c r="F37" s="1122"/>
      <c r="G37" s="1123"/>
      <c r="H37" s="1121"/>
      <c r="I37" s="1121"/>
      <c r="J37" s="1121"/>
      <c r="K37" s="1124"/>
      <c r="L37" s="1124"/>
      <c r="M37" s="1125"/>
    </row>
    <row r="38" spans="1:13" ht="18">
      <c r="A38" s="1126" t="s">
        <v>1753</v>
      </c>
      <c r="B38" s="1127"/>
      <c r="C38" s="1127"/>
      <c r="D38" s="1127"/>
      <c r="E38" s="1127"/>
      <c r="F38" s="1128"/>
      <c r="G38" s="1129"/>
      <c r="H38" s="1127"/>
      <c r="I38" s="1127"/>
      <c r="J38" s="1127"/>
      <c r="K38" s="1130"/>
      <c r="L38" s="1130"/>
      <c r="M38" s="1131"/>
    </row>
    <row r="39" spans="1:13" ht="18">
      <c r="A39" s="1132"/>
      <c r="B39" s="1133"/>
      <c r="C39" s="1133"/>
      <c r="D39" s="1133"/>
      <c r="E39" s="1133"/>
      <c r="F39" s="1134"/>
      <c r="G39" s="1135"/>
      <c r="H39" s="1133"/>
      <c r="I39" s="1133"/>
      <c r="J39" s="1133"/>
      <c r="K39" s="1136"/>
      <c r="L39" s="1136"/>
      <c r="M39" s="1137"/>
    </row>
    <row r="40" spans="1:13" ht="18">
      <c r="A40" s="1114"/>
      <c r="B40" s="1114"/>
      <c r="C40" s="1114"/>
      <c r="D40" s="1114"/>
      <c r="E40" s="1114"/>
      <c r="F40" s="1118"/>
      <c r="G40" s="1115"/>
      <c r="H40" s="1114"/>
      <c r="I40" s="1114"/>
      <c r="J40" s="1114"/>
      <c r="K40" s="1116"/>
      <c r="L40" s="1116"/>
      <c r="M40" s="1114"/>
    </row>
    <row r="41" spans="1:13" ht="17.100000000000001" customHeight="1">
      <c r="A41" s="1233" t="s">
        <v>1772</v>
      </c>
      <c r="B41" s="1233"/>
      <c r="C41" s="1233"/>
      <c r="D41" s="1233"/>
      <c r="E41" s="1233"/>
      <c r="F41" s="1233"/>
      <c r="G41" s="1233"/>
      <c r="H41" s="1233"/>
      <c r="I41" s="1233"/>
      <c r="J41" s="1233"/>
      <c r="K41" s="1233"/>
      <c r="L41" s="1233"/>
      <c r="M41" s="1233"/>
    </row>
    <row r="42" spans="1:13" ht="17.100000000000001" customHeight="1">
      <c r="A42" s="1233"/>
      <c r="B42" s="1233"/>
      <c r="C42" s="1233"/>
      <c r="D42" s="1233"/>
      <c r="E42" s="1233"/>
      <c r="F42" s="1233"/>
      <c r="G42" s="1233"/>
      <c r="H42" s="1233"/>
      <c r="I42" s="1233"/>
      <c r="J42" s="1233"/>
      <c r="K42" s="1233"/>
      <c r="L42" s="1233"/>
      <c r="M42" s="1233"/>
    </row>
    <row r="43" spans="1:13" ht="17.100000000000001" customHeight="1">
      <c r="A43" s="1233"/>
      <c r="B43" s="1233"/>
      <c r="C43" s="1233"/>
      <c r="D43" s="1233"/>
      <c r="E43" s="1233"/>
      <c r="F43" s="1233"/>
      <c r="G43" s="1233"/>
      <c r="H43" s="1233"/>
      <c r="I43" s="1233"/>
      <c r="J43" s="1233"/>
      <c r="K43" s="1233"/>
      <c r="L43" s="1233"/>
      <c r="M43" s="1233"/>
    </row>
    <row r="44" spans="1:13" ht="17.100000000000001" customHeight="1">
      <c r="A44" s="1233"/>
      <c r="B44" s="1233"/>
      <c r="C44" s="1233"/>
      <c r="D44" s="1233"/>
      <c r="E44" s="1233"/>
      <c r="F44" s="1233"/>
      <c r="G44" s="1233"/>
      <c r="H44" s="1233"/>
      <c r="I44" s="1233"/>
      <c r="J44" s="1233"/>
      <c r="K44" s="1233"/>
      <c r="L44" s="1233"/>
      <c r="M44" s="1233"/>
    </row>
    <row r="45" spans="1:13" ht="17.100000000000001" customHeight="1">
      <c r="A45" s="1233"/>
      <c r="B45" s="1233"/>
      <c r="C45" s="1233"/>
      <c r="D45" s="1233"/>
      <c r="E45" s="1233"/>
      <c r="F45" s="1233"/>
      <c r="G45" s="1233"/>
      <c r="H45" s="1233"/>
      <c r="I45" s="1233"/>
      <c r="J45" s="1233"/>
      <c r="K45" s="1233"/>
      <c r="L45" s="1233"/>
      <c r="M45" s="1233"/>
    </row>
    <row r="46" spans="1:13" ht="17.100000000000001" customHeight="1">
      <c r="A46" s="1138"/>
      <c r="B46" s="1138"/>
      <c r="C46" s="1138"/>
      <c r="D46" s="1138"/>
      <c r="E46" s="1138"/>
      <c r="F46" s="1138"/>
      <c r="G46" s="1138"/>
      <c r="H46" s="1138"/>
      <c r="I46" s="1138"/>
      <c r="J46" s="1138"/>
      <c r="K46" s="1138"/>
      <c r="L46" s="1138"/>
      <c r="M46" s="1138"/>
    </row>
    <row r="47" spans="1:13" ht="15.75" customHeight="1">
      <c r="A47" s="1139"/>
      <c r="B47" s="1139"/>
      <c r="C47" s="1139"/>
      <c r="D47" s="1139"/>
      <c r="E47" s="1139"/>
      <c r="F47" s="1139"/>
      <c r="G47" s="1139"/>
      <c r="H47" s="1139"/>
      <c r="I47" s="1139"/>
      <c r="J47" s="1139"/>
      <c r="K47" s="1139"/>
      <c r="L47" s="1139"/>
      <c r="M47" s="1139"/>
    </row>
    <row r="48" spans="1:13" ht="20.100000000000001" customHeight="1">
      <c r="A48" s="1227" t="s">
        <v>1881</v>
      </c>
      <c r="B48" s="1227"/>
      <c r="C48" s="1227"/>
      <c r="D48" s="1227"/>
      <c r="E48" s="1227"/>
      <c r="F48" s="1227"/>
      <c r="G48" s="1227"/>
      <c r="H48" s="1227"/>
      <c r="I48" s="1227"/>
      <c r="J48" s="1227"/>
      <c r="K48" s="1227"/>
      <c r="L48" s="1227"/>
      <c r="M48" s="1227"/>
    </row>
    <row r="49" spans="1:13" ht="20.100000000000001" customHeight="1">
      <c r="A49" s="1227"/>
      <c r="B49" s="1227"/>
      <c r="C49" s="1227"/>
      <c r="D49" s="1227"/>
      <c r="E49" s="1227"/>
      <c r="F49" s="1227"/>
      <c r="G49" s="1227"/>
      <c r="H49" s="1227"/>
      <c r="I49" s="1227"/>
      <c r="J49" s="1227"/>
      <c r="K49" s="1227"/>
      <c r="L49" s="1227"/>
      <c r="M49" s="1227"/>
    </row>
    <row r="50" spans="1:13" ht="20.100000000000001" customHeight="1">
      <c r="A50" s="1227"/>
      <c r="B50" s="1227"/>
      <c r="C50" s="1227"/>
      <c r="D50" s="1227"/>
      <c r="E50" s="1227"/>
      <c r="F50" s="1227"/>
      <c r="G50" s="1227"/>
      <c r="H50" s="1227"/>
      <c r="I50" s="1227"/>
      <c r="J50" s="1227"/>
      <c r="K50" s="1227"/>
      <c r="L50" s="1227"/>
      <c r="M50" s="1227"/>
    </row>
    <row r="51" spans="1:13" ht="20.100000000000001" customHeight="1">
      <c r="A51" s="1227"/>
      <c r="B51" s="1227"/>
      <c r="C51" s="1227"/>
      <c r="D51" s="1227"/>
      <c r="E51" s="1227"/>
      <c r="F51" s="1227"/>
      <c r="G51" s="1227"/>
      <c r="H51" s="1227"/>
      <c r="I51" s="1227"/>
      <c r="J51" s="1227"/>
      <c r="K51" s="1227"/>
      <c r="L51" s="1227"/>
      <c r="M51" s="1227"/>
    </row>
    <row r="52" spans="1:13" ht="15.75" customHeight="1">
      <c r="A52" s="1139"/>
      <c r="B52" s="1139"/>
      <c r="C52" s="1139"/>
      <c r="D52" s="1139"/>
      <c r="E52" s="1139"/>
      <c r="F52" s="1139"/>
      <c r="G52" s="1139"/>
      <c r="H52" s="1139"/>
      <c r="I52" s="1139"/>
      <c r="J52" s="1139"/>
      <c r="K52" s="1139"/>
      <c r="L52" s="1139"/>
      <c r="M52" s="1139"/>
    </row>
    <row r="53" spans="1:13" ht="18" customHeight="1">
      <c r="A53" s="1227" t="s">
        <v>1754</v>
      </c>
      <c r="B53" s="1227"/>
      <c r="C53" s="1227"/>
      <c r="D53" s="1227"/>
      <c r="E53" s="1227"/>
      <c r="F53" s="1227"/>
      <c r="G53" s="1227"/>
      <c r="H53" s="1227"/>
      <c r="I53" s="1227"/>
      <c r="J53" s="1227"/>
      <c r="K53" s="1227"/>
      <c r="L53" s="1227"/>
      <c r="M53" s="1227"/>
    </row>
    <row r="54" spans="1:13" ht="18" customHeight="1">
      <c r="A54" s="1227"/>
      <c r="B54" s="1227"/>
      <c r="C54" s="1227"/>
      <c r="D54" s="1227"/>
      <c r="E54" s="1227"/>
      <c r="F54" s="1227"/>
      <c r="G54" s="1227"/>
      <c r="H54" s="1227"/>
      <c r="I54" s="1227"/>
      <c r="J54" s="1227"/>
      <c r="K54" s="1227"/>
      <c r="L54" s="1227"/>
      <c r="M54" s="1227"/>
    </row>
    <row r="55" spans="1:13" ht="18" customHeight="1">
      <c r="A55" s="1227"/>
      <c r="B55" s="1227"/>
      <c r="C55" s="1227"/>
      <c r="D55" s="1227"/>
      <c r="E55" s="1227"/>
      <c r="F55" s="1227"/>
      <c r="G55" s="1227"/>
      <c r="H55" s="1227"/>
      <c r="I55" s="1227"/>
      <c r="J55" s="1227"/>
      <c r="K55" s="1227"/>
      <c r="L55" s="1227"/>
      <c r="M55" s="1227"/>
    </row>
    <row r="56" spans="1:13" ht="15.75" customHeight="1">
      <c r="A56" s="1140"/>
      <c r="B56" s="1140"/>
      <c r="C56" s="1140"/>
      <c r="D56" s="1140"/>
      <c r="E56" s="1140"/>
      <c r="F56" s="1140"/>
      <c r="G56" s="1140"/>
      <c r="H56" s="1140"/>
      <c r="I56" s="1140"/>
      <c r="J56" s="1140"/>
      <c r="K56" s="1140"/>
      <c r="L56" s="1140"/>
      <c r="M56" s="1140"/>
    </row>
    <row r="57" spans="1:13" ht="20.100000000000001" customHeight="1">
      <c r="A57" s="1227" t="s">
        <v>1755</v>
      </c>
      <c r="B57" s="1227"/>
      <c r="C57" s="1227"/>
      <c r="D57" s="1227"/>
      <c r="E57" s="1227"/>
      <c r="F57" s="1227"/>
      <c r="G57" s="1227"/>
      <c r="H57" s="1227"/>
      <c r="I57" s="1227"/>
      <c r="J57" s="1227"/>
      <c r="K57" s="1227"/>
      <c r="L57" s="1227"/>
      <c r="M57" s="1227"/>
    </row>
    <row r="58" spans="1:13" ht="20.100000000000001" customHeight="1">
      <c r="A58" s="1227"/>
      <c r="B58" s="1227"/>
      <c r="C58" s="1227"/>
      <c r="D58" s="1227"/>
      <c r="E58" s="1227"/>
      <c r="F58" s="1227"/>
      <c r="G58" s="1227"/>
      <c r="H58" s="1227"/>
      <c r="I58" s="1227"/>
      <c r="J58" s="1227"/>
      <c r="K58" s="1227"/>
      <c r="L58" s="1227"/>
      <c r="M58" s="1227"/>
    </row>
    <row r="59" spans="1:13" ht="15.75" customHeight="1">
      <c r="A59" s="1141"/>
      <c r="B59" s="1141"/>
      <c r="C59" s="1141"/>
      <c r="D59" s="1141"/>
      <c r="E59" s="1141"/>
      <c r="F59" s="1141"/>
      <c r="G59" s="1141"/>
      <c r="H59" s="1141"/>
      <c r="I59" s="1141"/>
      <c r="J59" s="1141"/>
      <c r="K59" s="1141"/>
      <c r="L59" s="1141"/>
      <c r="M59" s="1141"/>
    </row>
    <row r="60" spans="1:13" ht="18" customHeight="1">
      <c r="A60" s="1228" t="s">
        <v>1756</v>
      </c>
      <c r="B60" s="1228"/>
      <c r="C60" s="1228"/>
      <c r="D60" s="1228"/>
      <c r="E60" s="1228"/>
      <c r="F60" s="1228"/>
      <c r="G60" s="1228"/>
      <c r="H60" s="1228"/>
      <c r="I60" s="1228"/>
      <c r="J60" s="1228"/>
      <c r="K60" s="1228"/>
      <c r="L60" s="1228"/>
      <c r="M60" s="1228"/>
    </row>
    <row r="61" spans="1:13" ht="18" customHeight="1">
      <c r="A61" s="1228"/>
      <c r="B61" s="1228"/>
      <c r="C61" s="1228"/>
      <c r="D61" s="1228"/>
      <c r="E61" s="1228"/>
      <c r="F61" s="1228"/>
      <c r="G61" s="1228"/>
      <c r="H61" s="1228"/>
      <c r="I61" s="1228"/>
      <c r="J61" s="1228"/>
      <c r="K61" s="1228"/>
      <c r="L61" s="1228"/>
      <c r="M61" s="1228"/>
    </row>
    <row r="62" spans="1:13" ht="18">
      <c r="A62" s="1114"/>
      <c r="B62" s="1114"/>
      <c r="C62" s="1114"/>
      <c r="D62" s="1114"/>
      <c r="E62" s="1114"/>
      <c r="F62" s="1118"/>
      <c r="G62" s="1115"/>
      <c r="H62" s="1114"/>
      <c r="I62" s="1114"/>
      <c r="J62" s="1114"/>
      <c r="K62" s="1116"/>
      <c r="L62" s="1116"/>
      <c r="M62" s="1114"/>
    </row>
    <row r="63" spans="1:13" ht="20.100000000000001" customHeight="1">
      <c r="A63" s="1228" t="s">
        <v>1757</v>
      </c>
      <c r="B63" s="1228"/>
      <c r="C63" s="1228"/>
      <c r="D63" s="1228"/>
      <c r="E63" s="1228"/>
      <c r="F63" s="1228"/>
      <c r="G63" s="1228"/>
      <c r="H63" s="1228"/>
      <c r="I63" s="1228"/>
      <c r="J63" s="1228"/>
      <c r="K63" s="1228"/>
      <c r="L63" s="1228"/>
      <c r="M63" s="1228"/>
    </row>
    <row r="64" spans="1:13" ht="15.75" customHeight="1">
      <c r="A64" s="1228"/>
      <c r="B64" s="1228"/>
      <c r="C64" s="1228"/>
      <c r="D64" s="1228"/>
      <c r="E64" s="1228"/>
      <c r="F64" s="1228"/>
      <c r="G64" s="1228"/>
      <c r="H64" s="1228"/>
      <c r="I64" s="1228"/>
      <c r="J64" s="1228"/>
      <c r="K64" s="1228"/>
      <c r="L64" s="1228"/>
      <c r="M64" s="1228"/>
    </row>
    <row r="65" spans="1:13" ht="15.75" customHeight="1">
      <c r="A65" s="1142"/>
      <c r="B65" s="1142"/>
      <c r="C65" s="1142"/>
      <c r="D65" s="1142"/>
      <c r="E65" s="1142"/>
      <c r="F65" s="1142"/>
      <c r="G65" s="1142"/>
      <c r="H65" s="1142"/>
      <c r="I65" s="1142"/>
      <c r="J65" s="1142"/>
      <c r="K65" s="1142"/>
      <c r="L65" s="1142"/>
      <c r="M65" s="1142"/>
    </row>
    <row r="66" spans="1:13" ht="15.75" customHeight="1">
      <c r="A66" s="1229" t="s">
        <v>1758</v>
      </c>
      <c r="B66" s="1229"/>
      <c r="C66" s="1229"/>
      <c r="D66" s="1229"/>
      <c r="E66" s="1229"/>
      <c r="F66" s="1229"/>
      <c r="G66" s="1229"/>
      <c r="H66" s="1229"/>
      <c r="I66" s="1229"/>
      <c r="J66" s="1229"/>
      <c r="K66" s="1229"/>
      <c r="L66" s="1229"/>
      <c r="M66" s="1229"/>
    </row>
    <row r="67" spans="1:13" ht="15.75" customHeight="1">
      <c r="A67" s="1143"/>
      <c r="B67" s="1143"/>
      <c r="C67" s="1143"/>
      <c r="D67" s="1143"/>
      <c r="E67" s="1143"/>
      <c r="F67" s="1143"/>
      <c r="G67" s="1143"/>
      <c r="H67" s="1143"/>
      <c r="I67" s="1143"/>
      <c r="J67" s="1143"/>
      <c r="K67" s="1143"/>
      <c r="L67" s="1143"/>
      <c r="M67" s="1143"/>
    </row>
    <row r="68" spans="1:13" ht="23.25">
      <c r="A68" s="1230" t="s">
        <v>975</v>
      </c>
      <c r="B68" s="1230"/>
      <c r="C68" s="1230"/>
      <c r="D68" s="1230"/>
      <c r="E68" s="1230"/>
      <c r="F68" s="1230"/>
      <c r="G68" s="1230"/>
      <c r="H68" s="1230"/>
      <c r="I68" s="1230"/>
      <c r="J68" s="1230"/>
      <c r="K68" s="1230"/>
      <c r="L68" s="1230"/>
      <c r="M68" s="1230"/>
    </row>
    <row r="69" spans="1:13" ht="15.75" customHeight="1">
      <c r="C69" s="1144"/>
      <c r="D69" s="1144"/>
      <c r="E69" s="1144"/>
      <c r="F69" s="1144"/>
      <c r="G69" s="1144"/>
      <c r="H69" s="1144"/>
      <c r="I69" s="1144"/>
      <c r="J69" s="1144"/>
      <c r="K69" s="1144"/>
      <c r="L69" s="1144"/>
      <c r="M69" s="1144"/>
    </row>
    <row r="70" spans="1:13" ht="15.75" customHeight="1">
      <c r="C70" s="1144"/>
      <c r="D70" s="1144"/>
      <c r="E70" s="1144"/>
      <c r="F70" s="1144"/>
      <c r="G70" s="1144"/>
      <c r="H70" s="1144"/>
      <c r="I70" s="1144"/>
      <c r="J70" s="1144"/>
      <c r="K70" s="1144"/>
      <c r="L70" s="1144"/>
      <c r="M70" s="1144"/>
    </row>
    <row r="71" spans="1:13" ht="15.75" customHeight="1">
      <c r="C71" s="1144"/>
      <c r="D71" s="1144"/>
      <c r="E71" s="1144"/>
      <c r="F71" s="1144"/>
      <c r="G71" s="1144"/>
      <c r="H71" s="1144"/>
      <c r="I71" s="1144"/>
      <c r="J71" s="1144"/>
      <c r="K71" s="1144"/>
      <c r="L71" s="1144"/>
      <c r="M71" s="1144"/>
    </row>
    <row r="72" spans="1:13" ht="15.75" customHeight="1">
      <c r="C72" s="1144"/>
      <c r="D72" s="1144"/>
      <c r="E72" s="1144"/>
      <c r="F72" s="1144"/>
      <c r="G72" s="1144"/>
      <c r="H72" s="1144"/>
      <c r="I72" s="1144"/>
      <c r="J72" s="1144"/>
      <c r="K72" s="1144"/>
      <c r="L72" s="1144"/>
      <c r="M72" s="1144"/>
    </row>
    <row r="73" spans="1:13" ht="15.75" customHeight="1">
      <c r="C73" s="1144"/>
      <c r="D73" s="1144"/>
      <c r="E73" s="1144"/>
      <c r="F73" s="1144"/>
      <c r="G73" s="1144"/>
      <c r="H73" s="1144"/>
      <c r="I73" s="1144"/>
      <c r="J73" s="1144"/>
      <c r="K73" s="1144"/>
      <c r="L73" s="1144"/>
      <c r="M73" s="1144"/>
    </row>
    <row r="74" spans="1:13" ht="15.75" customHeight="1">
      <c r="C74" s="1144"/>
      <c r="D74" s="1144"/>
      <c r="E74" s="1144"/>
      <c r="F74" s="1144"/>
      <c r="G74" s="1144"/>
      <c r="H74" s="1144"/>
      <c r="I74" s="1144"/>
      <c r="J74" s="1144"/>
      <c r="K74" s="1144"/>
      <c r="L74" s="1144"/>
      <c r="M74" s="1144"/>
    </row>
    <row r="75" spans="1:13" ht="15.75" customHeight="1">
      <c r="C75" s="1144"/>
      <c r="D75" s="1144"/>
      <c r="E75" s="1144"/>
      <c r="F75" s="1144"/>
      <c r="G75" s="1144"/>
      <c r="H75" s="1144"/>
      <c r="I75" s="1144"/>
      <c r="J75" s="1144"/>
      <c r="K75" s="1144"/>
      <c r="L75" s="1144"/>
      <c r="M75" s="1144"/>
    </row>
    <row r="76" spans="1:13" ht="15.75" customHeight="1">
      <c r="C76" s="1144"/>
      <c r="D76" s="1144"/>
      <c r="E76" s="1144"/>
      <c r="F76" s="1144"/>
      <c r="G76" s="1144"/>
      <c r="H76" s="1144"/>
      <c r="I76" s="1144"/>
      <c r="J76" s="1144"/>
      <c r="K76" s="1144"/>
      <c r="L76" s="1144"/>
      <c r="M76" s="1144"/>
    </row>
    <row r="77" spans="1:13" ht="15.75" customHeight="1">
      <c r="C77" s="1144"/>
      <c r="D77" s="1144"/>
      <c r="E77" s="1144"/>
      <c r="F77" s="1144"/>
      <c r="G77" s="1144"/>
      <c r="H77" s="1144"/>
      <c r="I77" s="1144"/>
      <c r="J77" s="1144"/>
      <c r="K77" s="1144"/>
      <c r="L77" s="1144"/>
      <c r="M77" s="1144"/>
    </row>
    <row r="78" spans="1:13" ht="15.75" customHeight="1">
      <c r="C78" s="1144"/>
      <c r="D78" s="1144"/>
      <c r="E78" s="1144"/>
      <c r="F78" s="1144"/>
      <c r="G78" s="1144"/>
      <c r="H78" s="1144"/>
      <c r="I78" s="1144"/>
      <c r="J78" s="1144"/>
      <c r="K78" s="1144"/>
      <c r="L78" s="1144"/>
      <c r="M78" s="1144"/>
    </row>
    <row r="79" spans="1:13" ht="15.75" customHeight="1">
      <c r="C79" s="1144"/>
      <c r="D79" s="1144"/>
      <c r="E79" s="1144"/>
      <c r="F79" s="1144"/>
      <c r="G79" s="1144"/>
      <c r="H79" s="1144"/>
      <c r="I79" s="1144"/>
      <c r="J79" s="1144"/>
      <c r="K79" s="1144"/>
      <c r="L79" s="1144"/>
      <c r="M79" s="1144"/>
    </row>
    <row r="80" spans="1:13" ht="15.75" customHeight="1">
      <c r="C80" s="1144"/>
      <c r="D80" s="1144"/>
      <c r="E80" s="1144"/>
      <c r="F80" s="1144"/>
      <c r="G80" s="1144"/>
      <c r="H80" s="1144"/>
      <c r="I80" s="1144"/>
      <c r="J80" s="1144"/>
      <c r="K80" s="1144"/>
      <c r="L80" s="1144"/>
      <c r="M80" s="1144"/>
    </row>
    <row r="81" spans="3:13" ht="15.75" customHeight="1">
      <c r="C81" s="1144"/>
      <c r="D81" s="1144"/>
      <c r="E81" s="1144"/>
      <c r="F81" s="1144"/>
      <c r="G81" s="1144"/>
      <c r="H81" s="1144"/>
      <c r="I81" s="1144"/>
      <c r="J81" s="1144"/>
      <c r="K81" s="1144"/>
      <c r="L81" s="1144"/>
      <c r="M81" s="1144"/>
    </row>
    <row r="82" spans="3:13" ht="15.75" customHeight="1">
      <c r="C82" s="1144"/>
      <c r="D82" s="1144"/>
      <c r="E82" s="1144"/>
      <c r="F82" s="1144"/>
      <c r="G82" s="1144"/>
      <c r="H82" s="1144"/>
      <c r="I82" s="1144"/>
      <c r="J82" s="1144"/>
      <c r="K82" s="1144"/>
      <c r="L82" s="1144"/>
      <c r="M82" s="1144"/>
    </row>
    <row r="83" spans="3:13" ht="15.75" customHeight="1">
      <c r="C83" s="1144"/>
      <c r="D83" s="1144"/>
      <c r="E83" s="1144"/>
      <c r="F83" s="1144"/>
      <c r="G83" s="1144"/>
      <c r="H83" s="1144"/>
      <c r="I83" s="1144"/>
      <c r="J83" s="1144"/>
      <c r="K83" s="1144"/>
      <c r="L83" s="1144"/>
      <c r="M83" s="1144"/>
    </row>
  </sheetData>
  <mergeCells count="24">
    <mergeCell ref="A9:M9"/>
    <mergeCell ref="A2:M2"/>
    <mergeCell ref="A3:M3"/>
    <mergeCell ref="A4:M4"/>
    <mergeCell ref="A5:M5"/>
    <mergeCell ref="A8:M8"/>
    <mergeCell ref="A48:M51"/>
    <mergeCell ref="A53:M55"/>
    <mergeCell ref="A10:M13"/>
    <mergeCell ref="I20:L20"/>
    <mergeCell ref="I22:L22"/>
    <mergeCell ref="I23:L23"/>
    <mergeCell ref="I24:L24"/>
    <mergeCell ref="I25:L25"/>
    <mergeCell ref="I21:L21"/>
    <mergeCell ref="I26:L26"/>
    <mergeCell ref="A34:M34"/>
    <mergeCell ref="A35:M35"/>
    <mergeCell ref="A41:M45"/>
    <mergeCell ref="A57:M58"/>
    <mergeCell ref="A60:M61"/>
    <mergeCell ref="A63:M64"/>
    <mergeCell ref="A66:M66"/>
    <mergeCell ref="A68:M68"/>
  </mergeCells>
  <printOptions horizontalCentered="1"/>
  <pageMargins left="0.75" right="0.75" top="0.5" bottom="0" header="0.5" footer="0"/>
  <pageSetup paperSize="14" scale="72" orientation="portrait" r:id="rId1"/>
  <headerFooter alignWithMargins="0">
    <oddFooter xml:space="preserve">&amp;C&amp;"Times New Roman,Bold"&amp;14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workbookViewId="0">
      <selection activeCell="A4" sqref="A4:L78"/>
    </sheetView>
  </sheetViews>
  <sheetFormatPr defaultRowHeight="12.75"/>
  <cols>
    <col min="1" max="1" width="9.5703125" customWidth="1"/>
    <col min="2" max="2" width="11.140625" customWidth="1"/>
    <col min="4" max="4" width="9.85546875" customWidth="1"/>
    <col min="5" max="5" width="9.5703125" customWidth="1"/>
    <col min="6" max="6" width="10" customWidth="1"/>
    <col min="7" max="7" width="10.140625" customWidth="1"/>
    <col min="8" max="8" width="10.7109375" customWidth="1"/>
    <col min="9" max="9" width="9.85546875" customWidth="1"/>
    <col min="10" max="10" width="11" customWidth="1"/>
    <col min="11" max="11" width="10.85546875" customWidth="1"/>
    <col min="12" max="12" width="14.7109375" customWidth="1"/>
  </cols>
  <sheetData>
    <row r="1" spans="1:12">
      <c r="A1" s="7"/>
      <c r="L1" s="51"/>
    </row>
    <row r="4" spans="1:12">
      <c r="A4" s="1245" t="s">
        <v>642</v>
      </c>
      <c r="B4" s="1245"/>
      <c r="C4" s="1245"/>
      <c r="D4" s="1245"/>
      <c r="E4" s="1245"/>
      <c r="F4" s="1245"/>
      <c r="G4" s="1245"/>
      <c r="H4" s="1245"/>
      <c r="I4" s="1245"/>
      <c r="J4" s="1245"/>
      <c r="K4" s="1245"/>
      <c r="L4" s="1245"/>
    </row>
    <row r="5" spans="1:12">
      <c r="A5" s="1245" t="s">
        <v>358</v>
      </c>
      <c r="B5" s="1245"/>
      <c r="C5" s="1245"/>
      <c r="D5" s="1245"/>
      <c r="E5" s="1245"/>
      <c r="F5" s="1245"/>
      <c r="G5" s="1245"/>
      <c r="H5" s="1245"/>
      <c r="I5" s="1245"/>
      <c r="J5" s="1245"/>
      <c r="K5" s="1245"/>
      <c r="L5" s="1245"/>
    </row>
    <row r="6" spans="1:12">
      <c r="A6" s="1245" t="s">
        <v>1686</v>
      </c>
      <c r="B6" s="1245"/>
      <c r="C6" s="1245"/>
      <c r="D6" s="1245"/>
      <c r="E6" s="1245"/>
      <c r="F6" s="1245"/>
      <c r="G6" s="1245"/>
      <c r="H6" s="1245"/>
      <c r="I6" s="1245"/>
      <c r="J6" s="1245"/>
      <c r="K6" s="1245"/>
      <c r="L6" s="1245"/>
    </row>
    <row r="9" spans="1:12" s="7" customFormat="1">
      <c r="A9" s="62"/>
      <c r="B9" s="64"/>
      <c r="C9" s="59"/>
      <c r="D9" s="64"/>
      <c r="E9" s="64"/>
      <c r="F9" s="59"/>
      <c r="G9" s="59"/>
      <c r="H9" s="59"/>
      <c r="I9" s="62"/>
      <c r="J9" s="59"/>
      <c r="K9" s="60"/>
      <c r="L9" s="64"/>
    </row>
    <row r="10" spans="1:12" s="7" customFormat="1">
      <c r="A10" s="55"/>
      <c r="B10" s="65" t="s">
        <v>643</v>
      </c>
      <c r="C10" s="19"/>
      <c r="D10" s="65" t="s">
        <v>644</v>
      </c>
      <c r="E10" s="66"/>
      <c r="F10" s="1447" t="s">
        <v>646</v>
      </c>
      <c r="G10" s="1448"/>
      <c r="H10" s="1449"/>
      <c r="I10" s="1456" t="s">
        <v>166</v>
      </c>
      <c r="J10" s="1457"/>
      <c r="K10" s="1458"/>
      <c r="L10" s="65" t="s">
        <v>647</v>
      </c>
    </row>
    <row r="11" spans="1:12" s="7" customFormat="1">
      <c r="A11" s="55" t="s">
        <v>167</v>
      </c>
      <c r="B11" s="65" t="s">
        <v>171</v>
      </c>
      <c r="C11" s="61" t="s">
        <v>168</v>
      </c>
      <c r="D11" s="65" t="s">
        <v>172</v>
      </c>
      <c r="E11" s="65" t="s">
        <v>645</v>
      </c>
      <c r="F11" s="1450"/>
      <c r="G11" s="1451"/>
      <c r="H11" s="1452"/>
      <c r="I11" s="1453" t="s">
        <v>170</v>
      </c>
      <c r="J11" s="1454"/>
      <c r="K11" s="1455"/>
      <c r="L11" s="65" t="s">
        <v>169</v>
      </c>
    </row>
    <row r="12" spans="1:12" s="7" customFormat="1">
      <c r="A12" s="55"/>
      <c r="B12" s="66"/>
      <c r="C12" s="19"/>
      <c r="D12" s="66"/>
      <c r="E12" s="66"/>
      <c r="F12" s="67" t="s">
        <v>169</v>
      </c>
      <c r="G12" s="67" t="s">
        <v>173</v>
      </c>
      <c r="H12" s="67" t="s">
        <v>174</v>
      </c>
      <c r="I12" s="61" t="s">
        <v>169</v>
      </c>
      <c r="J12" s="67" t="s">
        <v>173</v>
      </c>
      <c r="K12" s="56" t="s">
        <v>174</v>
      </c>
      <c r="L12" s="66"/>
    </row>
    <row r="13" spans="1:12" s="72" customFormat="1" ht="11.25">
      <c r="A13" s="68"/>
      <c r="B13" s="69"/>
      <c r="C13" s="70"/>
      <c r="D13" s="69"/>
      <c r="E13" s="69"/>
      <c r="F13" s="69"/>
      <c r="G13" s="69"/>
      <c r="H13" s="69"/>
      <c r="I13" s="70"/>
      <c r="J13" s="69"/>
      <c r="K13" s="71"/>
      <c r="L13" s="69"/>
    </row>
    <row r="14" spans="1:12">
      <c r="A14" s="4"/>
      <c r="B14" s="26"/>
      <c r="C14" s="3"/>
      <c r="D14" s="26"/>
      <c r="E14" s="26"/>
      <c r="F14" s="26"/>
      <c r="G14" s="26"/>
      <c r="H14" s="26"/>
      <c r="I14" s="3"/>
      <c r="J14" s="26"/>
      <c r="K14" s="3"/>
      <c r="L14" s="57"/>
    </row>
    <row r="15" spans="1:12">
      <c r="A15" s="100" t="s">
        <v>175</v>
      </c>
      <c r="B15" s="100" t="s">
        <v>175</v>
      </c>
      <c r="C15" s="100" t="s">
        <v>175</v>
      </c>
      <c r="D15" s="100" t="s">
        <v>175</v>
      </c>
      <c r="E15" s="100" t="s">
        <v>175</v>
      </c>
      <c r="F15" s="100" t="s">
        <v>175</v>
      </c>
      <c r="G15" s="100" t="s">
        <v>175</v>
      </c>
      <c r="H15" s="100" t="s">
        <v>175</v>
      </c>
      <c r="I15" s="100" t="s">
        <v>175</v>
      </c>
      <c r="J15" s="100" t="s">
        <v>175</v>
      </c>
      <c r="K15" s="100" t="s">
        <v>175</v>
      </c>
      <c r="L15" s="101" t="s">
        <v>175</v>
      </c>
    </row>
    <row r="16" spans="1:12">
      <c r="A16" s="4"/>
      <c r="B16" s="26"/>
      <c r="C16" s="3"/>
      <c r="D16" s="26"/>
      <c r="E16" s="26"/>
      <c r="F16" s="26"/>
      <c r="G16" s="26"/>
      <c r="H16" s="26"/>
      <c r="I16" s="3"/>
      <c r="J16" s="26"/>
      <c r="K16" s="3"/>
      <c r="L16" s="26"/>
    </row>
    <row r="17" spans="1:12">
      <c r="A17" s="4"/>
      <c r="B17" s="26"/>
      <c r="C17" s="3"/>
      <c r="D17" s="26"/>
      <c r="E17" s="26"/>
      <c r="F17" s="26"/>
      <c r="G17" s="26"/>
      <c r="H17" s="26"/>
      <c r="I17" s="3"/>
      <c r="J17" s="26"/>
      <c r="K17" s="3"/>
      <c r="L17" s="26"/>
    </row>
    <row r="18" spans="1:12">
      <c r="A18" s="4"/>
      <c r="B18" s="26"/>
      <c r="C18" s="3"/>
      <c r="D18" s="26"/>
      <c r="E18" s="26"/>
      <c r="F18" s="26"/>
      <c r="G18" s="26"/>
      <c r="H18" s="26"/>
      <c r="I18" s="3"/>
      <c r="J18" s="26"/>
      <c r="K18" s="3"/>
      <c r="L18" s="26"/>
    </row>
    <row r="19" spans="1:12">
      <c r="A19" s="4"/>
      <c r="B19" s="26"/>
      <c r="C19" s="3"/>
      <c r="D19" s="26"/>
      <c r="E19" s="26"/>
      <c r="F19" s="26"/>
      <c r="G19" s="26"/>
      <c r="H19" s="26"/>
      <c r="I19" s="3"/>
      <c r="J19" s="26"/>
      <c r="K19" s="3"/>
      <c r="L19" s="26"/>
    </row>
    <row r="20" spans="1:12">
      <c r="A20" s="4"/>
      <c r="B20" s="26"/>
      <c r="C20" s="3"/>
      <c r="D20" s="26"/>
      <c r="E20" s="26"/>
      <c r="F20" s="26"/>
      <c r="G20" s="26"/>
      <c r="H20" s="26"/>
      <c r="I20" s="3"/>
      <c r="J20" s="26"/>
      <c r="K20" s="3"/>
      <c r="L20" s="26"/>
    </row>
    <row r="21" spans="1:12">
      <c r="A21" s="4"/>
      <c r="B21" s="26"/>
      <c r="C21" s="3"/>
      <c r="D21" s="26"/>
      <c r="E21" s="26"/>
      <c r="F21" s="26"/>
      <c r="G21" s="26"/>
      <c r="H21" s="26"/>
      <c r="I21" s="3"/>
      <c r="J21" s="26"/>
      <c r="K21" s="3"/>
      <c r="L21" s="26"/>
    </row>
    <row r="22" spans="1:12">
      <c r="A22" s="4"/>
      <c r="B22" s="26"/>
      <c r="C22" s="3"/>
      <c r="D22" s="26"/>
      <c r="E22" s="26"/>
      <c r="F22" s="26"/>
      <c r="G22" s="26"/>
      <c r="H22" s="26"/>
      <c r="I22" s="3"/>
      <c r="J22" s="26"/>
      <c r="K22" s="3"/>
      <c r="L22" s="26"/>
    </row>
    <row r="23" spans="1:12">
      <c r="A23" s="4"/>
      <c r="B23" s="26"/>
      <c r="C23" s="3"/>
      <c r="D23" s="26"/>
      <c r="E23" s="26"/>
      <c r="F23" s="26"/>
      <c r="G23" s="26"/>
      <c r="H23" s="26"/>
      <c r="I23" s="3"/>
      <c r="J23" s="26"/>
      <c r="K23" s="3"/>
      <c r="L23" s="26"/>
    </row>
    <row r="24" spans="1:12">
      <c r="A24" s="4"/>
      <c r="B24" s="26"/>
      <c r="C24" s="3"/>
      <c r="D24" s="26"/>
      <c r="E24" s="26"/>
      <c r="F24" s="26"/>
      <c r="G24" s="26"/>
      <c r="H24" s="26"/>
      <c r="I24" s="3"/>
      <c r="J24" s="26"/>
      <c r="K24" s="3"/>
      <c r="L24" s="26"/>
    </row>
    <row r="25" spans="1:12">
      <c r="A25" s="4"/>
      <c r="B25" s="26"/>
      <c r="C25" s="3"/>
      <c r="D25" s="26"/>
      <c r="E25" s="26"/>
      <c r="F25" s="26"/>
      <c r="G25" s="26"/>
      <c r="H25" s="26"/>
      <c r="I25" s="3"/>
      <c r="J25" s="26"/>
      <c r="K25" s="3"/>
      <c r="L25" s="26"/>
    </row>
    <row r="26" spans="1:12">
      <c r="A26" s="4"/>
      <c r="B26" s="26"/>
      <c r="C26" s="3"/>
      <c r="D26" s="26"/>
      <c r="E26" s="26"/>
      <c r="F26" s="26"/>
      <c r="G26" s="26"/>
      <c r="H26" s="26"/>
      <c r="I26" s="3"/>
      <c r="J26" s="26"/>
      <c r="K26" s="3"/>
      <c r="L26" s="26"/>
    </row>
    <row r="27" spans="1:12">
      <c r="A27" s="4"/>
      <c r="B27" s="26"/>
      <c r="C27" s="3"/>
      <c r="D27" s="26"/>
      <c r="E27" s="26"/>
      <c r="F27" s="26"/>
      <c r="G27" s="26"/>
      <c r="H27" s="26"/>
      <c r="I27" s="3"/>
      <c r="J27" s="26"/>
      <c r="K27" s="3"/>
      <c r="L27" s="26"/>
    </row>
    <row r="28" spans="1:12">
      <c r="A28" s="4"/>
      <c r="B28" s="26"/>
      <c r="C28" s="3"/>
      <c r="D28" s="26"/>
      <c r="E28" s="26"/>
      <c r="F28" s="26"/>
      <c r="G28" s="26"/>
      <c r="H28" s="26"/>
      <c r="I28" s="3"/>
      <c r="J28" s="26"/>
      <c r="K28" s="3"/>
      <c r="L28" s="26"/>
    </row>
    <row r="29" spans="1:12">
      <c r="A29" s="4"/>
      <c r="B29" s="26"/>
      <c r="C29" s="3"/>
      <c r="D29" s="26"/>
      <c r="E29" s="26"/>
      <c r="F29" s="26"/>
      <c r="G29" s="26"/>
      <c r="H29" s="26"/>
      <c r="I29" s="3"/>
      <c r="J29" s="26"/>
      <c r="K29" s="3"/>
      <c r="L29" s="26"/>
    </row>
    <row r="30" spans="1:12">
      <c r="A30" s="4"/>
      <c r="B30" s="26"/>
      <c r="C30" s="3"/>
      <c r="D30" s="26"/>
      <c r="E30" s="26"/>
      <c r="F30" s="26"/>
      <c r="G30" s="26"/>
      <c r="H30" s="26"/>
      <c r="I30" s="3"/>
      <c r="J30" s="26"/>
      <c r="K30" s="3"/>
      <c r="L30" s="26"/>
    </row>
    <row r="31" spans="1:12">
      <c r="A31" s="4"/>
      <c r="B31" s="26"/>
      <c r="C31" s="3"/>
      <c r="D31" s="26"/>
      <c r="E31" s="26"/>
      <c r="F31" s="26"/>
      <c r="G31" s="26"/>
      <c r="H31" s="26"/>
      <c r="I31" s="3"/>
      <c r="J31" s="26"/>
      <c r="K31" s="3"/>
      <c r="L31" s="26"/>
    </row>
    <row r="32" spans="1:12">
      <c r="A32" s="4"/>
      <c r="B32" s="26"/>
      <c r="C32" s="3"/>
      <c r="D32" s="26"/>
      <c r="E32" s="26"/>
      <c r="F32" s="26"/>
      <c r="G32" s="26"/>
      <c r="H32" s="26"/>
      <c r="I32" s="3"/>
      <c r="J32" s="26"/>
      <c r="K32" s="3"/>
      <c r="L32" s="26"/>
    </row>
    <row r="33" spans="1:12">
      <c r="A33" s="4"/>
      <c r="B33" s="26"/>
      <c r="C33" s="3"/>
      <c r="D33" s="26"/>
      <c r="E33" s="26"/>
      <c r="F33" s="26"/>
      <c r="G33" s="26"/>
      <c r="H33" s="26"/>
      <c r="I33" s="3"/>
      <c r="J33" s="26"/>
      <c r="K33" s="3"/>
      <c r="L33" s="26"/>
    </row>
    <row r="34" spans="1:12">
      <c r="A34" s="4"/>
      <c r="B34" s="26"/>
      <c r="C34" s="3"/>
      <c r="D34" s="26"/>
      <c r="E34" s="26"/>
      <c r="F34" s="26"/>
      <c r="G34" s="26"/>
      <c r="H34" s="26"/>
      <c r="I34" s="3"/>
      <c r="J34" s="26"/>
      <c r="K34" s="3"/>
      <c r="L34" s="26"/>
    </row>
    <row r="35" spans="1:12">
      <c r="A35" s="4"/>
      <c r="B35" s="26"/>
      <c r="C35" s="3"/>
      <c r="D35" s="26"/>
      <c r="E35" s="26"/>
      <c r="F35" s="26"/>
      <c r="G35" s="26"/>
      <c r="H35" s="26"/>
      <c r="I35" s="3"/>
      <c r="J35" s="26"/>
      <c r="K35" s="3"/>
      <c r="L35" s="26"/>
    </row>
    <row r="36" spans="1:12">
      <c r="A36" s="4"/>
      <c r="B36" s="26"/>
      <c r="C36" s="3"/>
      <c r="D36" s="26"/>
      <c r="E36" s="26"/>
      <c r="F36" s="26"/>
      <c r="G36" s="26"/>
      <c r="H36" s="26"/>
      <c r="I36" s="3"/>
      <c r="J36" s="26"/>
      <c r="K36" s="3"/>
      <c r="L36" s="26"/>
    </row>
    <row r="37" spans="1:12">
      <c r="A37" s="4"/>
      <c r="B37" s="26"/>
      <c r="C37" s="3"/>
      <c r="D37" s="26"/>
      <c r="E37" s="26"/>
      <c r="F37" s="26"/>
      <c r="G37" s="26"/>
      <c r="H37" s="26"/>
      <c r="I37" s="3"/>
      <c r="J37" s="26"/>
      <c r="K37" s="3"/>
      <c r="L37" s="26"/>
    </row>
    <row r="38" spans="1:12">
      <c r="A38" s="4"/>
      <c r="B38" s="26"/>
      <c r="C38" s="3"/>
      <c r="D38" s="26"/>
      <c r="E38" s="26"/>
      <c r="F38" s="26"/>
      <c r="G38" s="26"/>
      <c r="H38" s="26"/>
      <c r="I38" s="3"/>
      <c r="J38" s="26"/>
      <c r="K38" s="3"/>
      <c r="L38" s="26"/>
    </row>
    <row r="39" spans="1:12">
      <c r="A39" s="4"/>
      <c r="B39" s="26"/>
      <c r="C39" s="3"/>
      <c r="D39" s="26"/>
      <c r="E39" s="26"/>
      <c r="F39" s="26"/>
      <c r="G39" s="26"/>
      <c r="H39" s="26"/>
      <c r="I39" s="3"/>
      <c r="J39" s="26"/>
      <c r="K39" s="3"/>
      <c r="L39" s="26"/>
    </row>
    <row r="40" spans="1:12">
      <c r="A40" s="4"/>
      <c r="B40" s="26"/>
      <c r="C40" s="3"/>
      <c r="D40" s="26"/>
      <c r="E40" s="26"/>
      <c r="F40" s="26"/>
      <c r="G40" s="26"/>
      <c r="H40" s="26"/>
      <c r="I40" s="3"/>
      <c r="J40" s="26"/>
      <c r="K40" s="3"/>
      <c r="L40" s="26"/>
    </row>
    <row r="41" spans="1:12">
      <c r="A41" s="4"/>
      <c r="B41" s="26"/>
      <c r="C41" s="3"/>
      <c r="D41" s="26"/>
      <c r="E41" s="26"/>
      <c r="F41" s="26"/>
      <c r="G41" s="26"/>
      <c r="H41" s="26"/>
      <c r="I41" s="3"/>
      <c r="J41" s="26"/>
      <c r="K41" s="3"/>
      <c r="L41" s="26"/>
    </row>
    <row r="42" spans="1:12">
      <c r="A42" s="4"/>
      <c r="B42" s="26"/>
      <c r="C42" s="3"/>
      <c r="D42" s="26"/>
      <c r="E42" s="26"/>
      <c r="F42" s="26"/>
      <c r="G42" s="26"/>
      <c r="H42" s="26"/>
      <c r="I42" s="3"/>
      <c r="J42" s="26"/>
      <c r="K42" s="3"/>
      <c r="L42" s="26"/>
    </row>
    <row r="43" spans="1:12">
      <c r="A43" s="4"/>
      <c r="B43" s="26"/>
      <c r="C43" s="3"/>
      <c r="D43" s="26"/>
      <c r="E43" s="26"/>
      <c r="F43" s="26"/>
      <c r="G43" s="26"/>
      <c r="H43" s="26"/>
      <c r="I43" s="3"/>
      <c r="J43" s="26"/>
      <c r="K43" s="3"/>
      <c r="L43" s="26"/>
    </row>
    <row r="44" spans="1:12">
      <c r="A44" s="4"/>
      <c r="B44" s="26"/>
      <c r="C44" s="3"/>
      <c r="D44" s="26"/>
      <c r="E44" s="26"/>
      <c r="F44" s="26"/>
      <c r="G44" s="26"/>
      <c r="H44" s="26"/>
      <c r="I44" s="3"/>
      <c r="J44" s="26"/>
      <c r="K44" s="3"/>
      <c r="L44" s="26"/>
    </row>
    <row r="45" spans="1:12">
      <c r="A45" s="4"/>
      <c r="B45" s="26"/>
      <c r="C45" s="3"/>
      <c r="D45" s="26"/>
      <c r="E45" s="26"/>
      <c r="F45" s="26"/>
      <c r="G45" s="26"/>
      <c r="H45" s="26"/>
      <c r="I45" s="3"/>
      <c r="J45" s="26"/>
      <c r="K45" s="3"/>
      <c r="L45" s="26"/>
    </row>
    <row r="46" spans="1:12">
      <c r="A46" s="4"/>
      <c r="B46" s="26"/>
      <c r="C46" s="3"/>
      <c r="D46" s="26"/>
      <c r="E46" s="26"/>
      <c r="F46" s="26"/>
      <c r="G46" s="26"/>
      <c r="H46" s="26"/>
      <c r="I46" s="3"/>
      <c r="J46" s="26"/>
      <c r="K46" s="3"/>
      <c r="L46" s="26"/>
    </row>
    <row r="47" spans="1:12">
      <c r="A47" s="4"/>
      <c r="B47" s="26"/>
      <c r="C47" s="3"/>
      <c r="D47" s="26"/>
      <c r="E47" s="26"/>
      <c r="F47" s="26"/>
      <c r="G47" s="26"/>
      <c r="H47" s="26"/>
      <c r="I47" s="3"/>
      <c r="J47" s="26"/>
      <c r="K47" s="3"/>
      <c r="L47" s="26"/>
    </row>
    <row r="48" spans="1:12">
      <c r="A48" s="4"/>
      <c r="B48" s="26"/>
      <c r="C48" s="3"/>
      <c r="D48" s="26"/>
      <c r="E48" s="26"/>
      <c r="F48" s="26"/>
      <c r="G48" s="26"/>
      <c r="H48" s="26"/>
      <c r="I48" s="3"/>
      <c r="J48" s="26"/>
      <c r="K48" s="3"/>
      <c r="L48" s="26"/>
    </row>
    <row r="49" spans="1:12">
      <c r="A49" s="4"/>
      <c r="B49" s="26"/>
      <c r="C49" s="3"/>
      <c r="D49" s="26"/>
      <c r="E49" s="26"/>
      <c r="F49" s="26"/>
      <c r="G49" s="26"/>
      <c r="H49" s="26"/>
      <c r="I49" s="3"/>
      <c r="J49" s="26"/>
      <c r="K49" s="3"/>
      <c r="L49" s="26"/>
    </row>
    <row r="50" spans="1:12">
      <c r="A50" s="4"/>
      <c r="B50" s="26"/>
      <c r="C50" s="3"/>
      <c r="D50" s="26"/>
      <c r="E50" s="26"/>
      <c r="F50" s="26"/>
      <c r="G50" s="26"/>
      <c r="H50" s="26"/>
      <c r="I50" s="3"/>
      <c r="J50" s="26"/>
      <c r="K50" s="3"/>
      <c r="L50" s="26"/>
    </row>
    <row r="51" spans="1:12">
      <c r="A51" s="4"/>
      <c r="B51" s="26"/>
      <c r="C51" s="3"/>
      <c r="D51" s="26"/>
      <c r="E51" s="26"/>
      <c r="F51" s="26"/>
      <c r="G51" s="26"/>
      <c r="H51" s="26"/>
      <c r="I51" s="3"/>
      <c r="J51" s="26"/>
      <c r="K51" s="3"/>
      <c r="L51" s="26"/>
    </row>
    <row r="52" spans="1:12">
      <c r="A52" s="4"/>
      <c r="B52" s="26"/>
      <c r="C52" s="3"/>
      <c r="D52" s="26"/>
      <c r="E52" s="26"/>
      <c r="F52" s="26"/>
      <c r="G52" s="26"/>
      <c r="H52" s="26"/>
      <c r="I52" s="3"/>
      <c r="J52" s="26"/>
      <c r="K52" s="3"/>
      <c r="L52" s="26"/>
    </row>
    <row r="53" spans="1:12">
      <c r="A53" s="4"/>
      <c r="B53" s="26"/>
      <c r="C53" s="3"/>
      <c r="D53" s="26"/>
      <c r="E53" s="26"/>
      <c r="F53" s="26"/>
      <c r="G53" s="26"/>
      <c r="H53" s="26"/>
      <c r="I53" s="3"/>
      <c r="J53" s="26"/>
      <c r="K53" s="3"/>
      <c r="L53" s="26"/>
    </row>
    <row r="54" spans="1:12">
      <c r="A54" s="4"/>
      <c r="B54" s="26"/>
      <c r="C54" s="3"/>
      <c r="D54" s="26"/>
      <c r="E54" s="26"/>
      <c r="F54" s="26"/>
      <c r="G54" s="26"/>
      <c r="H54" s="26"/>
      <c r="I54" s="3"/>
      <c r="J54" s="26"/>
      <c r="K54" s="3"/>
      <c r="L54" s="26"/>
    </row>
    <row r="55" spans="1:12">
      <c r="A55" s="4"/>
      <c r="B55" s="26"/>
      <c r="C55" s="3"/>
      <c r="D55" s="26"/>
      <c r="E55" s="26"/>
      <c r="F55" s="26"/>
      <c r="G55" s="26"/>
      <c r="H55" s="26"/>
      <c r="I55" s="3"/>
      <c r="J55" s="26"/>
      <c r="K55" s="3"/>
      <c r="L55" s="26"/>
    </row>
    <row r="56" spans="1:12">
      <c r="A56" s="4"/>
      <c r="B56" s="26"/>
      <c r="C56" s="3"/>
      <c r="D56" s="26"/>
      <c r="E56" s="26"/>
      <c r="F56" s="26"/>
      <c r="G56" s="26"/>
      <c r="H56" s="26"/>
      <c r="I56" s="3"/>
      <c r="J56" s="26"/>
      <c r="K56" s="3"/>
      <c r="L56" s="26"/>
    </row>
    <row r="57" spans="1:12">
      <c r="A57" s="4"/>
      <c r="B57" s="26"/>
      <c r="C57" s="3"/>
      <c r="D57" s="26"/>
      <c r="E57" s="26"/>
      <c r="F57" s="26"/>
      <c r="G57" s="26"/>
      <c r="H57" s="26"/>
      <c r="I57" s="3"/>
      <c r="J57" s="26"/>
      <c r="K57" s="3"/>
      <c r="L57" s="26"/>
    </row>
    <row r="58" spans="1:12">
      <c r="A58" s="4"/>
      <c r="B58" s="26"/>
      <c r="C58" s="3"/>
      <c r="D58" s="26"/>
      <c r="E58" s="26"/>
      <c r="F58" s="26"/>
      <c r="G58" s="26"/>
      <c r="H58" s="26"/>
      <c r="I58" s="3"/>
      <c r="J58" s="26"/>
      <c r="K58" s="3"/>
      <c r="L58" s="26"/>
    </row>
    <row r="59" spans="1:12">
      <c r="A59" s="4"/>
      <c r="B59" s="26"/>
      <c r="C59" s="3"/>
      <c r="D59" s="26"/>
      <c r="E59" s="26"/>
      <c r="F59" s="26"/>
      <c r="G59" s="26"/>
      <c r="H59" s="26"/>
      <c r="I59" s="3"/>
      <c r="J59" s="26"/>
      <c r="K59" s="3"/>
      <c r="L59" s="26"/>
    </row>
    <row r="60" spans="1:12">
      <c r="A60" s="4"/>
      <c r="B60" s="26"/>
      <c r="C60" s="3"/>
      <c r="D60" s="26"/>
      <c r="E60" s="26"/>
      <c r="F60" s="26"/>
      <c r="G60" s="26"/>
      <c r="H60" s="26"/>
      <c r="I60" s="3"/>
      <c r="J60" s="26"/>
      <c r="K60" s="3"/>
      <c r="L60" s="26"/>
    </row>
    <row r="61" spans="1:12">
      <c r="A61" s="4"/>
      <c r="B61" s="26"/>
      <c r="C61" s="3"/>
      <c r="D61" s="26"/>
      <c r="E61" s="26"/>
      <c r="F61" s="26"/>
      <c r="G61" s="26"/>
      <c r="H61" s="26"/>
      <c r="I61" s="3"/>
      <c r="J61" s="26"/>
      <c r="K61" s="3"/>
      <c r="L61" s="26"/>
    </row>
    <row r="62" spans="1:12">
      <c r="A62" s="4"/>
      <c r="B62" s="26"/>
      <c r="C62" s="3"/>
      <c r="D62" s="26"/>
      <c r="E62" s="26"/>
      <c r="F62" s="26"/>
      <c r="G62" s="26"/>
      <c r="H62" s="26"/>
      <c r="I62" s="3"/>
      <c r="J62" s="26"/>
      <c r="K62" s="3"/>
      <c r="L62" s="26"/>
    </row>
    <row r="63" spans="1:12">
      <c r="A63" s="4"/>
      <c r="B63" s="26"/>
      <c r="C63" s="3"/>
      <c r="D63" s="26"/>
      <c r="E63" s="26"/>
      <c r="F63" s="26"/>
      <c r="G63" s="26"/>
      <c r="H63" s="26"/>
      <c r="I63" s="3"/>
      <c r="J63" s="26"/>
      <c r="K63" s="3"/>
      <c r="L63" s="26"/>
    </row>
    <row r="64" spans="1:12">
      <c r="A64" s="4"/>
      <c r="B64" s="26"/>
      <c r="C64" s="3"/>
      <c r="D64" s="26"/>
      <c r="E64" s="26"/>
      <c r="F64" s="26"/>
      <c r="G64" s="26"/>
      <c r="H64" s="26"/>
      <c r="I64" s="3"/>
      <c r="J64" s="26"/>
      <c r="K64" s="3"/>
      <c r="L64" s="26"/>
    </row>
    <row r="65" spans="1:12">
      <c r="A65" s="4"/>
      <c r="B65" s="26"/>
      <c r="C65" s="3"/>
      <c r="D65" s="26"/>
      <c r="E65" s="26"/>
      <c r="F65" s="26"/>
      <c r="G65" s="26"/>
      <c r="H65" s="26"/>
      <c r="I65" s="3"/>
      <c r="J65" s="26"/>
      <c r="K65" s="3"/>
      <c r="L65" s="26"/>
    </row>
    <row r="66" spans="1:12">
      <c r="A66" s="4"/>
      <c r="B66" s="26"/>
      <c r="C66" s="3"/>
      <c r="D66" s="26"/>
      <c r="E66" s="26"/>
      <c r="F66" s="26"/>
      <c r="G66" s="26"/>
      <c r="H66" s="26"/>
      <c r="I66" s="3"/>
      <c r="J66" s="26"/>
      <c r="K66" s="3"/>
      <c r="L66" s="26"/>
    </row>
    <row r="67" spans="1:12">
      <c r="A67" s="4"/>
      <c r="B67" s="26"/>
      <c r="C67" s="3"/>
      <c r="D67" s="26"/>
      <c r="E67" s="26"/>
      <c r="F67" s="26"/>
      <c r="G67" s="26"/>
      <c r="H67" s="26"/>
      <c r="I67" s="3"/>
      <c r="J67" s="26"/>
      <c r="K67" s="3"/>
      <c r="L67" s="26"/>
    </row>
    <row r="68" spans="1:12">
      <c r="A68" s="4"/>
      <c r="B68" s="26"/>
      <c r="C68" s="3"/>
      <c r="D68" s="26"/>
      <c r="E68" s="26"/>
      <c r="F68" s="26"/>
      <c r="G68" s="26"/>
      <c r="H68" s="26"/>
      <c r="I68" s="3"/>
      <c r="J68" s="26"/>
      <c r="K68" s="3"/>
      <c r="L68" s="26"/>
    </row>
    <row r="69" spans="1:12">
      <c r="A69" s="4"/>
      <c r="B69" s="26"/>
      <c r="C69" s="3"/>
      <c r="D69" s="26"/>
      <c r="E69" s="26"/>
      <c r="F69" s="26"/>
      <c r="G69" s="26"/>
      <c r="H69" s="26"/>
      <c r="I69" s="3"/>
      <c r="J69" s="26"/>
      <c r="K69" s="3"/>
      <c r="L69" s="26"/>
    </row>
    <row r="70" spans="1:12">
      <c r="A70" s="5"/>
      <c r="B70" s="63"/>
      <c r="C70" s="58"/>
      <c r="D70" s="63"/>
      <c r="E70" s="63"/>
      <c r="F70" s="63"/>
      <c r="G70" s="63"/>
      <c r="H70" s="63"/>
      <c r="I70" s="58"/>
      <c r="J70" s="63"/>
      <c r="K70" s="58"/>
      <c r="L70" s="63"/>
    </row>
    <row r="74" spans="1:12">
      <c r="A74" s="7" t="s">
        <v>16</v>
      </c>
      <c r="J74" s="7" t="s">
        <v>648</v>
      </c>
    </row>
    <row r="77" spans="1:12">
      <c r="A77" s="1245" t="s">
        <v>798</v>
      </c>
      <c r="B77" s="1245"/>
      <c r="C77" s="1245"/>
      <c r="F77" s="1245"/>
      <c r="G77" s="1245"/>
      <c r="J77" s="1245" t="s">
        <v>1456</v>
      </c>
      <c r="K77" s="1245"/>
      <c r="L77" s="1245"/>
    </row>
    <row r="78" spans="1:12">
      <c r="A78" s="1445" t="s">
        <v>242</v>
      </c>
      <c r="B78" s="1445"/>
      <c r="C78" s="1445"/>
      <c r="F78" s="1445"/>
      <c r="G78" s="1445"/>
      <c r="J78" s="1446" t="s">
        <v>14</v>
      </c>
      <c r="K78" s="1445"/>
      <c r="L78" s="1445"/>
    </row>
    <row r="93" spans="1:12" ht="20.100000000000001" customHeight="1">
      <c r="A93" s="1443" t="s">
        <v>994</v>
      </c>
      <c r="B93" s="1444"/>
      <c r="C93" s="1444"/>
      <c r="D93" s="1444"/>
      <c r="E93" s="1444"/>
      <c r="F93" s="1444"/>
      <c r="G93" s="1444"/>
      <c r="H93" s="1444"/>
      <c r="I93" s="1444"/>
      <c r="J93" s="1444"/>
      <c r="K93" s="1444"/>
      <c r="L93" s="1444"/>
    </row>
  </sheetData>
  <mergeCells count="13">
    <mergeCell ref="A93:L93"/>
    <mergeCell ref="A4:L4"/>
    <mergeCell ref="A5:L5"/>
    <mergeCell ref="F77:G77"/>
    <mergeCell ref="F78:G78"/>
    <mergeCell ref="J77:L77"/>
    <mergeCell ref="J78:L78"/>
    <mergeCell ref="A6:L6"/>
    <mergeCell ref="F10:H11"/>
    <mergeCell ref="I11:K11"/>
    <mergeCell ref="A78:C78"/>
    <mergeCell ref="A77:C77"/>
    <mergeCell ref="I10:K10"/>
  </mergeCells>
  <printOptions horizontalCentered="1"/>
  <pageMargins left="0.5" right="0" top="0.75" bottom="0" header="0" footer="0"/>
  <pageSetup paperSize="256"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topLeftCell="A71" workbookViewId="0">
      <selection activeCell="A72" sqref="A72:I109"/>
    </sheetView>
  </sheetViews>
  <sheetFormatPr defaultRowHeight="12.75"/>
  <cols>
    <col min="1" max="2" width="3.5703125" style="27" customWidth="1"/>
    <col min="3" max="3" width="1.85546875" style="27" customWidth="1"/>
    <col min="4" max="4" width="15.7109375" customWidth="1"/>
    <col min="5" max="5" width="21.85546875" customWidth="1"/>
    <col min="6" max="7" width="5" customWidth="1"/>
    <col min="8" max="8" width="19.140625" customWidth="1"/>
    <col min="9" max="9" width="29.5703125" customWidth="1"/>
  </cols>
  <sheetData>
    <row r="1" spans="1:9">
      <c r="A1" s="92"/>
      <c r="B1" s="77"/>
      <c r="C1" s="77"/>
      <c r="D1" s="6"/>
      <c r="E1" s="6"/>
      <c r="F1" s="6"/>
      <c r="G1" s="6"/>
      <c r="H1" s="6"/>
      <c r="I1" s="51"/>
    </row>
    <row r="3" spans="1:9">
      <c r="A3" s="1462" t="s">
        <v>1687</v>
      </c>
      <c r="B3" s="1462"/>
      <c r="C3" s="1462"/>
      <c r="D3" s="1462"/>
      <c r="E3" s="1462"/>
      <c r="F3" s="1462"/>
      <c r="G3" s="1462"/>
      <c r="H3" s="1462"/>
      <c r="I3" s="1462"/>
    </row>
    <row r="4" spans="1:9">
      <c r="A4" s="1462" t="s">
        <v>358</v>
      </c>
      <c r="B4" s="1462"/>
      <c r="C4" s="1462"/>
      <c r="D4" s="1462"/>
      <c r="E4" s="1462"/>
      <c r="F4" s="1462"/>
      <c r="G4" s="1462"/>
      <c r="H4" s="1462"/>
      <c r="I4" s="1462"/>
    </row>
    <row r="5" spans="1:9" ht="13.5" thickBot="1"/>
    <row r="6" spans="1:9">
      <c r="A6" s="78"/>
      <c r="B6" s="84"/>
      <c r="C6" s="84"/>
      <c r="D6" s="73"/>
      <c r="E6" s="73"/>
      <c r="F6" s="73"/>
      <c r="G6" s="73"/>
      <c r="H6" s="73"/>
      <c r="I6" s="74"/>
    </row>
    <row r="7" spans="1:9">
      <c r="A7" s="1467" t="s">
        <v>638</v>
      </c>
      <c r="B7" s="1261"/>
      <c r="C7" s="1261"/>
      <c r="D7" s="1261"/>
      <c r="E7" s="1261"/>
      <c r="F7" s="1261"/>
      <c r="G7" s="1261"/>
      <c r="H7" s="1261"/>
      <c r="I7" s="75" t="s">
        <v>649</v>
      </c>
    </row>
    <row r="8" spans="1:9">
      <c r="A8" s="79"/>
      <c r="B8" s="85"/>
      <c r="C8" s="85"/>
      <c r="D8" s="61"/>
      <c r="E8" s="61"/>
      <c r="F8" s="61"/>
      <c r="G8" s="61"/>
      <c r="H8" s="61"/>
      <c r="I8" s="75"/>
    </row>
    <row r="9" spans="1:9" ht="13.5" thickBot="1">
      <c r="A9" s="1459"/>
      <c r="B9" s="1460"/>
      <c r="C9" s="1460"/>
      <c r="D9" s="1460"/>
      <c r="E9" s="1460"/>
      <c r="F9" s="1460"/>
      <c r="G9" s="1460"/>
      <c r="H9" s="1461"/>
      <c r="I9" s="76"/>
    </row>
    <row r="10" spans="1:9">
      <c r="A10" s="80"/>
      <c r="B10" s="86"/>
      <c r="C10" s="86"/>
      <c r="D10" s="3"/>
      <c r="E10" s="3"/>
      <c r="F10" s="3"/>
      <c r="G10" s="3"/>
      <c r="H10" s="3"/>
      <c r="I10" s="94"/>
    </row>
    <row r="11" spans="1:9">
      <c r="A11" s="83" t="s">
        <v>650</v>
      </c>
      <c r="B11" s="87" t="s">
        <v>651</v>
      </c>
      <c r="C11" s="87"/>
      <c r="D11" s="3"/>
      <c r="E11" s="3"/>
      <c r="F11" s="3"/>
      <c r="G11" s="3"/>
      <c r="H11" s="3"/>
      <c r="I11" s="94"/>
    </row>
    <row r="12" spans="1:9">
      <c r="A12" s="81"/>
      <c r="B12" s="89" t="s">
        <v>652</v>
      </c>
      <c r="C12" s="89"/>
      <c r="D12" s="18" t="s">
        <v>372</v>
      </c>
      <c r="E12" s="18"/>
      <c r="F12" s="18"/>
      <c r="G12" s="18"/>
      <c r="H12" s="18"/>
      <c r="I12" s="94">
        <f>'LBP NO. 1'!N115</f>
        <v>3600000</v>
      </c>
    </row>
    <row r="13" spans="1:9">
      <c r="A13" s="81"/>
      <c r="B13" s="89" t="s">
        <v>653</v>
      </c>
      <c r="C13" s="86"/>
      <c r="D13" s="18" t="s">
        <v>654</v>
      </c>
      <c r="E13" s="18"/>
      <c r="F13" s="18"/>
      <c r="G13" s="18"/>
      <c r="H13" s="18"/>
      <c r="I13" s="94">
        <f>'LBP NO. 1'!N114</f>
        <v>154800</v>
      </c>
    </row>
    <row r="14" spans="1:9">
      <c r="A14" s="81"/>
      <c r="B14" s="89" t="s">
        <v>655</v>
      </c>
      <c r="C14" s="86"/>
      <c r="D14" s="18" t="s">
        <v>547</v>
      </c>
      <c r="E14" s="18"/>
      <c r="F14" s="18"/>
      <c r="G14" s="18"/>
      <c r="H14" s="18"/>
      <c r="I14" s="94">
        <f>'LBP NO. 1'!N113</f>
        <v>978250</v>
      </c>
    </row>
    <row r="15" spans="1:9">
      <c r="A15" s="81"/>
      <c r="B15" s="89" t="s">
        <v>656</v>
      </c>
      <c r="C15" s="86"/>
      <c r="D15" s="90" t="s">
        <v>546</v>
      </c>
      <c r="E15" s="90"/>
      <c r="F15" s="90"/>
      <c r="G15" s="90"/>
      <c r="H15" s="90"/>
      <c r="I15" s="94">
        <f>'LBP NO. 1'!N112</f>
        <v>232200</v>
      </c>
    </row>
    <row r="16" spans="1:9">
      <c r="A16" s="81"/>
      <c r="B16" s="89" t="s">
        <v>657</v>
      </c>
      <c r="C16" s="86"/>
      <c r="D16" s="90" t="s">
        <v>658</v>
      </c>
      <c r="E16" s="90"/>
      <c r="F16" s="90"/>
      <c r="G16" s="90"/>
      <c r="H16" s="90"/>
      <c r="I16" s="95">
        <f>'LBP NO. 1'!N111</f>
        <v>5790300</v>
      </c>
    </row>
    <row r="17" spans="1:12" ht="13.5" thickBot="1">
      <c r="A17" s="81"/>
      <c r="B17" s="89"/>
      <c r="C17" s="86"/>
      <c r="D17" s="90"/>
      <c r="E17" s="90"/>
      <c r="F17" s="90"/>
      <c r="G17" s="90"/>
      <c r="H17" s="96" t="s">
        <v>159</v>
      </c>
      <c r="I17" s="98">
        <f>SUM(I12:I16)</f>
        <v>10755550</v>
      </c>
    </row>
    <row r="18" spans="1:12">
      <c r="A18" s="81"/>
      <c r="B18" s="89"/>
      <c r="C18" s="86"/>
      <c r="D18" s="90"/>
      <c r="E18" s="90"/>
      <c r="F18" s="90"/>
      <c r="G18" s="90"/>
      <c r="H18" s="90"/>
      <c r="I18" s="94"/>
    </row>
    <row r="19" spans="1:12">
      <c r="A19" s="81"/>
      <c r="B19" s="86"/>
      <c r="C19" s="86"/>
      <c r="D19" s="3"/>
      <c r="E19" s="3"/>
      <c r="F19" s="3"/>
      <c r="G19" s="3"/>
      <c r="H19" s="3"/>
      <c r="I19" s="94"/>
    </row>
    <row r="20" spans="1:12">
      <c r="A20" s="83" t="s">
        <v>297</v>
      </c>
      <c r="B20" s="87" t="s">
        <v>659</v>
      </c>
      <c r="C20" s="86"/>
      <c r="D20" s="3"/>
      <c r="E20" s="3"/>
      <c r="F20" s="3"/>
      <c r="G20" s="3"/>
      <c r="H20" s="3"/>
      <c r="I20" s="94"/>
    </row>
    <row r="21" spans="1:12">
      <c r="A21" s="81"/>
      <c r="B21" s="89" t="s">
        <v>660</v>
      </c>
      <c r="C21" s="86"/>
      <c r="D21" s="91" t="s">
        <v>663</v>
      </c>
      <c r="E21" s="91"/>
      <c r="F21" s="91"/>
      <c r="G21" s="91"/>
      <c r="H21" s="91"/>
      <c r="I21" s="94">
        <f>'LBP NO. 1'!N149</f>
        <v>43848762.799999997</v>
      </c>
    </row>
    <row r="22" spans="1:12">
      <c r="A22" s="81"/>
      <c r="B22" s="89" t="s">
        <v>661</v>
      </c>
      <c r="C22" s="86"/>
      <c r="D22" s="90" t="s">
        <v>842</v>
      </c>
      <c r="E22" s="91"/>
      <c r="F22" s="91"/>
      <c r="G22" s="91"/>
      <c r="H22" s="91"/>
      <c r="I22" s="94">
        <f>'LBP NO. 1'!N150</f>
        <v>11580690.699999999</v>
      </c>
    </row>
    <row r="23" spans="1:12">
      <c r="A23" s="81"/>
      <c r="B23" s="89" t="s">
        <v>662</v>
      </c>
      <c r="C23" s="86"/>
      <c r="D23" s="90" t="s">
        <v>664</v>
      </c>
      <c r="E23" s="90"/>
      <c r="F23" s="90"/>
      <c r="G23" s="90"/>
      <c r="H23" s="90"/>
      <c r="I23" s="94">
        <f>'LBP NO. 2a'!K97</f>
        <v>21000</v>
      </c>
    </row>
    <row r="24" spans="1:12">
      <c r="A24" s="81"/>
      <c r="B24" s="89" t="s">
        <v>841</v>
      </c>
      <c r="C24" s="86"/>
      <c r="D24" s="90" t="s">
        <v>561</v>
      </c>
      <c r="E24" s="90"/>
      <c r="F24" s="90"/>
      <c r="G24" s="90"/>
      <c r="H24" s="90"/>
      <c r="I24" s="94">
        <f>'LBP NO. 1'!N137</f>
        <v>55755</v>
      </c>
    </row>
    <row r="25" spans="1:12" ht="13.5" thickBot="1">
      <c r="A25" s="81"/>
      <c r="B25" s="89"/>
      <c r="C25" s="86"/>
      <c r="D25" s="90"/>
      <c r="E25" s="90"/>
      <c r="F25" s="90"/>
      <c r="G25" s="90"/>
      <c r="H25" s="96" t="s">
        <v>159</v>
      </c>
      <c r="I25" s="98">
        <f>SUM(I21:I24)</f>
        <v>55506208.5</v>
      </c>
    </row>
    <row r="26" spans="1:12">
      <c r="A26" s="81"/>
      <c r="B26" s="89"/>
      <c r="C26" s="86"/>
      <c r="D26" s="90"/>
      <c r="E26" s="90"/>
      <c r="F26" s="90"/>
      <c r="G26" s="90"/>
      <c r="H26" s="90"/>
      <c r="I26" s="94"/>
    </row>
    <row r="27" spans="1:12">
      <c r="A27" s="81"/>
      <c r="B27" s="89"/>
      <c r="C27" s="86"/>
      <c r="D27" s="90"/>
      <c r="E27" s="90"/>
      <c r="F27" s="90"/>
      <c r="G27" s="90"/>
      <c r="H27" s="90"/>
      <c r="I27" s="94"/>
    </row>
    <row r="28" spans="1:12">
      <c r="A28" s="81"/>
      <c r="B28" s="89"/>
      <c r="C28" s="86"/>
      <c r="D28" s="90"/>
      <c r="E28" s="90"/>
      <c r="F28" s="90"/>
      <c r="G28" s="90"/>
      <c r="H28" s="90"/>
      <c r="I28" s="95"/>
    </row>
    <row r="29" spans="1:12" ht="13.5" thickBot="1">
      <c r="A29" s="81"/>
      <c r="B29" s="89"/>
      <c r="C29" s="86"/>
      <c r="D29" s="90"/>
      <c r="E29" s="90"/>
      <c r="F29" s="90"/>
      <c r="G29" s="90"/>
      <c r="H29" s="96" t="s">
        <v>15</v>
      </c>
      <c r="I29" s="99">
        <f>I25+I17</f>
        <v>66261758.5</v>
      </c>
      <c r="L29" s="29"/>
    </row>
    <row r="30" spans="1:12" ht="13.5" thickTop="1">
      <c r="A30" s="82"/>
      <c r="B30" s="88"/>
      <c r="C30" s="88"/>
      <c r="D30" s="58"/>
      <c r="E30" s="58"/>
      <c r="F30" s="58"/>
      <c r="G30" s="58"/>
      <c r="H30" s="58"/>
      <c r="I30" s="95"/>
    </row>
    <row r="32" spans="1:12">
      <c r="A32" s="92" t="s">
        <v>16</v>
      </c>
    </row>
    <row r="35" spans="1:9" s="7" customFormat="1">
      <c r="A35" s="1462" t="s">
        <v>17</v>
      </c>
      <c r="B35" s="1462"/>
      <c r="C35" s="1462"/>
      <c r="D35" s="1462"/>
      <c r="E35" s="9"/>
      <c r="F35" s="2" t="s">
        <v>88</v>
      </c>
      <c r="G35" s="2"/>
      <c r="H35"/>
      <c r="I35" s="2" t="s">
        <v>254</v>
      </c>
    </row>
    <row r="36" spans="1:9">
      <c r="A36" s="1466" t="s">
        <v>18</v>
      </c>
      <c r="B36" s="1466"/>
      <c r="C36" s="1466"/>
      <c r="D36" s="1466"/>
      <c r="E36" s="8"/>
      <c r="F36" s="267" t="s">
        <v>1000</v>
      </c>
      <c r="G36" s="47"/>
      <c r="I36" s="47" t="s">
        <v>13</v>
      </c>
    </row>
    <row r="39" spans="1:9">
      <c r="A39" s="92" t="s">
        <v>258</v>
      </c>
    </row>
    <row r="40" spans="1:9">
      <c r="A40" s="77"/>
    </row>
    <row r="42" spans="1:9">
      <c r="A42" s="1462" t="s">
        <v>1456</v>
      </c>
      <c r="B42" s="1462"/>
      <c r="C42" s="1462"/>
      <c r="D42" s="1462"/>
      <c r="E42" s="1462"/>
    </row>
    <row r="43" spans="1:9">
      <c r="A43" s="1468" t="s">
        <v>14</v>
      </c>
      <c r="B43" s="1466"/>
      <c r="C43" s="1466"/>
      <c r="D43" s="1466"/>
      <c r="E43" s="1466"/>
    </row>
    <row r="44" spans="1:9">
      <c r="A44" s="107"/>
      <c r="B44" s="107"/>
      <c r="C44" s="107"/>
      <c r="D44" s="107"/>
      <c r="E44" s="107"/>
    </row>
    <row r="45" spans="1:9">
      <c r="A45" s="107"/>
      <c r="B45" s="107"/>
      <c r="C45" s="107"/>
      <c r="D45" s="107"/>
      <c r="E45" s="107"/>
    </row>
    <row r="46" spans="1:9">
      <c r="A46" s="268"/>
      <c r="B46" s="268"/>
      <c r="C46" s="268"/>
      <c r="D46" s="268"/>
      <c r="E46" s="268"/>
    </row>
    <row r="47" spans="1:9">
      <c r="A47" s="268"/>
      <c r="B47" s="268"/>
      <c r="C47" s="268"/>
      <c r="D47" s="268"/>
      <c r="E47" s="268"/>
    </row>
    <row r="48" spans="1:9">
      <c r="A48" s="268"/>
      <c r="B48" s="268"/>
      <c r="C48" s="268"/>
      <c r="D48" s="268"/>
      <c r="E48" s="268"/>
    </row>
    <row r="49" spans="1:5">
      <c r="A49" s="268"/>
      <c r="B49" s="268"/>
      <c r="C49" s="268"/>
      <c r="D49" s="268"/>
      <c r="E49" s="268"/>
    </row>
    <row r="50" spans="1:5">
      <c r="A50" s="268"/>
      <c r="B50" s="268"/>
      <c r="C50" s="268"/>
      <c r="D50" s="268"/>
      <c r="E50" s="268"/>
    </row>
    <row r="51" spans="1:5">
      <c r="A51" s="268"/>
      <c r="B51" s="268"/>
      <c r="C51" s="268"/>
      <c r="D51" s="268"/>
      <c r="E51" s="268"/>
    </row>
    <row r="52" spans="1:5">
      <c r="A52" s="268"/>
      <c r="B52" s="268"/>
      <c r="C52" s="268"/>
      <c r="D52" s="268"/>
      <c r="E52" s="268"/>
    </row>
    <row r="53" spans="1:5">
      <c r="A53" s="268"/>
      <c r="B53" s="268"/>
      <c r="C53" s="268"/>
      <c r="D53" s="268"/>
      <c r="E53" s="268"/>
    </row>
    <row r="54" spans="1:5">
      <c r="A54" s="268"/>
      <c r="B54" s="268"/>
      <c r="C54" s="268"/>
      <c r="D54" s="268"/>
      <c r="E54" s="268"/>
    </row>
    <row r="55" spans="1:5">
      <c r="A55" s="268"/>
      <c r="B55" s="268"/>
      <c r="C55" s="268"/>
      <c r="D55" s="268"/>
      <c r="E55" s="268"/>
    </row>
    <row r="56" spans="1:5">
      <c r="A56" s="268"/>
      <c r="B56" s="268"/>
      <c r="C56" s="268"/>
      <c r="D56" s="268"/>
      <c r="E56" s="268"/>
    </row>
    <row r="57" spans="1:5">
      <c r="A57" s="268"/>
      <c r="B57" s="268"/>
      <c r="C57" s="268"/>
      <c r="D57" s="268"/>
      <c r="E57" s="268"/>
    </row>
    <row r="58" spans="1:5">
      <c r="A58" s="268"/>
      <c r="B58" s="268"/>
      <c r="C58" s="268"/>
      <c r="D58" s="268"/>
      <c r="E58" s="268"/>
    </row>
    <row r="59" spans="1:5">
      <c r="A59" s="268"/>
      <c r="B59" s="268"/>
      <c r="C59" s="268"/>
      <c r="D59" s="268"/>
      <c r="E59" s="268"/>
    </row>
    <row r="60" spans="1:5">
      <c r="A60" s="268"/>
      <c r="B60" s="268"/>
      <c r="C60" s="268"/>
      <c r="D60" s="268"/>
      <c r="E60" s="268"/>
    </row>
    <row r="61" spans="1:5">
      <c r="A61" s="107"/>
      <c r="B61" s="107"/>
      <c r="C61" s="107"/>
      <c r="D61" s="107"/>
      <c r="E61" s="107"/>
    </row>
    <row r="62" spans="1:5">
      <c r="A62" s="107"/>
      <c r="B62" s="107"/>
      <c r="C62" s="107"/>
      <c r="D62" s="107"/>
      <c r="E62" s="107"/>
    </row>
    <row r="63" spans="1:5">
      <c r="A63" s="107"/>
      <c r="B63" s="107"/>
      <c r="C63" s="107"/>
      <c r="D63" s="107"/>
      <c r="E63" s="107"/>
    </row>
    <row r="64" spans="1:5">
      <c r="A64" s="107"/>
      <c r="B64" s="107"/>
      <c r="C64" s="107"/>
      <c r="D64" s="107"/>
      <c r="E64" s="107"/>
    </row>
    <row r="65" spans="1:9">
      <c r="A65" s="107"/>
      <c r="B65" s="107"/>
      <c r="C65" s="107"/>
      <c r="D65" s="107"/>
      <c r="E65" s="107"/>
    </row>
    <row r="66" spans="1:9">
      <c r="A66" s="107"/>
      <c r="B66" s="107"/>
      <c r="C66" s="107"/>
      <c r="D66" s="107"/>
      <c r="E66" s="107"/>
    </row>
    <row r="67" spans="1:9">
      <c r="A67" s="107"/>
      <c r="B67" s="107"/>
      <c r="C67" s="107"/>
      <c r="D67" s="107"/>
      <c r="E67" s="107"/>
    </row>
    <row r="68" spans="1:9">
      <c r="A68" s="107"/>
      <c r="B68" s="107"/>
      <c r="C68" s="107"/>
      <c r="D68" s="107"/>
      <c r="E68" s="107"/>
    </row>
    <row r="69" spans="1:9" ht="20.100000000000001" customHeight="1">
      <c r="A69" s="1463" t="s">
        <v>995</v>
      </c>
      <c r="B69" s="1464"/>
      <c r="C69" s="1464"/>
      <c r="D69" s="1464"/>
      <c r="E69" s="1464"/>
      <c r="F69" s="1464"/>
      <c r="G69" s="1464"/>
      <c r="H69" s="1464"/>
      <c r="I69" s="1464"/>
    </row>
    <row r="70" spans="1:9">
      <c r="A70" s="92"/>
      <c r="B70" s="77"/>
      <c r="C70" s="77"/>
      <c r="D70" s="6"/>
      <c r="E70" s="6"/>
      <c r="F70" s="6"/>
      <c r="G70" s="6"/>
      <c r="H70" s="6"/>
      <c r="I70" s="51"/>
    </row>
    <row r="72" spans="1:9">
      <c r="A72" s="1462" t="s">
        <v>1687</v>
      </c>
      <c r="B72" s="1462"/>
      <c r="C72" s="1462"/>
      <c r="D72" s="1462"/>
      <c r="E72" s="1462"/>
      <c r="F72" s="1462"/>
      <c r="G72" s="1462"/>
      <c r="H72" s="1462"/>
      <c r="I72" s="1462"/>
    </row>
    <row r="73" spans="1:9">
      <c r="A73" s="1462" t="s">
        <v>358</v>
      </c>
      <c r="B73" s="1462"/>
      <c r="C73" s="1462"/>
      <c r="D73" s="1462"/>
      <c r="E73" s="1462"/>
      <c r="F73" s="1462"/>
      <c r="G73" s="1462"/>
      <c r="H73" s="1462"/>
      <c r="I73" s="1462"/>
    </row>
    <row r="74" spans="1:9">
      <c r="A74" s="93"/>
      <c r="B74" s="93"/>
      <c r="C74" s="93"/>
      <c r="D74" s="93"/>
      <c r="E74" s="93"/>
      <c r="F74" s="93"/>
      <c r="G74" s="93"/>
      <c r="H74" s="93"/>
      <c r="I74" s="93"/>
    </row>
    <row r="75" spans="1:9">
      <c r="A75" s="1462" t="s">
        <v>10</v>
      </c>
      <c r="B75" s="1462"/>
      <c r="C75" s="1462"/>
      <c r="D75" s="1462"/>
      <c r="E75" s="1462"/>
      <c r="F75" s="1462"/>
      <c r="G75" s="1462"/>
      <c r="H75" s="1462"/>
      <c r="I75" s="1462"/>
    </row>
    <row r="76" spans="1:9" ht="13.5" thickBot="1"/>
    <row r="77" spans="1:9">
      <c r="A77" s="78"/>
      <c r="B77" s="84"/>
      <c r="C77" s="84"/>
      <c r="D77" s="73"/>
      <c r="E77" s="73"/>
      <c r="F77" s="73"/>
      <c r="G77" s="73"/>
      <c r="H77" s="73"/>
      <c r="I77" s="74"/>
    </row>
    <row r="78" spans="1:9">
      <c r="A78" s="1467" t="s">
        <v>638</v>
      </c>
      <c r="B78" s="1261"/>
      <c r="C78" s="1261"/>
      <c r="D78" s="1261"/>
      <c r="E78" s="1261"/>
      <c r="F78" s="1261"/>
      <c r="G78" s="1261"/>
      <c r="H78" s="1261"/>
      <c r="I78" s="75" t="s">
        <v>649</v>
      </c>
    </row>
    <row r="79" spans="1:9">
      <c r="A79" s="79"/>
      <c r="B79" s="85"/>
      <c r="C79" s="85"/>
      <c r="D79" s="61"/>
      <c r="E79" s="61"/>
      <c r="F79" s="61"/>
      <c r="G79" s="61"/>
      <c r="H79" s="61"/>
      <c r="I79" s="75"/>
    </row>
    <row r="80" spans="1:9" ht="13.5" thickBot="1">
      <c r="A80" s="1459"/>
      <c r="B80" s="1460"/>
      <c r="C80" s="1460"/>
      <c r="D80" s="1460"/>
      <c r="E80" s="1460"/>
      <c r="F80" s="1460"/>
      <c r="G80" s="1460"/>
      <c r="H80" s="1461"/>
      <c r="I80" s="76"/>
    </row>
    <row r="81" spans="1:9">
      <c r="A81" s="80"/>
      <c r="B81" s="86"/>
      <c r="C81" s="86"/>
      <c r="D81" s="3"/>
      <c r="E81" s="3"/>
      <c r="F81" s="3"/>
      <c r="G81" s="3"/>
      <c r="H81" s="3"/>
      <c r="I81" s="94"/>
    </row>
    <row r="82" spans="1:9">
      <c r="A82" s="83" t="s">
        <v>650</v>
      </c>
      <c r="B82" s="87" t="s">
        <v>651</v>
      </c>
      <c r="C82" s="87"/>
      <c r="D82" s="3"/>
      <c r="E82" s="3"/>
      <c r="F82" s="3"/>
      <c r="G82" s="3"/>
      <c r="H82" s="3"/>
      <c r="I82" s="94"/>
    </row>
    <row r="83" spans="1:9">
      <c r="A83" s="81"/>
      <c r="B83" s="89" t="s">
        <v>652</v>
      </c>
      <c r="C83" s="89"/>
      <c r="D83" s="18" t="s">
        <v>372</v>
      </c>
      <c r="E83" s="18"/>
      <c r="F83" s="18"/>
      <c r="G83" s="18"/>
      <c r="H83" s="18"/>
      <c r="I83" s="94">
        <f>'LBP NO. 1'!N281</f>
        <v>0</v>
      </c>
    </row>
    <row r="84" spans="1:9">
      <c r="A84" s="81"/>
      <c r="B84" s="89" t="s">
        <v>653</v>
      </c>
      <c r="C84" s="86"/>
      <c r="D84" s="18" t="s">
        <v>654</v>
      </c>
      <c r="E84" s="18"/>
      <c r="F84" s="18"/>
      <c r="G84" s="18"/>
      <c r="H84" s="18"/>
      <c r="I84" s="94">
        <f>'LBP NO. 1'!N280</f>
        <v>28800</v>
      </c>
    </row>
    <row r="85" spans="1:9">
      <c r="A85" s="81"/>
      <c r="B85" s="89" t="s">
        <v>655</v>
      </c>
      <c r="C85" s="86"/>
      <c r="D85" s="18" t="s">
        <v>547</v>
      </c>
      <c r="E85" s="18"/>
      <c r="F85" s="18"/>
      <c r="G85" s="18"/>
      <c r="H85" s="18"/>
      <c r="I85" s="94">
        <f>'LBP NO. 1'!N279</f>
        <v>80000</v>
      </c>
    </row>
    <row r="86" spans="1:9">
      <c r="A86" s="81"/>
      <c r="B86" s="89" t="s">
        <v>656</v>
      </c>
      <c r="C86" s="86"/>
      <c r="D86" s="90" t="s">
        <v>546</v>
      </c>
      <c r="E86" s="90"/>
      <c r="F86" s="90"/>
      <c r="G86" s="90"/>
      <c r="H86" s="90"/>
      <c r="I86" s="94">
        <f>'LBP NO. 1'!N278</f>
        <v>43200</v>
      </c>
    </row>
    <row r="87" spans="1:9">
      <c r="A87" s="81"/>
      <c r="B87" s="89" t="s">
        <v>657</v>
      </c>
      <c r="C87" s="86"/>
      <c r="D87" s="90" t="s">
        <v>658</v>
      </c>
      <c r="E87" s="90"/>
      <c r="F87" s="90"/>
      <c r="G87" s="90"/>
      <c r="H87" s="90"/>
      <c r="I87" s="95">
        <f>'LBP NO. 1'!N277</f>
        <v>474000</v>
      </c>
    </row>
    <row r="88" spans="1:9">
      <c r="A88" s="81"/>
      <c r="B88" s="89"/>
      <c r="C88" s="86"/>
      <c r="D88" s="90"/>
      <c r="E88" s="90"/>
      <c r="F88" s="90"/>
      <c r="G88" s="90"/>
      <c r="H88" s="96" t="s">
        <v>159</v>
      </c>
      <c r="I88" s="97">
        <f>SUM(I83:I87)</f>
        <v>626000</v>
      </c>
    </row>
    <row r="89" spans="1:9">
      <c r="A89" s="81"/>
      <c r="B89" s="89"/>
      <c r="C89" s="86"/>
      <c r="D89" s="90"/>
      <c r="E89" s="90"/>
      <c r="F89" s="90"/>
      <c r="G89" s="90"/>
      <c r="H89" s="90"/>
      <c r="I89" s="94"/>
    </row>
    <row r="90" spans="1:9">
      <c r="A90" s="83" t="s">
        <v>297</v>
      </c>
      <c r="B90" s="87" t="s">
        <v>659</v>
      </c>
      <c r="C90" s="86"/>
      <c r="D90" s="3"/>
      <c r="E90" s="3"/>
      <c r="F90" s="3"/>
      <c r="G90" s="3"/>
      <c r="H90" s="3"/>
      <c r="I90" s="94"/>
    </row>
    <row r="91" spans="1:9">
      <c r="A91" s="81"/>
      <c r="B91" s="89" t="s">
        <v>660</v>
      </c>
      <c r="C91" s="86"/>
      <c r="D91" s="90" t="s">
        <v>842</v>
      </c>
      <c r="E91" s="91"/>
      <c r="F91" s="91"/>
      <c r="G91" s="91"/>
      <c r="H91" s="91"/>
      <c r="I91" s="95">
        <f>'LBP NO. 1'!N307</f>
        <v>0</v>
      </c>
    </row>
    <row r="92" spans="1:9">
      <c r="A92" s="81"/>
      <c r="B92" s="89"/>
      <c r="C92" s="86"/>
      <c r="D92" s="90"/>
      <c r="E92" s="91"/>
      <c r="F92" s="91"/>
      <c r="G92" s="91"/>
      <c r="H92" s="96" t="s">
        <v>159</v>
      </c>
      <c r="I92" s="97">
        <f>I91</f>
        <v>0</v>
      </c>
    </row>
    <row r="93" spans="1:9">
      <c r="A93" s="81"/>
      <c r="B93" s="89"/>
      <c r="C93" s="86"/>
      <c r="D93" s="90"/>
      <c r="E93" s="91"/>
      <c r="F93" s="91"/>
      <c r="G93" s="91"/>
      <c r="H93" s="91"/>
      <c r="I93" s="94"/>
    </row>
    <row r="94" spans="1:9">
      <c r="A94" s="81"/>
      <c r="B94" s="89"/>
      <c r="C94" s="86"/>
      <c r="D94" s="90"/>
      <c r="E94" s="91"/>
      <c r="F94" s="91"/>
      <c r="G94" s="91"/>
      <c r="H94" s="91"/>
      <c r="I94" s="94"/>
    </row>
    <row r="95" spans="1:9" ht="13.5" thickBot="1">
      <c r="A95" s="81"/>
      <c r="B95" s="89"/>
      <c r="C95" s="86"/>
      <c r="D95" s="90"/>
      <c r="E95" s="91"/>
      <c r="F95" s="91"/>
      <c r="G95" s="91"/>
      <c r="H95" s="96" t="s">
        <v>15</v>
      </c>
      <c r="I95" s="99">
        <f>I92+I88</f>
        <v>626000</v>
      </c>
    </row>
    <row r="96" spans="1:9" ht="13.5" thickTop="1">
      <c r="A96" s="82"/>
      <c r="B96" s="88"/>
      <c r="C96" s="88"/>
      <c r="D96" s="58"/>
      <c r="E96" s="58"/>
      <c r="F96" s="58"/>
      <c r="G96" s="58"/>
      <c r="H96" s="58"/>
      <c r="I96" s="95"/>
    </row>
    <row r="98" spans="1:9">
      <c r="A98" s="92" t="s">
        <v>16</v>
      </c>
    </row>
    <row r="101" spans="1:9">
      <c r="A101" s="1462" t="s">
        <v>17</v>
      </c>
      <c r="B101" s="1462"/>
      <c r="C101" s="1462"/>
      <c r="D101" s="1462"/>
      <c r="E101" s="9"/>
      <c r="F101" s="2" t="s">
        <v>88</v>
      </c>
      <c r="G101" s="2"/>
      <c r="I101" s="2" t="s">
        <v>254</v>
      </c>
    </row>
    <row r="102" spans="1:9">
      <c r="A102" s="1466" t="s">
        <v>18</v>
      </c>
      <c r="B102" s="1466"/>
      <c r="C102" s="1466"/>
      <c r="D102" s="1466"/>
      <c r="E102" s="8"/>
      <c r="F102" s="267" t="s">
        <v>1000</v>
      </c>
      <c r="G102" s="47"/>
      <c r="I102" s="47" t="s">
        <v>13</v>
      </c>
    </row>
    <row r="105" spans="1:9">
      <c r="A105" s="92" t="s">
        <v>258</v>
      </c>
    </row>
    <row r="106" spans="1:9">
      <c r="A106" s="77"/>
    </row>
    <row r="108" spans="1:9">
      <c r="A108" s="1462" t="s">
        <v>1456</v>
      </c>
      <c r="B108" s="1462"/>
      <c r="C108" s="1462"/>
      <c r="D108" s="1462"/>
      <c r="E108" s="1462"/>
    </row>
    <row r="109" spans="1:9">
      <c r="A109" s="1468" t="s">
        <v>14</v>
      </c>
      <c r="B109" s="1466"/>
      <c r="C109" s="1466"/>
      <c r="D109" s="1466"/>
      <c r="E109" s="1466"/>
    </row>
    <row r="139" spans="1:9" ht="20.100000000000001" customHeight="1">
      <c r="A139" s="1463" t="s">
        <v>1002</v>
      </c>
      <c r="B139" s="1464"/>
      <c r="C139" s="1464"/>
      <c r="D139" s="1464"/>
      <c r="E139" s="1464"/>
      <c r="F139" s="1464"/>
      <c r="G139" s="1464"/>
      <c r="H139" s="1464"/>
      <c r="I139" s="1464"/>
    </row>
    <row r="155" spans="1:9" ht="20.25">
      <c r="A155" s="1465"/>
      <c r="B155" s="1465"/>
      <c r="C155" s="1465"/>
      <c r="D155" s="1465"/>
      <c r="E155" s="1465"/>
      <c r="F155" s="1465"/>
      <c r="G155" s="1465"/>
      <c r="H155" s="1465"/>
      <c r="I155" s="1465"/>
    </row>
  </sheetData>
  <mergeCells count="20">
    <mergeCell ref="A3:I3"/>
    <mergeCell ref="A4:I4"/>
    <mergeCell ref="A9:H9"/>
    <mergeCell ref="A72:I72"/>
    <mergeCell ref="A73:I73"/>
    <mergeCell ref="A7:H7"/>
    <mergeCell ref="A35:D35"/>
    <mergeCell ref="A36:D36"/>
    <mergeCell ref="A69:I69"/>
    <mergeCell ref="A42:E42"/>
    <mergeCell ref="A43:E43"/>
    <mergeCell ref="A80:H80"/>
    <mergeCell ref="A101:D101"/>
    <mergeCell ref="A75:I75"/>
    <mergeCell ref="A139:I139"/>
    <mergeCell ref="A155:I155"/>
    <mergeCell ref="A102:D102"/>
    <mergeCell ref="A78:H78"/>
    <mergeCell ref="A108:E108"/>
    <mergeCell ref="A109:E109"/>
  </mergeCells>
  <printOptions horizontalCentered="1"/>
  <pageMargins left="0.5" right="0" top="1.5" bottom="0" header="0" footer="0"/>
  <pageSetup paperSize="256"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158"/>
  <sheetViews>
    <sheetView topLeftCell="G49" workbookViewId="0">
      <selection activeCell="M64" sqref="M64"/>
    </sheetView>
  </sheetViews>
  <sheetFormatPr defaultColWidth="12.140625" defaultRowHeight="15.75"/>
  <cols>
    <col min="1" max="1" width="45.7109375" style="272" customWidth="1"/>
    <col min="2" max="2" width="16.7109375" style="272" customWidth="1"/>
    <col min="3" max="3" width="14.7109375" style="272" customWidth="1"/>
    <col min="4" max="6" width="13.85546875" style="272" hidden="1" customWidth="1"/>
    <col min="7" max="7" width="13.5703125" style="272" customWidth="1"/>
    <col min="8" max="9" width="13.85546875" style="272" hidden="1" customWidth="1"/>
    <col min="10" max="10" width="14.140625" style="272" customWidth="1"/>
    <col min="11" max="11" width="12.5703125" style="272" customWidth="1"/>
    <col min="12" max="12" width="15.42578125" style="272" customWidth="1"/>
    <col min="13" max="13" width="16.140625" style="272" customWidth="1"/>
    <col min="14" max="14" width="45" style="272" customWidth="1"/>
    <col min="15" max="15" width="18.28515625" style="272" customWidth="1"/>
    <col min="16" max="16" width="10.42578125" style="272" customWidth="1"/>
    <col min="17" max="17" width="7.5703125" style="272" customWidth="1"/>
    <col min="18" max="18" width="29.5703125" style="272" customWidth="1"/>
    <col min="19" max="19" width="4.85546875" style="272" customWidth="1"/>
    <col min="20" max="16384" width="12.140625" style="272"/>
  </cols>
  <sheetData>
    <row r="1" spans="1:20">
      <c r="A1" s="1469" t="s">
        <v>1688</v>
      </c>
      <c r="B1" s="1469"/>
      <c r="C1" s="1469"/>
      <c r="D1" s="1469"/>
      <c r="E1" s="1469"/>
      <c r="F1" s="1469"/>
      <c r="G1" s="1469"/>
      <c r="H1" s="1469"/>
      <c r="I1" s="1469"/>
      <c r="J1" s="1469"/>
      <c r="K1" s="1469"/>
      <c r="L1" s="1469"/>
    </row>
    <row r="2" spans="1:20">
      <c r="A2" s="1469" t="s">
        <v>358</v>
      </c>
      <c r="B2" s="1469"/>
      <c r="C2" s="1469"/>
      <c r="D2" s="1469"/>
      <c r="E2" s="1469"/>
      <c r="F2" s="1469"/>
      <c r="G2" s="1469"/>
      <c r="H2" s="1469"/>
      <c r="I2" s="1469"/>
      <c r="J2" s="1469"/>
      <c r="K2" s="1469"/>
      <c r="L2" s="1469"/>
    </row>
    <row r="3" spans="1:20">
      <c r="A3" s="273"/>
      <c r="B3" s="273"/>
      <c r="C3" s="273"/>
      <c r="D3" s="273"/>
      <c r="E3" s="273"/>
    </row>
    <row r="4" spans="1:20" ht="16.5" thickBot="1">
      <c r="A4" s="1484"/>
      <c r="B4" s="1484"/>
      <c r="C4" s="1484"/>
      <c r="D4" s="1484"/>
      <c r="E4" s="1484"/>
    </row>
    <row r="5" spans="1:20" ht="47.25">
      <c r="A5" s="274" t="s">
        <v>3</v>
      </c>
      <c r="B5" s="275" t="s">
        <v>624</v>
      </c>
      <c r="C5" s="276" t="s">
        <v>880</v>
      </c>
      <c r="D5" s="277">
        <v>7611</v>
      </c>
      <c r="E5" s="278" t="s">
        <v>274</v>
      </c>
      <c r="F5" s="277" t="s">
        <v>275</v>
      </c>
      <c r="G5" s="279" t="s">
        <v>665</v>
      </c>
      <c r="H5" s="279">
        <v>8751</v>
      </c>
      <c r="I5" s="279">
        <v>8711</v>
      </c>
      <c r="J5" s="280" t="s">
        <v>666</v>
      </c>
      <c r="K5" s="275" t="s">
        <v>667</v>
      </c>
      <c r="L5" s="281" t="s">
        <v>15</v>
      </c>
      <c r="N5" s="282"/>
      <c r="T5" s="283"/>
    </row>
    <row r="6" spans="1:20" ht="16.5" thickBot="1">
      <c r="A6" s="298"/>
      <c r="B6" s="341"/>
      <c r="C6" s="342"/>
      <c r="D6" s="343"/>
      <c r="E6" s="344"/>
      <c r="F6" s="343"/>
      <c r="G6" s="345"/>
      <c r="H6" s="345"/>
      <c r="I6" s="345"/>
      <c r="J6" s="346"/>
      <c r="K6" s="301"/>
      <c r="L6" s="347"/>
    </row>
    <row r="7" spans="1:20">
      <c r="A7" s="302" t="s">
        <v>526</v>
      </c>
      <c r="B7" s="311" t="s">
        <v>687</v>
      </c>
      <c r="C7" s="287">
        <f>46191587-G7-J7</f>
        <v>30374098</v>
      </c>
      <c r="D7" s="312">
        <v>2952912</v>
      </c>
      <c r="E7" s="312">
        <v>6502489</v>
      </c>
      <c r="F7" s="312">
        <v>1954008</v>
      </c>
      <c r="G7" s="312">
        <f>SUM(D7:F7)</f>
        <v>11409409</v>
      </c>
      <c r="H7" s="312">
        <v>1482600</v>
      </c>
      <c r="I7" s="312">
        <v>2925480</v>
      </c>
      <c r="J7" s="312">
        <f>SUM(H7:I7)</f>
        <v>4408080</v>
      </c>
      <c r="K7" s="312">
        <v>0</v>
      </c>
      <c r="L7" s="303">
        <f>SUM(C7+G7+J7+K7)</f>
        <v>46191587</v>
      </c>
      <c r="N7" s="1469" t="s">
        <v>1688</v>
      </c>
      <c r="O7" s="1469"/>
      <c r="P7" s="1469"/>
      <c r="Q7" s="1469"/>
      <c r="R7" s="1469"/>
      <c r="S7" s="289"/>
      <c r="T7" s="289"/>
    </row>
    <row r="8" spans="1:20">
      <c r="A8" s="302" t="s">
        <v>428</v>
      </c>
      <c r="B8" s="311" t="s">
        <v>743</v>
      </c>
      <c r="C8" s="287">
        <f>1659684-G8-J8</f>
        <v>1659684</v>
      </c>
      <c r="D8" s="312">
        <v>0</v>
      </c>
      <c r="E8" s="312">
        <v>0</v>
      </c>
      <c r="F8" s="312">
        <v>0</v>
      </c>
      <c r="G8" s="312">
        <f>SUM(D8:F8)</f>
        <v>0</v>
      </c>
      <c r="H8" s="312">
        <v>0</v>
      </c>
      <c r="I8" s="312">
        <v>0</v>
      </c>
      <c r="J8" s="312">
        <v>0</v>
      </c>
      <c r="K8" s="312">
        <v>0</v>
      </c>
      <c r="L8" s="303">
        <f>SUM(C8+G8+J8+K8)</f>
        <v>1659684</v>
      </c>
      <c r="N8" s="1097"/>
      <c r="O8" s="1097"/>
      <c r="P8" s="1097"/>
      <c r="Q8" s="1097"/>
      <c r="R8" s="1097"/>
      <c r="S8" s="289"/>
      <c r="T8" s="289"/>
    </row>
    <row r="9" spans="1:20">
      <c r="A9" s="285" t="s">
        <v>528</v>
      </c>
      <c r="B9" s="286" t="s">
        <v>688</v>
      </c>
      <c r="C9" s="287">
        <f>3096000-G9-J9</f>
        <v>2088000</v>
      </c>
      <c r="D9" s="287">
        <v>192000</v>
      </c>
      <c r="E9" s="287">
        <v>384000</v>
      </c>
      <c r="F9" s="287">
        <v>144000</v>
      </c>
      <c r="G9" s="312">
        <f t="shared" ref="G9:G27" si="0">SUM(D9:F9)</f>
        <v>720000</v>
      </c>
      <c r="H9" s="287">
        <v>72000</v>
      </c>
      <c r="I9" s="287">
        <v>216000</v>
      </c>
      <c r="J9" s="287">
        <f>SUM(H9:I9)</f>
        <v>288000</v>
      </c>
      <c r="K9" s="287">
        <v>0</v>
      </c>
      <c r="L9" s="288">
        <f t="shared" ref="L9:L28" si="1">SUM(C9+G9+J9+K9)</f>
        <v>3096000</v>
      </c>
      <c r="N9" s="1469" t="s">
        <v>358</v>
      </c>
      <c r="O9" s="1469"/>
      <c r="P9" s="1469"/>
      <c r="Q9" s="1469"/>
      <c r="R9" s="1469"/>
      <c r="S9" s="289"/>
      <c r="T9" s="289"/>
    </row>
    <row r="10" spans="1:20">
      <c r="A10" s="285" t="s">
        <v>538</v>
      </c>
      <c r="B10" s="286" t="s">
        <v>689</v>
      </c>
      <c r="C10" s="287">
        <f>1785000-G10-J10</f>
        <v>1479000</v>
      </c>
      <c r="D10" s="287">
        <f>76500</f>
        <v>76500</v>
      </c>
      <c r="E10" s="287">
        <v>76500</v>
      </c>
      <c r="F10" s="287">
        <v>0</v>
      </c>
      <c r="G10" s="312">
        <f t="shared" si="0"/>
        <v>153000</v>
      </c>
      <c r="H10" s="287">
        <v>76500</v>
      </c>
      <c r="I10" s="287">
        <v>76500</v>
      </c>
      <c r="J10" s="287">
        <f t="shared" ref="J10:J27" si="2">SUM(H10:I10)</f>
        <v>153000</v>
      </c>
      <c r="K10" s="287">
        <v>0</v>
      </c>
      <c r="L10" s="288">
        <f t="shared" si="1"/>
        <v>1785000</v>
      </c>
      <c r="N10" s="273"/>
      <c r="O10" s="273"/>
      <c r="P10" s="273"/>
      <c r="Q10" s="273"/>
      <c r="R10" s="273"/>
      <c r="S10" s="273"/>
      <c r="T10" s="273"/>
    </row>
    <row r="11" spans="1:20" ht="16.5" thickBot="1">
      <c r="A11" s="285" t="s">
        <v>537</v>
      </c>
      <c r="B11" s="286" t="s">
        <v>690</v>
      </c>
      <c r="C11" s="287">
        <f>1785000-G11-J11</f>
        <v>1479000</v>
      </c>
      <c r="D11" s="287">
        <f>76500</f>
        <v>76500</v>
      </c>
      <c r="E11" s="287">
        <v>76500</v>
      </c>
      <c r="F11" s="287">
        <v>0</v>
      </c>
      <c r="G11" s="312">
        <f t="shared" si="0"/>
        <v>153000</v>
      </c>
      <c r="H11" s="287">
        <v>76500</v>
      </c>
      <c r="I11" s="287">
        <v>76500</v>
      </c>
      <c r="J11" s="287">
        <f t="shared" si="2"/>
        <v>153000</v>
      </c>
      <c r="K11" s="287">
        <v>0</v>
      </c>
      <c r="L11" s="288">
        <f t="shared" si="1"/>
        <v>1785000</v>
      </c>
      <c r="N11" s="1484" t="s">
        <v>10</v>
      </c>
      <c r="O11" s="1484"/>
      <c r="P11" s="1484"/>
      <c r="Q11" s="1484"/>
      <c r="R11" s="1484"/>
      <c r="S11" s="290"/>
      <c r="T11" s="290"/>
    </row>
    <row r="12" spans="1:20">
      <c r="A12" s="285" t="s">
        <v>539</v>
      </c>
      <c r="B12" s="286" t="s">
        <v>691</v>
      </c>
      <c r="C12" s="287">
        <f>774000-G12-J12</f>
        <v>522000</v>
      </c>
      <c r="D12" s="287">
        <v>48000</v>
      </c>
      <c r="E12" s="287">
        <v>96000</v>
      </c>
      <c r="F12" s="287">
        <v>36000</v>
      </c>
      <c r="G12" s="312">
        <f t="shared" si="0"/>
        <v>180000</v>
      </c>
      <c r="H12" s="287">
        <v>18000</v>
      </c>
      <c r="I12" s="287">
        <v>54000</v>
      </c>
      <c r="J12" s="287">
        <f t="shared" si="2"/>
        <v>72000</v>
      </c>
      <c r="K12" s="287">
        <v>0</v>
      </c>
      <c r="L12" s="288">
        <f t="shared" si="1"/>
        <v>774000</v>
      </c>
      <c r="N12" s="291"/>
      <c r="O12" s="291"/>
      <c r="P12" s="292"/>
      <c r="Q12" s="292"/>
      <c r="R12" s="293"/>
    </row>
    <row r="13" spans="1:20">
      <c r="A13" s="285" t="s">
        <v>540</v>
      </c>
      <c r="B13" s="286" t="s">
        <v>708</v>
      </c>
      <c r="C13" s="287">
        <v>0</v>
      </c>
      <c r="D13" s="287">
        <v>108000</v>
      </c>
      <c r="E13" s="287">
        <v>316800</v>
      </c>
      <c r="F13" s="287">
        <v>118800</v>
      </c>
      <c r="G13" s="312">
        <f t="shared" si="0"/>
        <v>543600</v>
      </c>
      <c r="H13" s="287">
        <v>0</v>
      </c>
      <c r="I13" s="287">
        <v>0</v>
      </c>
      <c r="J13" s="287">
        <f t="shared" si="2"/>
        <v>0</v>
      </c>
      <c r="K13" s="287">
        <v>0</v>
      </c>
      <c r="L13" s="288">
        <f t="shared" si="1"/>
        <v>543600</v>
      </c>
      <c r="N13" s="294"/>
      <c r="O13" s="294"/>
      <c r="P13" s="295"/>
      <c r="Q13" s="295"/>
      <c r="R13" s="296"/>
    </row>
    <row r="14" spans="1:20">
      <c r="A14" s="285" t="s">
        <v>795</v>
      </c>
      <c r="B14" s="286" t="s">
        <v>692</v>
      </c>
      <c r="C14" s="287">
        <f>645000-G14-J14</f>
        <v>435000</v>
      </c>
      <c r="D14" s="287">
        <v>40000</v>
      </c>
      <c r="E14" s="287">
        <v>80000</v>
      </c>
      <c r="F14" s="287">
        <v>30000</v>
      </c>
      <c r="G14" s="312">
        <f t="shared" si="0"/>
        <v>150000</v>
      </c>
      <c r="H14" s="287">
        <v>15000</v>
      </c>
      <c r="I14" s="287">
        <v>45000</v>
      </c>
      <c r="J14" s="287">
        <f t="shared" si="2"/>
        <v>60000</v>
      </c>
      <c r="K14" s="287">
        <v>0</v>
      </c>
      <c r="L14" s="288">
        <f t="shared" si="1"/>
        <v>645000</v>
      </c>
      <c r="N14" s="297" t="s">
        <v>3</v>
      </c>
      <c r="O14" s="1485" t="s">
        <v>624</v>
      </c>
      <c r="P14" s="1486"/>
      <c r="Q14" s="1487"/>
      <c r="R14" s="296" t="s">
        <v>15</v>
      </c>
    </row>
    <row r="15" spans="1:20">
      <c r="A15" s="285" t="s">
        <v>541</v>
      </c>
      <c r="B15" s="286" t="s">
        <v>693</v>
      </c>
      <c r="C15" s="287">
        <f>30000-G15-J15</f>
        <v>30000</v>
      </c>
      <c r="D15" s="287">
        <v>0</v>
      </c>
      <c r="E15" s="287">
        <v>0</v>
      </c>
      <c r="F15" s="287">
        <v>0</v>
      </c>
      <c r="G15" s="312">
        <f t="shared" si="0"/>
        <v>0</v>
      </c>
      <c r="H15" s="287">
        <v>0</v>
      </c>
      <c r="I15" s="287">
        <v>0</v>
      </c>
      <c r="J15" s="287">
        <f t="shared" si="2"/>
        <v>0</v>
      </c>
      <c r="K15" s="287">
        <v>0</v>
      </c>
      <c r="L15" s="288">
        <f t="shared" si="1"/>
        <v>30000</v>
      </c>
      <c r="N15" s="294"/>
      <c r="O15" s="294"/>
      <c r="P15" s="295"/>
      <c r="Q15" s="295"/>
      <c r="R15" s="284"/>
    </row>
    <row r="16" spans="1:20" s="1098" customFormat="1" ht="16.5" thickBot="1">
      <c r="A16" s="285" t="s">
        <v>542</v>
      </c>
      <c r="B16" s="286" t="s">
        <v>693</v>
      </c>
      <c r="C16" s="287">
        <v>0</v>
      </c>
      <c r="D16" s="287">
        <v>0</v>
      </c>
      <c r="E16" s="287">
        <v>0</v>
      </c>
      <c r="F16" s="287">
        <v>0</v>
      </c>
      <c r="G16" s="312">
        <f t="shared" si="0"/>
        <v>0</v>
      </c>
      <c r="H16" s="287">
        <v>0</v>
      </c>
      <c r="I16" s="287">
        <v>0</v>
      </c>
      <c r="J16" s="287">
        <f t="shared" si="2"/>
        <v>0</v>
      </c>
      <c r="K16" s="287">
        <v>0</v>
      </c>
      <c r="L16" s="288">
        <f t="shared" si="1"/>
        <v>0</v>
      </c>
      <c r="N16" s="298"/>
      <c r="O16" s="298"/>
      <c r="P16" s="299"/>
      <c r="Q16" s="300"/>
      <c r="R16" s="301"/>
      <c r="S16" s="272"/>
      <c r="T16" s="272"/>
    </row>
    <row r="17" spans="1:18">
      <c r="A17" s="285" t="s">
        <v>543</v>
      </c>
      <c r="B17" s="286" t="s">
        <v>709</v>
      </c>
      <c r="C17" s="287">
        <v>0</v>
      </c>
      <c r="D17" s="287">
        <v>167080.79999999999</v>
      </c>
      <c r="E17" s="287">
        <v>546687</v>
      </c>
      <c r="F17" s="287">
        <v>173241</v>
      </c>
      <c r="G17" s="312">
        <f t="shared" si="0"/>
        <v>887008.8</v>
      </c>
      <c r="H17" s="287">
        <v>0</v>
      </c>
      <c r="I17" s="287">
        <v>0</v>
      </c>
      <c r="J17" s="287">
        <f t="shared" si="2"/>
        <v>0</v>
      </c>
      <c r="K17" s="287">
        <v>0</v>
      </c>
      <c r="L17" s="288">
        <f t="shared" si="1"/>
        <v>887008.8</v>
      </c>
      <c r="N17" s="302" t="s">
        <v>526</v>
      </c>
      <c r="O17" s="1475" t="s">
        <v>687</v>
      </c>
      <c r="P17" s="1476"/>
      <c r="Q17" s="1477"/>
      <c r="R17" s="303">
        <f>'LBP NO. 2'!M990</f>
        <v>3940171</v>
      </c>
    </row>
    <row r="18" spans="1:18">
      <c r="A18" s="285" t="s">
        <v>367</v>
      </c>
      <c r="B18" s="286" t="s">
        <v>710</v>
      </c>
      <c r="C18" s="287">
        <f>137000</f>
        <v>137000</v>
      </c>
      <c r="D18" s="287">
        <v>0</v>
      </c>
      <c r="E18" s="287">
        <v>0</v>
      </c>
      <c r="F18" s="287">
        <v>0</v>
      </c>
      <c r="G18" s="312">
        <f t="shared" si="0"/>
        <v>0</v>
      </c>
      <c r="H18" s="287">
        <v>0</v>
      </c>
      <c r="I18" s="287">
        <v>0</v>
      </c>
      <c r="J18" s="287">
        <f t="shared" si="2"/>
        <v>0</v>
      </c>
      <c r="K18" s="287">
        <v>0</v>
      </c>
      <c r="L18" s="288">
        <f t="shared" si="1"/>
        <v>137000</v>
      </c>
      <c r="N18" s="285" t="s">
        <v>528</v>
      </c>
      <c r="O18" s="1472" t="s">
        <v>688</v>
      </c>
      <c r="P18" s="1473"/>
      <c r="Q18" s="1474"/>
      <c r="R18" s="288">
        <f>'LBP NO. 2'!M993</f>
        <v>576000</v>
      </c>
    </row>
    <row r="19" spans="1:18">
      <c r="A19" s="285" t="s">
        <v>544</v>
      </c>
      <c r="B19" s="286" t="s">
        <v>694</v>
      </c>
      <c r="C19" s="287">
        <f>645000-G19-J19</f>
        <v>435000</v>
      </c>
      <c r="D19" s="287">
        <v>40000</v>
      </c>
      <c r="E19" s="287">
        <v>80000</v>
      </c>
      <c r="F19" s="287">
        <v>30000</v>
      </c>
      <c r="G19" s="312">
        <f t="shared" si="0"/>
        <v>150000</v>
      </c>
      <c r="H19" s="287">
        <v>15000</v>
      </c>
      <c r="I19" s="287">
        <v>45000</v>
      </c>
      <c r="J19" s="287">
        <f t="shared" si="2"/>
        <v>60000</v>
      </c>
      <c r="K19" s="287">
        <v>0</v>
      </c>
      <c r="L19" s="288">
        <f t="shared" si="1"/>
        <v>645000</v>
      </c>
      <c r="N19" s="285" t="s">
        <v>539</v>
      </c>
      <c r="O19" s="1472" t="s">
        <v>691</v>
      </c>
      <c r="P19" s="1473"/>
      <c r="Q19" s="1474"/>
      <c r="R19" s="288">
        <f>'LBP NO. 2'!M994</f>
        <v>144000</v>
      </c>
    </row>
    <row r="20" spans="1:18">
      <c r="A20" s="285" t="s">
        <v>805</v>
      </c>
      <c r="B20" s="286" t="s">
        <v>693</v>
      </c>
      <c r="C20" s="287">
        <f>3978549-G20-J20</f>
        <v>2661549</v>
      </c>
      <c r="D20" s="287">
        <v>246076</v>
      </c>
      <c r="E20" s="287">
        <v>541072</v>
      </c>
      <c r="F20" s="287">
        <v>162834</v>
      </c>
      <c r="G20" s="312">
        <f t="shared" si="0"/>
        <v>949982</v>
      </c>
      <c r="H20" s="287">
        <v>123550</v>
      </c>
      <c r="I20" s="287">
        <v>243468</v>
      </c>
      <c r="J20" s="287">
        <f t="shared" si="2"/>
        <v>367018</v>
      </c>
      <c r="K20" s="287">
        <v>0</v>
      </c>
      <c r="L20" s="288">
        <f t="shared" si="1"/>
        <v>3978549</v>
      </c>
      <c r="N20" s="285" t="s">
        <v>540</v>
      </c>
      <c r="O20" s="1472" t="s">
        <v>708</v>
      </c>
      <c r="P20" s="1473"/>
      <c r="Q20" s="1474"/>
      <c r="R20" s="288">
        <f>'LBP NO. 2'!M995</f>
        <v>19800</v>
      </c>
    </row>
    <row r="21" spans="1:18">
      <c r="A21" s="285" t="s">
        <v>545</v>
      </c>
      <c r="B21" s="286" t="s">
        <v>695</v>
      </c>
      <c r="C21" s="287">
        <f>3997651-G21-J21</f>
        <v>2678271</v>
      </c>
      <c r="D21" s="287">
        <v>246076</v>
      </c>
      <c r="E21" s="287">
        <v>543130</v>
      </c>
      <c r="F21" s="287">
        <v>162834</v>
      </c>
      <c r="G21" s="312">
        <f t="shared" si="0"/>
        <v>952040</v>
      </c>
      <c r="H21" s="287">
        <v>123550</v>
      </c>
      <c r="I21" s="287">
        <v>243790</v>
      </c>
      <c r="J21" s="287">
        <f t="shared" si="2"/>
        <v>367340</v>
      </c>
      <c r="K21" s="287">
        <v>0</v>
      </c>
      <c r="L21" s="288">
        <f t="shared" si="1"/>
        <v>3997651</v>
      </c>
      <c r="N21" s="285" t="s">
        <v>795</v>
      </c>
      <c r="O21" s="1472" t="s">
        <v>692</v>
      </c>
      <c r="P21" s="1473"/>
      <c r="Q21" s="1474"/>
      <c r="R21" s="288">
        <f>'LBP NO. 2'!M996</f>
        <v>120000</v>
      </c>
    </row>
    <row r="22" spans="1:18">
      <c r="A22" s="285" t="s">
        <v>658</v>
      </c>
      <c r="B22" s="286" t="s">
        <v>696</v>
      </c>
      <c r="C22" s="287">
        <f>5790300-G22-J22</f>
        <v>3886150</v>
      </c>
      <c r="D22" s="287">
        <v>356150</v>
      </c>
      <c r="E22" s="287">
        <v>781000</v>
      </c>
      <c r="F22" s="287">
        <v>235000</v>
      </c>
      <c r="G22" s="312">
        <f t="shared" si="0"/>
        <v>1372150</v>
      </c>
      <c r="H22" s="287">
        <v>179000</v>
      </c>
      <c r="I22" s="287">
        <v>353000</v>
      </c>
      <c r="J22" s="287">
        <f t="shared" si="2"/>
        <v>532000</v>
      </c>
      <c r="K22" s="287">
        <v>0</v>
      </c>
      <c r="L22" s="288">
        <f t="shared" si="1"/>
        <v>5790300</v>
      </c>
      <c r="N22" s="285" t="s">
        <v>541</v>
      </c>
      <c r="O22" s="1472" t="s">
        <v>693</v>
      </c>
      <c r="P22" s="1473"/>
      <c r="Q22" s="1474"/>
      <c r="R22" s="288">
        <f>'LBP NO. 2'!M997</f>
        <v>15000</v>
      </c>
    </row>
    <row r="23" spans="1:18">
      <c r="A23" s="285" t="s">
        <v>546</v>
      </c>
      <c r="B23" s="286" t="s">
        <v>697</v>
      </c>
      <c r="C23" s="287">
        <f>232200-G23-J23</f>
        <v>156600</v>
      </c>
      <c r="D23" s="287">
        <v>14400</v>
      </c>
      <c r="E23" s="287">
        <v>28800</v>
      </c>
      <c r="F23" s="287">
        <v>10800</v>
      </c>
      <c r="G23" s="312">
        <f t="shared" si="0"/>
        <v>54000</v>
      </c>
      <c r="H23" s="287">
        <v>5400</v>
      </c>
      <c r="I23" s="287">
        <v>16200</v>
      </c>
      <c r="J23" s="287">
        <f t="shared" si="2"/>
        <v>21600</v>
      </c>
      <c r="K23" s="287">
        <v>0</v>
      </c>
      <c r="L23" s="288">
        <f t="shared" si="1"/>
        <v>232200</v>
      </c>
      <c r="N23" s="285" t="s">
        <v>543</v>
      </c>
      <c r="O23" s="1472" t="s">
        <v>709</v>
      </c>
      <c r="P23" s="1473"/>
      <c r="Q23" s="1474"/>
      <c r="R23" s="288">
        <f>'LBP NO. 2'!M1000</f>
        <v>21336</v>
      </c>
    </row>
    <row r="24" spans="1:18">
      <c r="A24" s="285" t="s">
        <v>547</v>
      </c>
      <c r="B24" s="286" t="s">
        <v>698</v>
      </c>
      <c r="C24" s="287">
        <f>978250-G24-J24</f>
        <v>656500</v>
      </c>
      <c r="D24" s="287">
        <v>60700</v>
      </c>
      <c r="E24" s="287">
        <v>131050</v>
      </c>
      <c r="F24" s="287">
        <v>40000</v>
      </c>
      <c r="G24" s="312">
        <f t="shared" si="0"/>
        <v>231750</v>
      </c>
      <c r="H24" s="287">
        <v>30000</v>
      </c>
      <c r="I24" s="287">
        <v>60000</v>
      </c>
      <c r="J24" s="287">
        <f t="shared" si="2"/>
        <v>90000</v>
      </c>
      <c r="K24" s="287">
        <v>0</v>
      </c>
      <c r="L24" s="288">
        <f t="shared" si="1"/>
        <v>978250</v>
      </c>
      <c r="N24" s="285" t="s">
        <v>367</v>
      </c>
      <c r="O24" s="1472" t="s">
        <v>710</v>
      </c>
      <c r="P24" s="1473"/>
      <c r="Q24" s="1474"/>
      <c r="R24" s="288">
        <f>'LBP NO. 2'!M1001</f>
        <v>100000</v>
      </c>
    </row>
    <row r="25" spans="1:18">
      <c r="A25" s="285" t="s">
        <v>654</v>
      </c>
      <c r="B25" s="286" t="s">
        <v>699</v>
      </c>
      <c r="C25" s="287">
        <f>154800-G25-J25</f>
        <v>104400</v>
      </c>
      <c r="D25" s="287">
        <v>9600</v>
      </c>
      <c r="E25" s="287">
        <v>19200</v>
      </c>
      <c r="F25" s="287">
        <v>7200</v>
      </c>
      <c r="G25" s="312">
        <f t="shared" si="0"/>
        <v>36000</v>
      </c>
      <c r="H25" s="287">
        <v>3600</v>
      </c>
      <c r="I25" s="287">
        <v>10800</v>
      </c>
      <c r="J25" s="287">
        <f t="shared" si="2"/>
        <v>14400</v>
      </c>
      <c r="K25" s="287">
        <v>0</v>
      </c>
      <c r="L25" s="288">
        <f t="shared" si="1"/>
        <v>154800</v>
      </c>
      <c r="N25" s="285" t="s">
        <v>544</v>
      </c>
      <c r="O25" s="1472" t="s">
        <v>694</v>
      </c>
      <c r="P25" s="1473"/>
      <c r="Q25" s="1474"/>
      <c r="R25" s="288">
        <f>'LBP NO. 2'!M1002</f>
        <v>120000</v>
      </c>
    </row>
    <row r="26" spans="1:18">
      <c r="A26" s="285" t="s">
        <v>372</v>
      </c>
      <c r="B26" s="286" t="s">
        <v>700</v>
      </c>
      <c r="C26" s="287">
        <f>3600000-G26-J26</f>
        <v>2300000</v>
      </c>
      <c r="D26" s="287">
        <v>0</v>
      </c>
      <c r="E26" s="287">
        <v>0</v>
      </c>
      <c r="F26" s="287">
        <v>0</v>
      </c>
      <c r="G26" s="312">
        <f t="shared" si="0"/>
        <v>0</v>
      </c>
      <c r="H26" s="287">
        <v>0</v>
      </c>
      <c r="I26" s="287">
        <v>1300000</v>
      </c>
      <c r="J26" s="287">
        <f t="shared" si="2"/>
        <v>1300000</v>
      </c>
      <c r="K26" s="287">
        <v>0</v>
      </c>
      <c r="L26" s="288">
        <f t="shared" si="1"/>
        <v>3600000</v>
      </c>
      <c r="N26" s="285" t="s">
        <v>805</v>
      </c>
      <c r="O26" s="1472" t="s">
        <v>693</v>
      </c>
      <c r="P26" s="1473"/>
      <c r="Q26" s="1474"/>
      <c r="R26" s="288">
        <f>'LBP NO. 2'!M1003</f>
        <v>328301</v>
      </c>
    </row>
    <row r="27" spans="1:18">
      <c r="A27" s="285" t="s">
        <v>548</v>
      </c>
      <c r="B27" s="286" t="s">
        <v>700</v>
      </c>
      <c r="C27" s="287">
        <v>0</v>
      </c>
      <c r="D27" s="287">
        <v>0</v>
      </c>
      <c r="E27" s="287">
        <v>25000</v>
      </c>
      <c r="F27" s="287">
        <v>0</v>
      </c>
      <c r="G27" s="312">
        <f t="shared" si="0"/>
        <v>25000</v>
      </c>
      <c r="H27" s="287">
        <v>0</v>
      </c>
      <c r="I27" s="287">
        <v>0</v>
      </c>
      <c r="J27" s="287">
        <f t="shared" si="2"/>
        <v>0</v>
      </c>
      <c r="K27" s="287">
        <v>0</v>
      </c>
      <c r="L27" s="288">
        <f t="shared" si="1"/>
        <v>25000</v>
      </c>
      <c r="N27" s="285" t="s">
        <v>1513</v>
      </c>
      <c r="O27" s="1472" t="s">
        <v>693</v>
      </c>
      <c r="P27" s="1473"/>
      <c r="Q27" s="1474"/>
      <c r="R27" s="288">
        <f>'LBP NO. 2'!M999</f>
        <v>220000</v>
      </c>
    </row>
    <row r="28" spans="1:18" ht="16.5" thickBot="1">
      <c r="A28" s="304" t="s">
        <v>549</v>
      </c>
      <c r="B28" s="305" t="s">
        <v>711</v>
      </c>
      <c r="C28" s="306">
        <v>0</v>
      </c>
      <c r="D28" s="306">
        <v>0</v>
      </c>
      <c r="E28" s="306">
        <v>0</v>
      </c>
      <c r="F28" s="306">
        <v>0</v>
      </c>
      <c r="G28" s="306">
        <f>SUM(D28:F28)</f>
        <v>0</v>
      </c>
      <c r="H28" s="306">
        <v>0</v>
      </c>
      <c r="I28" s="306">
        <v>0</v>
      </c>
      <c r="J28" s="306">
        <f>SUM(H28:I28)</f>
        <v>0</v>
      </c>
      <c r="K28" s="306">
        <v>0</v>
      </c>
      <c r="L28" s="288">
        <f t="shared" si="1"/>
        <v>0</v>
      </c>
      <c r="N28" s="285" t="s">
        <v>545</v>
      </c>
      <c r="O28" s="1472" t="s">
        <v>695</v>
      </c>
      <c r="P28" s="1473"/>
      <c r="Q28" s="1474"/>
      <c r="R28" s="288">
        <f>'LBP NO. 2'!M1004</f>
        <v>328392</v>
      </c>
    </row>
    <row r="29" spans="1:18" ht="16.5" thickBot="1">
      <c r="A29" s="307" t="s">
        <v>877</v>
      </c>
      <c r="B29" s="308"/>
      <c r="C29" s="309">
        <f>SUM(C7:C28)</f>
        <v>51082252</v>
      </c>
      <c r="D29" s="309">
        <f t="shared" ref="D29:G29" si="3">SUM(D7:D28)</f>
        <v>4633994.8</v>
      </c>
      <c r="E29" s="309">
        <f t="shared" si="3"/>
        <v>10228228</v>
      </c>
      <c r="F29" s="309">
        <f t="shared" si="3"/>
        <v>3104717</v>
      </c>
      <c r="G29" s="309">
        <f t="shared" si="3"/>
        <v>17966939.800000001</v>
      </c>
      <c r="H29" s="309">
        <f t="shared" ref="H29:L29" si="4">SUM(H7:H28)</f>
        <v>2220700</v>
      </c>
      <c r="I29" s="309">
        <f t="shared" si="4"/>
        <v>5665738</v>
      </c>
      <c r="J29" s="309">
        <f t="shared" si="4"/>
        <v>7886438</v>
      </c>
      <c r="K29" s="309">
        <f t="shared" si="4"/>
        <v>0</v>
      </c>
      <c r="L29" s="309">
        <f t="shared" si="4"/>
        <v>76935629.799999997</v>
      </c>
      <c r="N29" s="285" t="s">
        <v>658</v>
      </c>
      <c r="O29" s="1472" t="s">
        <v>696</v>
      </c>
      <c r="P29" s="1473"/>
      <c r="Q29" s="1474"/>
      <c r="R29" s="288">
        <f>'LBP NO. 2'!M1005</f>
        <v>474000</v>
      </c>
    </row>
    <row r="30" spans="1:18">
      <c r="A30" s="302" t="s">
        <v>551</v>
      </c>
      <c r="B30" s="311" t="s">
        <v>701</v>
      </c>
      <c r="C30" s="312">
        <f>3271940-G30-J30</f>
        <v>2707000</v>
      </c>
      <c r="D30" s="312">
        <v>108000</v>
      </c>
      <c r="E30" s="312">
        <v>191774</v>
      </c>
      <c r="F30" s="312">
        <v>95166</v>
      </c>
      <c r="G30" s="312">
        <f>SUM(D30:F30)</f>
        <v>394940</v>
      </c>
      <c r="H30" s="312">
        <v>38000</v>
      </c>
      <c r="I30" s="312">
        <v>132000</v>
      </c>
      <c r="J30" s="312">
        <f>SUM(H30:I30)</f>
        <v>170000</v>
      </c>
      <c r="K30" s="312">
        <v>0</v>
      </c>
      <c r="L30" s="288">
        <f t="shared" ref="L30:L70" si="5">SUM(C30+G30+J30+K30)</f>
        <v>3271940</v>
      </c>
      <c r="N30" s="285" t="s">
        <v>546</v>
      </c>
      <c r="O30" s="1472" t="s">
        <v>697</v>
      </c>
      <c r="P30" s="1473"/>
      <c r="Q30" s="1474"/>
      <c r="R30" s="288">
        <f>'LBP NO. 2'!M1006</f>
        <v>43200</v>
      </c>
    </row>
    <row r="31" spans="1:18">
      <c r="A31" s="285" t="s">
        <v>429</v>
      </c>
      <c r="B31" s="286" t="s">
        <v>702</v>
      </c>
      <c r="C31" s="287">
        <f>2565401-G31-J31</f>
        <v>2079000</v>
      </c>
      <c r="D31" s="287">
        <v>120000</v>
      </c>
      <c r="E31" s="287">
        <v>102478</v>
      </c>
      <c r="F31" s="287">
        <v>43923</v>
      </c>
      <c r="G31" s="312">
        <f t="shared" ref="G31:G48" si="6">SUM(D31:F31)</f>
        <v>266401</v>
      </c>
      <c r="H31" s="287">
        <v>40000</v>
      </c>
      <c r="I31" s="287">
        <v>180000</v>
      </c>
      <c r="J31" s="287">
        <f>SUM(H31:I31)</f>
        <v>220000</v>
      </c>
      <c r="K31" s="287">
        <v>0</v>
      </c>
      <c r="L31" s="288">
        <f t="shared" si="5"/>
        <v>2565401</v>
      </c>
      <c r="N31" s="285" t="s">
        <v>547</v>
      </c>
      <c r="O31" s="1472" t="s">
        <v>698</v>
      </c>
      <c r="P31" s="1473"/>
      <c r="Q31" s="1474"/>
      <c r="R31" s="288">
        <f>'LBP NO. 2'!M1007</f>
        <v>80000</v>
      </c>
    </row>
    <row r="32" spans="1:18">
      <c r="A32" s="285" t="s">
        <v>378</v>
      </c>
      <c r="B32" s="286" t="s">
        <v>703</v>
      </c>
      <c r="C32" s="287">
        <f>3672410-G32-J32</f>
        <v>3096402</v>
      </c>
      <c r="D32" s="287">
        <v>200000</v>
      </c>
      <c r="E32" s="287">
        <v>124410</v>
      </c>
      <c r="F32" s="287">
        <v>121598</v>
      </c>
      <c r="G32" s="312">
        <f t="shared" si="6"/>
        <v>446008</v>
      </c>
      <c r="H32" s="287">
        <v>80000</v>
      </c>
      <c r="I32" s="287">
        <v>50000</v>
      </c>
      <c r="J32" s="287">
        <f t="shared" ref="J32:J48" si="7">SUM(H32:I32)</f>
        <v>130000</v>
      </c>
      <c r="K32" s="287">
        <v>0</v>
      </c>
      <c r="L32" s="288">
        <f t="shared" si="5"/>
        <v>3672410</v>
      </c>
      <c r="N32" s="285" t="s">
        <v>654</v>
      </c>
      <c r="O32" s="1472" t="s">
        <v>699</v>
      </c>
      <c r="P32" s="1473"/>
      <c r="Q32" s="1474"/>
      <c r="R32" s="288">
        <f>'LBP NO. 2'!M1008</f>
        <v>28800</v>
      </c>
    </row>
    <row r="33" spans="1:18">
      <c r="A33" s="285" t="s">
        <v>552</v>
      </c>
      <c r="B33" s="286" t="s">
        <v>712</v>
      </c>
      <c r="C33" s="287">
        <v>200000</v>
      </c>
      <c r="D33" s="287">
        <v>0</v>
      </c>
      <c r="E33" s="287">
        <v>0</v>
      </c>
      <c r="F33" s="287">
        <v>0</v>
      </c>
      <c r="G33" s="312">
        <f t="shared" si="6"/>
        <v>0</v>
      </c>
      <c r="H33" s="287">
        <v>0</v>
      </c>
      <c r="I33" s="287">
        <v>0</v>
      </c>
      <c r="J33" s="287">
        <f t="shared" si="7"/>
        <v>0</v>
      </c>
      <c r="K33" s="287">
        <v>0</v>
      </c>
      <c r="L33" s="288">
        <f t="shared" si="5"/>
        <v>200000</v>
      </c>
      <c r="N33" s="285" t="s">
        <v>549</v>
      </c>
      <c r="O33" s="1472" t="s">
        <v>711</v>
      </c>
      <c r="P33" s="1473"/>
      <c r="Q33" s="1474"/>
      <c r="R33" s="288">
        <f>'LBP NO. 2'!M1010</f>
        <v>410000</v>
      </c>
    </row>
    <row r="34" spans="1:18" ht="16.5" thickBot="1">
      <c r="A34" s="285" t="s">
        <v>553</v>
      </c>
      <c r="B34" s="286" t="s">
        <v>713</v>
      </c>
      <c r="C34" s="287">
        <v>0</v>
      </c>
      <c r="D34" s="287">
        <v>0</v>
      </c>
      <c r="E34" s="287">
        <v>1403645</v>
      </c>
      <c r="F34" s="287">
        <v>1397420</v>
      </c>
      <c r="G34" s="312">
        <f t="shared" si="6"/>
        <v>2801065</v>
      </c>
      <c r="H34" s="287">
        <v>0</v>
      </c>
      <c r="I34" s="287">
        <v>0</v>
      </c>
      <c r="J34" s="287">
        <f t="shared" si="7"/>
        <v>0</v>
      </c>
      <c r="K34" s="287">
        <v>0</v>
      </c>
      <c r="L34" s="288">
        <f t="shared" si="5"/>
        <v>2801065</v>
      </c>
      <c r="N34" s="285" t="s">
        <v>1514</v>
      </c>
      <c r="O34" s="1481" t="s">
        <v>711</v>
      </c>
      <c r="P34" s="1482"/>
      <c r="Q34" s="1483"/>
      <c r="R34" s="288">
        <f>'LBP NO. 2'!M1011</f>
        <v>240000</v>
      </c>
    </row>
    <row r="35" spans="1:18" ht="16.5" thickBot="1">
      <c r="A35" s="285" t="s">
        <v>554</v>
      </c>
      <c r="B35" s="286" t="s">
        <v>714</v>
      </c>
      <c r="C35" s="287">
        <v>0</v>
      </c>
      <c r="D35" s="287">
        <v>0</v>
      </c>
      <c r="E35" s="287">
        <v>197150</v>
      </c>
      <c r="F35" s="287">
        <v>0</v>
      </c>
      <c r="G35" s="312">
        <f t="shared" si="6"/>
        <v>197150</v>
      </c>
      <c r="H35" s="287">
        <v>0</v>
      </c>
      <c r="I35" s="287">
        <v>0</v>
      </c>
      <c r="J35" s="287">
        <f t="shared" si="7"/>
        <v>0</v>
      </c>
      <c r="K35" s="287">
        <v>0</v>
      </c>
      <c r="L35" s="288">
        <f t="shared" si="5"/>
        <v>197150</v>
      </c>
      <c r="N35" s="307" t="s">
        <v>877</v>
      </c>
      <c r="O35" s="1481" t="s">
        <v>711</v>
      </c>
      <c r="P35" s="1482"/>
      <c r="Q35" s="1483"/>
      <c r="R35" s="310">
        <f>SUM(R17:R34)</f>
        <v>7209000</v>
      </c>
    </row>
    <row r="36" spans="1:18">
      <c r="A36" s="285" t="s">
        <v>936</v>
      </c>
      <c r="B36" s="286" t="s">
        <v>715</v>
      </c>
      <c r="C36" s="287">
        <f>750000</f>
        <v>750000</v>
      </c>
      <c r="D36" s="287">
        <v>0</v>
      </c>
      <c r="E36" s="287">
        <v>0</v>
      </c>
      <c r="F36" s="287">
        <v>0</v>
      </c>
      <c r="G36" s="312">
        <f t="shared" si="6"/>
        <v>0</v>
      </c>
      <c r="H36" s="287">
        <v>0</v>
      </c>
      <c r="I36" s="287">
        <v>0</v>
      </c>
      <c r="J36" s="287">
        <f t="shared" si="7"/>
        <v>0</v>
      </c>
      <c r="K36" s="287">
        <v>0</v>
      </c>
      <c r="L36" s="288">
        <f t="shared" si="5"/>
        <v>750000</v>
      </c>
      <c r="N36" s="302" t="s">
        <v>551</v>
      </c>
      <c r="O36" s="1478" t="s">
        <v>701</v>
      </c>
      <c r="P36" s="1479"/>
      <c r="Q36" s="1480"/>
      <c r="R36" s="303">
        <f>'LBP NO. 2'!M1014</f>
        <v>44000</v>
      </c>
    </row>
    <row r="37" spans="1:18">
      <c r="A37" s="285" t="s">
        <v>555</v>
      </c>
      <c r="B37" s="286" t="s">
        <v>704</v>
      </c>
      <c r="C37" s="287">
        <f>27950-G37-J37</f>
        <v>25750</v>
      </c>
      <c r="D37" s="287">
        <f>1200</f>
        <v>1200</v>
      </c>
      <c r="E37" s="287">
        <v>0</v>
      </c>
      <c r="F37" s="287">
        <v>0</v>
      </c>
      <c r="G37" s="312">
        <f t="shared" si="6"/>
        <v>1200</v>
      </c>
      <c r="H37" s="287">
        <v>0</v>
      </c>
      <c r="I37" s="287">
        <v>1000</v>
      </c>
      <c r="J37" s="287">
        <f t="shared" si="7"/>
        <v>1000</v>
      </c>
      <c r="K37" s="287">
        <v>0</v>
      </c>
      <c r="L37" s="288">
        <f t="shared" si="5"/>
        <v>27950</v>
      </c>
      <c r="N37" s="285" t="s">
        <v>429</v>
      </c>
      <c r="O37" s="1472" t="s">
        <v>702</v>
      </c>
      <c r="P37" s="1473"/>
      <c r="Q37" s="1474"/>
      <c r="R37" s="288">
        <f>'LBP NO. 2'!M1015</f>
        <v>40000</v>
      </c>
    </row>
    <row r="38" spans="1:18">
      <c r="A38" s="285" t="s">
        <v>556</v>
      </c>
      <c r="B38" s="286" t="s">
        <v>705</v>
      </c>
      <c r="C38" s="287">
        <v>96000</v>
      </c>
      <c r="D38" s="287">
        <v>0</v>
      </c>
      <c r="E38" s="287">
        <v>0</v>
      </c>
      <c r="F38" s="287">
        <v>0</v>
      </c>
      <c r="G38" s="312">
        <f t="shared" si="6"/>
        <v>0</v>
      </c>
      <c r="H38" s="287">
        <v>0</v>
      </c>
      <c r="I38" s="287">
        <v>0</v>
      </c>
      <c r="J38" s="287">
        <f t="shared" si="7"/>
        <v>0</v>
      </c>
      <c r="K38" s="287">
        <v>0</v>
      </c>
      <c r="L38" s="288">
        <f t="shared" si="5"/>
        <v>96000</v>
      </c>
      <c r="N38" s="285" t="s">
        <v>378</v>
      </c>
      <c r="O38" s="1472" t="s">
        <v>703</v>
      </c>
      <c r="P38" s="1473"/>
      <c r="Q38" s="1474"/>
      <c r="R38" s="288">
        <f>'LBP NO. 2'!M1016</f>
        <v>450000</v>
      </c>
    </row>
    <row r="39" spans="1:18">
      <c r="A39" s="285" t="s">
        <v>557</v>
      </c>
      <c r="B39" s="286" t="s">
        <v>705</v>
      </c>
      <c r="C39" s="287">
        <f>932400-G39-J39</f>
        <v>788400</v>
      </c>
      <c r="D39" s="287">
        <v>36000</v>
      </c>
      <c r="E39" s="287">
        <v>36000</v>
      </c>
      <c r="F39" s="287">
        <v>0</v>
      </c>
      <c r="G39" s="312">
        <f t="shared" si="6"/>
        <v>72000</v>
      </c>
      <c r="H39" s="287">
        <v>36000</v>
      </c>
      <c r="I39" s="287">
        <v>36000</v>
      </c>
      <c r="J39" s="287">
        <f t="shared" si="7"/>
        <v>72000</v>
      </c>
      <c r="K39" s="287">
        <v>0</v>
      </c>
      <c r="L39" s="288">
        <f t="shared" si="5"/>
        <v>932400</v>
      </c>
      <c r="N39" s="285" t="s">
        <v>377</v>
      </c>
      <c r="O39" s="1472" t="s">
        <v>744</v>
      </c>
      <c r="P39" s="1473"/>
      <c r="Q39" s="1474"/>
      <c r="R39" s="288">
        <f>'LBP NO. 2'!M1017</f>
        <v>0</v>
      </c>
    </row>
    <row r="40" spans="1:18">
      <c r="A40" s="285" t="s">
        <v>558</v>
      </c>
      <c r="B40" s="286" t="s">
        <v>716</v>
      </c>
      <c r="C40" s="287">
        <v>1300000</v>
      </c>
      <c r="D40" s="287">
        <v>0</v>
      </c>
      <c r="E40" s="287">
        <v>0</v>
      </c>
      <c r="F40" s="287">
        <v>0</v>
      </c>
      <c r="G40" s="312">
        <f t="shared" si="6"/>
        <v>0</v>
      </c>
      <c r="H40" s="287">
        <v>0</v>
      </c>
      <c r="I40" s="287">
        <v>0</v>
      </c>
      <c r="J40" s="287">
        <f t="shared" si="7"/>
        <v>0</v>
      </c>
      <c r="K40" s="287">
        <v>0</v>
      </c>
      <c r="L40" s="288">
        <f t="shared" si="5"/>
        <v>1300000</v>
      </c>
      <c r="N40" s="285" t="s">
        <v>557</v>
      </c>
      <c r="O40" s="1472" t="s">
        <v>705</v>
      </c>
      <c r="P40" s="1473"/>
      <c r="Q40" s="1474"/>
      <c r="R40" s="288">
        <f>'LBP NO. 2'!M1018</f>
        <v>36000</v>
      </c>
    </row>
    <row r="41" spans="1:18">
      <c r="A41" s="285" t="s">
        <v>559</v>
      </c>
      <c r="B41" s="286" t="s">
        <v>717</v>
      </c>
      <c r="C41" s="287">
        <v>250000</v>
      </c>
      <c r="D41" s="287">
        <v>0</v>
      </c>
      <c r="E41" s="287">
        <v>0</v>
      </c>
      <c r="F41" s="287">
        <v>0</v>
      </c>
      <c r="G41" s="312">
        <f t="shared" si="6"/>
        <v>0</v>
      </c>
      <c r="H41" s="287">
        <v>0</v>
      </c>
      <c r="I41" s="287">
        <v>0</v>
      </c>
      <c r="J41" s="287">
        <f t="shared" si="7"/>
        <v>0</v>
      </c>
      <c r="K41" s="287">
        <v>0</v>
      </c>
      <c r="L41" s="288">
        <f t="shared" si="5"/>
        <v>250000</v>
      </c>
      <c r="N41" s="285" t="s">
        <v>376</v>
      </c>
      <c r="O41" s="1472" t="s">
        <v>745</v>
      </c>
      <c r="P41" s="1473"/>
      <c r="Q41" s="1474"/>
      <c r="R41" s="288">
        <f>'LBP NO. 2'!M1019</f>
        <v>0</v>
      </c>
    </row>
    <row r="42" spans="1:18">
      <c r="A42" s="285" t="s">
        <v>1578</v>
      </c>
      <c r="B42" s="286" t="s">
        <v>718</v>
      </c>
      <c r="C42" s="287">
        <v>300000</v>
      </c>
      <c r="D42" s="287">
        <v>0</v>
      </c>
      <c r="E42" s="287">
        <v>0</v>
      </c>
      <c r="F42" s="287">
        <v>0</v>
      </c>
      <c r="G42" s="312">
        <f t="shared" si="6"/>
        <v>0</v>
      </c>
      <c r="H42" s="287">
        <v>0</v>
      </c>
      <c r="I42" s="287">
        <v>0</v>
      </c>
      <c r="J42" s="287">
        <f t="shared" si="7"/>
        <v>0</v>
      </c>
      <c r="K42" s="287">
        <v>0</v>
      </c>
      <c r="L42" s="288">
        <f t="shared" si="5"/>
        <v>300000</v>
      </c>
      <c r="N42" s="285" t="s">
        <v>955</v>
      </c>
      <c r="O42" s="1472" t="s">
        <v>956</v>
      </c>
      <c r="P42" s="1473"/>
      <c r="Q42" s="1474"/>
      <c r="R42" s="288">
        <f>'LBP NO. 2'!M1020</f>
        <v>276000</v>
      </c>
    </row>
    <row r="43" spans="1:18">
      <c r="A43" s="285" t="s">
        <v>931</v>
      </c>
      <c r="B43" s="286" t="s">
        <v>706</v>
      </c>
      <c r="C43" s="287">
        <f>933241-G43-J43</f>
        <v>804000</v>
      </c>
      <c r="D43" s="287">
        <v>50000</v>
      </c>
      <c r="E43" s="287">
        <v>14600</v>
      </c>
      <c r="F43" s="287">
        <v>14641</v>
      </c>
      <c r="G43" s="312">
        <f t="shared" si="6"/>
        <v>79241</v>
      </c>
      <c r="H43" s="287">
        <v>30000</v>
      </c>
      <c r="I43" s="287">
        <v>20000</v>
      </c>
      <c r="J43" s="287">
        <f t="shared" si="7"/>
        <v>50000</v>
      </c>
      <c r="K43" s="287">
        <v>0</v>
      </c>
      <c r="L43" s="288">
        <f t="shared" si="5"/>
        <v>933241</v>
      </c>
      <c r="N43" s="285" t="s">
        <v>931</v>
      </c>
      <c r="O43" s="1472" t="s">
        <v>957</v>
      </c>
      <c r="P43" s="1473"/>
      <c r="Q43" s="1474"/>
      <c r="R43" s="288">
        <f>'LBP NO. 2'!M1021</f>
        <v>40000</v>
      </c>
    </row>
    <row r="44" spans="1:18" ht="16.5" thickBot="1">
      <c r="A44" s="285" t="s">
        <v>958</v>
      </c>
      <c r="B44" s="286" t="s">
        <v>956</v>
      </c>
      <c r="C44" s="287">
        <v>300000</v>
      </c>
      <c r="D44" s="287">
        <v>0</v>
      </c>
      <c r="E44" s="287">
        <v>0</v>
      </c>
      <c r="F44" s="287">
        <v>0</v>
      </c>
      <c r="G44" s="312">
        <f t="shared" si="6"/>
        <v>0</v>
      </c>
      <c r="H44" s="287">
        <v>0</v>
      </c>
      <c r="I44" s="287">
        <v>0</v>
      </c>
      <c r="J44" s="287">
        <f t="shared" si="7"/>
        <v>0</v>
      </c>
      <c r="K44" s="287">
        <v>0</v>
      </c>
      <c r="L44" s="288">
        <f t="shared" si="5"/>
        <v>300000</v>
      </c>
      <c r="N44" s="285" t="s">
        <v>375</v>
      </c>
      <c r="O44" s="1472" t="s">
        <v>746</v>
      </c>
      <c r="P44" s="1473"/>
      <c r="Q44" s="1474"/>
      <c r="R44" s="288">
        <f>'LBP NO. 2'!M1022</f>
        <v>270000</v>
      </c>
    </row>
    <row r="45" spans="1:18" ht="16.5" thickBot="1">
      <c r="A45" s="285" t="s">
        <v>561</v>
      </c>
      <c r="B45" s="286" t="s">
        <v>719</v>
      </c>
      <c r="C45" s="287">
        <v>55755</v>
      </c>
      <c r="D45" s="287">
        <v>0</v>
      </c>
      <c r="E45" s="287">
        <v>0</v>
      </c>
      <c r="F45" s="287">
        <v>0</v>
      </c>
      <c r="G45" s="312">
        <f t="shared" si="6"/>
        <v>0</v>
      </c>
      <c r="H45" s="287">
        <v>0</v>
      </c>
      <c r="I45" s="287">
        <v>0</v>
      </c>
      <c r="J45" s="287">
        <f t="shared" si="7"/>
        <v>0</v>
      </c>
      <c r="K45" s="287">
        <v>0</v>
      </c>
      <c r="L45" s="288">
        <f t="shared" si="5"/>
        <v>55755</v>
      </c>
      <c r="N45" s="307" t="s">
        <v>878</v>
      </c>
      <c r="O45" s="313"/>
      <c r="P45" s="314"/>
      <c r="Q45" s="314"/>
      <c r="R45" s="310">
        <f>SUM(R36:R44)</f>
        <v>1156000</v>
      </c>
    </row>
    <row r="46" spans="1:18">
      <c r="A46" s="285" t="s">
        <v>562</v>
      </c>
      <c r="B46" s="286" t="s">
        <v>719</v>
      </c>
      <c r="C46" s="287">
        <v>0</v>
      </c>
      <c r="D46" s="287">
        <v>1837840</v>
      </c>
      <c r="E46" s="287">
        <v>0</v>
      </c>
      <c r="F46" s="287">
        <v>0</v>
      </c>
      <c r="G46" s="312">
        <f t="shared" si="6"/>
        <v>1837840</v>
      </c>
      <c r="H46" s="287">
        <v>0</v>
      </c>
      <c r="I46" s="287">
        <v>847932.2</v>
      </c>
      <c r="J46" s="287">
        <f t="shared" si="7"/>
        <v>847932.2</v>
      </c>
      <c r="K46" s="287">
        <v>0</v>
      </c>
      <c r="L46" s="288">
        <f t="shared" si="5"/>
        <v>2685772.2</v>
      </c>
      <c r="N46" s="285" t="s">
        <v>1569</v>
      </c>
      <c r="O46" s="1472" t="s">
        <v>961</v>
      </c>
      <c r="P46" s="1473"/>
      <c r="Q46" s="1474"/>
      <c r="R46" s="288">
        <f>'LBP NO. 2'!M1028</f>
        <v>230000</v>
      </c>
    </row>
    <row r="47" spans="1:18">
      <c r="A47" s="285" t="s">
        <v>1692</v>
      </c>
      <c r="B47" s="286"/>
      <c r="C47" s="287"/>
      <c r="D47" s="287">
        <v>6000000</v>
      </c>
      <c r="E47" s="287">
        <v>7000000</v>
      </c>
      <c r="F47" s="287"/>
      <c r="G47" s="312">
        <f t="shared" si="6"/>
        <v>13000000</v>
      </c>
      <c r="H47" s="287"/>
      <c r="I47" s="287">
        <v>5000000</v>
      </c>
      <c r="J47" s="287">
        <f t="shared" si="7"/>
        <v>5000000</v>
      </c>
      <c r="K47" s="287"/>
      <c r="L47" s="288">
        <f t="shared" si="5"/>
        <v>18000000</v>
      </c>
      <c r="N47" s="285" t="s">
        <v>686</v>
      </c>
      <c r="O47" s="1472" t="s">
        <v>847</v>
      </c>
      <c r="P47" s="1473"/>
      <c r="Q47" s="1474"/>
      <c r="R47" s="288">
        <f>'LBP NO. 2'!M1026</f>
        <v>30000</v>
      </c>
    </row>
    <row r="48" spans="1:18">
      <c r="A48" s="285" t="s">
        <v>563</v>
      </c>
      <c r="B48" s="286" t="s">
        <v>720</v>
      </c>
      <c r="C48" s="287">
        <f>300000</f>
        <v>300000</v>
      </c>
      <c r="D48" s="287">
        <v>0</v>
      </c>
      <c r="E48" s="287">
        <v>0</v>
      </c>
      <c r="F48" s="287">
        <v>0</v>
      </c>
      <c r="G48" s="312">
        <f t="shared" si="6"/>
        <v>0</v>
      </c>
      <c r="H48" s="287">
        <v>0</v>
      </c>
      <c r="I48" s="287">
        <v>0</v>
      </c>
      <c r="J48" s="287">
        <f t="shared" si="7"/>
        <v>0</v>
      </c>
      <c r="K48" s="287">
        <v>0</v>
      </c>
      <c r="L48" s="288">
        <f t="shared" si="5"/>
        <v>300000</v>
      </c>
      <c r="N48" s="285"/>
      <c r="O48" s="1475"/>
      <c r="P48" s="1476"/>
      <c r="Q48" s="1477"/>
      <c r="R48" s="288"/>
    </row>
    <row r="49" spans="1:19" ht="16.5" thickBot="1">
      <c r="A49" s="304" t="s">
        <v>564</v>
      </c>
      <c r="B49" s="305" t="s">
        <v>707</v>
      </c>
      <c r="C49" s="306">
        <f>754641-G49-J49</f>
        <v>398000</v>
      </c>
      <c r="D49" s="306">
        <v>150000</v>
      </c>
      <c r="E49" s="306">
        <v>111500</v>
      </c>
      <c r="F49" s="306">
        <v>75141</v>
      </c>
      <c r="G49" s="306">
        <f>SUM(D49:F49)</f>
        <v>336641</v>
      </c>
      <c r="H49" s="306">
        <v>10000</v>
      </c>
      <c r="I49" s="306">
        <v>10000</v>
      </c>
      <c r="J49" s="306">
        <f>SUM(H49:I49)</f>
        <v>20000</v>
      </c>
      <c r="K49" s="306">
        <v>0</v>
      </c>
      <c r="L49" s="288">
        <f t="shared" si="5"/>
        <v>754641</v>
      </c>
      <c r="N49" s="316" t="s">
        <v>879</v>
      </c>
      <c r="O49" s="317"/>
      <c r="P49" s="318"/>
      <c r="Q49" s="319"/>
      <c r="R49" s="320">
        <f>SUM(R46:R48)</f>
        <v>260000</v>
      </c>
    </row>
    <row r="50" spans="1:19" ht="16.5" thickBot="1">
      <c r="A50" s="307" t="s">
        <v>878</v>
      </c>
      <c r="B50" s="308"/>
      <c r="C50" s="309">
        <f t="shared" ref="C50:K50" si="8">SUM(C30:C49)</f>
        <v>13450307</v>
      </c>
      <c r="D50" s="309">
        <f t="shared" si="8"/>
        <v>8503040</v>
      </c>
      <c r="E50" s="309">
        <f t="shared" si="8"/>
        <v>9181557</v>
      </c>
      <c r="F50" s="309">
        <f t="shared" si="8"/>
        <v>1747889</v>
      </c>
      <c r="G50" s="309">
        <f t="shared" si="8"/>
        <v>19432486</v>
      </c>
      <c r="H50" s="309">
        <f t="shared" si="8"/>
        <v>234000</v>
      </c>
      <c r="I50" s="309">
        <f t="shared" si="8"/>
        <v>6276932.2000000002</v>
      </c>
      <c r="J50" s="309">
        <f t="shared" si="8"/>
        <v>6510932.2000000002</v>
      </c>
      <c r="K50" s="309">
        <f t="shared" si="8"/>
        <v>0</v>
      </c>
      <c r="L50" s="310">
        <f t="shared" si="5"/>
        <v>39393725.200000003</v>
      </c>
      <c r="N50" s="323" t="s">
        <v>625</v>
      </c>
      <c r="O50" s="321"/>
      <c r="P50" s="314"/>
      <c r="Q50" s="314"/>
      <c r="R50" s="324">
        <f>SUM(R49+R45+R35)</f>
        <v>8625000</v>
      </c>
    </row>
    <row r="51" spans="1:19">
      <c r="A51" s="302" t="s">
        <v>852</v>
      </c>
      <c r="B51" s="311" t="s">
        <v>853</v>
      </c>
      <c r="C51" s="312">
        <v>0</v>
      </c>
      <c r="D51" s="312">
        <v>0</v>
      </c>
      <c r="E51" s="312">
        <v>0</v>
      </c>
      <c r="F51" s="312"/>
      <c r="G51" s="312">
        <f>SUM(D51:F51)</f>
        <v>0</v>
      </c>
      <c r="H51" s="312">
        <v>0</v>
      </c>
      <c r="I51" s="312">
        <v>0</v>
      </c>
      <c r="J51" s="312">
        <f>SUM(H51:I51)</f>
        <v>0</v>
      </c>
      <c r="K51" s="312">
        <v>0</v>
      </c>
      <c r="L51" s="288">
        <f t="shared" si="5"/>
        <v>0</v>
      </c>
      <c r="N51" s="325"/>
      <c r="O51" s="326"/>
      <c r="P51" s="295"/>
      <c r="Q51" s="295"/>
      <c r="R51" s="327"/>
    </row>
    <row r="52" spans="1:19">
      <c r="A52" s="302" t="s">
        <v>1642</v>
      </c>
      <c r="B52" s="311" t="s">
        <v>1641</v>
      </c>
      <c r="C52" s="312">
        <v>0</v>
      </c>
      <c r="D52" s="312">
        <v>0</v>
      </c>
      <c r="E52" s="312">
        <v>0</v>
      </c>
      <c r="F52" s="312">
        <v>30000</v>
      </c>
      <c r="G52" s="312">
        <f t="shared" ref="G52:G59" si="9">SUM(D52:F52)</f>
        <v>30000</v>
      </c>
      <c r="H52" s="312">
        <v>0</v>
      </c>
      <c r="I52" s="312">
        <v>0</v>
      </c>
      <c r="J52" s="312">
        <f t="shared" ref="J52:J57" si="10">SUM(H52:I52)</f>
        <v>0</v>
      </c>
      <c r="K52" s="312"/>
      <c r="L52" s="288">
        <f t="shared" si="5"/>
        <v>30000</v>
      </c>
    </row>
    <row r="53" spans="1:19">
      <c r="A53" s="285" t="s">
        <v>686</v>
      </c>
      <c r="B53" s="286" t="s">
        <v>847</v>
      </c>
      <c r="C53" s="287">
        <f>400000+55000+80000+35000+25000+200000</f>
        <v>795000</v>
      </c>
      <c r="D53" s="287">
        <v>400000</v>
      </c>
      <c r="E53" s="287">
        <v>500000</v>
      </c>
      <c r="F53" s="287">
        <v>0</v>
      </c>
      <c r="G53" s="312">
        <f t="shared" si="9"/>
        <v>900000</v>
      </c>
      <c r="H53" s="287">
        <v>0</v>
      </c>
      <c r="I53" s="287">
        <v>73000</v>
      </c>
      <c r="J53" s="312">
        <f t="shared" si="10"/>
        <v>73000</v>
      </c>
      <c r="K53" s="287">
        <v>0</v>
      </c>
      <c r="L53" s="288">
        <f t="shared" si="5"/>
        <v>1768000</v>
      </c>
    </row>
    <row r="54" spans="1:19">
      <c r="A54" s="285" t="s">
        <v>845</v>
      </c>
      <c r="B54" s="286" t="s">
        <v>1567</v>
      </c>
      <c r="C54" s="287">
        <f>70000+100000+385000+40000</f>
        <v>595000</v>
      </c>
      <c r="D54" s="322">
        <v>75000</v>
      </c>
      <c r="E54" s="322">
        <v>0</v>
      </c>
      <c r="F54" s="322">
        <v>60000</v>
      </c>
      <c r="G54" s="312">
        <f t="shared" si="9"/>
        <v>135000</v>
      </c>
      <c r="H54" s="287">
        <v>200000</v>
      </c>
      <c r="I54" s="287">
        <v>0</v>
      </c>
      <c r="J54" s="312">
        <f t="shared" si="10"/>
        <v>200000</v>
      </c>
      <c r="K54" s="287">
        <v>0</v>
      </c>
      <c r="L54" s="288">
        <f t="shared" si="5"/>
        <v>930000</v>
      </c>
    </row>
    <row r="55" spans="1:19">
      <c r="A55" s="285" t="s">
        <v>854</v>
      </c>
      <c r="B55" s="286" t="s">
        <v>857</v>
      </c>
      <c r="C55" s="287">
        <f>8800000+750000</f>
        <v>9550000</v>
      </c>
      <c r="D55" s="322">
        <v>0</v>
      </c>
      <c r="E55" s="322">
        <v>0</v>
      </c>
      <c r="F55" s="322">
        <v>0</v>
      </c>
      <c r="G55" s="312">
        <f t="shared" si="9"/>
        <v>0</v>
      </c>
      <c r="H55" s="287">
        <v>0</v>
      </c>
      <c r="I55" s="287">
        <v>0</v>
      </c>
      <c r="J55" s="312">
        <f t="shared" si="10"/>
        <v>0</v>
      </c>
      <c r="K55" s="287">
        <v>0</v>
      </c>
      <c r="L55" s="288">
        <f t="shared" si="5"/>
        <v>9550000</v>
      </c>
    </row>
    <row r="56" spans="1:19">
      <c r="A56" s="285" t="s">
        <v>855</v>
      </c>
      <c r="B56" s="328" t="s">
        <v>856</v>
      </c>
      <c r="C56" s="287"/>
      <c r="D56" s="287">
        <v>0</v>
      </c>
      <c r="E56" s="287">
        <v>0</v>
      </c>
      <c r="F56" s="287">
        <v>0</v>
      </c>
      <c r="G56" s="312">
        <f t="shared" si="9"/>
        <v>0</v>
      </c>
      <c r="H56" s="287">
        <v>0</v>
      </c>
      <c r="I56" s="287">
        <v>0</v>
      </c>
      <c r="J56" s="312">
        <f t="shared" si="10"/>
        <v>0</v>
      </c>
      <c r="K56" s="287">
        <v>0</v>
      </c>
      <c r="L56" s="288">
        <f t="shared" si="5"/>
        <v>0</v>
      </c>
      <c r="P56" s="329"/>
    </row>
    <row r="57" spans="1:19">
      <c r="A57" s="285" t="s">
        <v>927</v>
      </c>
      <c r="B57" s="328" t="s">
        <v>928</v>
      </c>
      <c r="C57" s="287">
        <f>300000</f>
        <v>300000</v>
      </c>
      <c r="D57" s="287"/>
      <c r="E57" s="287">
        <v>0</v>
      </c>
      <c r="F57" s="287">
        <v>0</v>
      </c>
      <c r="G57" s="312">
        <f t="shared" si="9"/>
        <v>0</v>
      </c>
      <c r="H57" s="287">
        <v>0</v>
      </c>
      <c r="I57" s="287">
        <v>0</v>
      </c>
      <c r="J57" s="312">
        <f t="shared" si="10"/>
        <v>0</v>
      </c>
      <c r="K57" s="287">
        <v>0</v>
      </c>
      <c r="L57" s="288">
        <f t="shared" si="5"/>
        <v>300000</v>
      </c>
      <c r="N57" s="282" t="s">
        <v>16</v>
      </c>
      <c r="Q57" s="331" t="s">
        <v>258</v>
      </c>
      <c r="R57" s="273"/>
    </row>
    <row r="58" spans="1:19">
      <c r="A58" s="285" t="s">
        <v>858</v>
      </c>
      <c r="B58" s="286" t="s">
        <v>859</v>
      </c>
      <c r="C58" s="287"/>
      <c r="D58" s="287">
        <v>0</v>
      </c>
      <c r="E58" s="287">
        <v>0</v>
      </c>
      <c r="F58" s="287">
        <v>0</v>
      </c>
      <c r="G58" s="312">
        <f t="shared" si="9"/>
        <v>0</v>
      </c>
      <c r="H58" s="287">
        <v>0</v>
      </c>
      <c r="I58" s="287">
        <v>0</v>
      </c>
      <c r="J58" s="287">
        <f t="shared" ref="J58:J61" si="11">SUM(H58:I58)</f>
        <v>0</v>
      </c>
      <c r="K58" s="287">
        <v>0</v>
      </c>
      <c r="L58" s="288">
        <f t="shared" si="5"/>
        <v>0</v>
      </c>
    </row>
    <row r="59" spans="1:19">
      <c r="A59" s="304" t="s">
        <v>1482</v>
      </c>
      <c r="B59" s="286" t="s">
        <v>950</v>
      </c>
      <c r="C59" s="306"/>
      <c r="D59" s="306"/>
      <c r="E59" s="306">
        <v>0</v>
      </c>
      <c r="F59" s="306">
        <v>0</v>
      </c>
      <c r="G59" s="312">
        <f t="shared" si="9"/>
        <v>0</v>
      </c>
      <c r="H59" s="306">
        <v>0</v>
      </c>
      <c r="I59" s="306">
        <v>0</v>
      </c>
      <c r="J59" s="287">
        <f t="shared" si="11"/>
        <v>0</v>
      </c>
      <c r="K59" s="306">
        <v>0</v>
      </c>
      <c r="L59" s="288">
        <f t="shared" si="5"/>
        <v>0</v>
      </c>
      <c r="O59" s="282"/>
      <c r="P59" s="282"/>
    </row>
    <row r="60" spans="1:19">
      <c r="A60" s="304" t="s">
        <v>1563</v>
      </c>
      <c r="B60" s="305" t="s">
        <v>1562</v>
      </c>
      <c r="C60" s="306"/>
      <c r="D60" s="306"/>
      <c r="E60" s="306">
        <v>0</v>
      </c>
      <c r="F60" s="306">
        <v>0</v>
      </c>
      <c r="G60" s="306">
        <v>0</v>
      </c>
      <c r="H60" s="306">
        <v>0</v>
      </c>
      <c r="I60" s="306">
        <v>0</v>
      </c>
      <c r="J60" s="306">
        <v>0</v>
      </c>
      <c r="K60" s="306">
        <v>0</v>
      </c>
      <c r="L60" s="288">
        <f t="shared" si="5"/>
        <v>0</v>
      </c>
      <c r="N60" s="1097" t="s">
        <v>17</v>
      </c>
      <c r="O60" s="1469" t="s">
        <v>798</v>
      </c>
      <c r="P60" s="1469"/>
      <c r="Q60" s="1469" t="s">
        <v>1579</v>
      </c>
      <c r="R60" s="1469"/>
    </row>
    <row r="61" spans="1:19" ht="16.5" thickBot="1">
      <c r="A61" s="304" t="s">
        <v>849</v>
      </c>
      <c r="B61" s="330" t="s">
        <v>851</v>
      </c>
      <c r="C61" s="306">
        <f>10000+50000</f>
        <v>60000</v>
      </c>
      <c r="D61" s="315">
        <v>200000</v>
      </c>
      <c r="E61" s="315">
        <v>0</v>
      </c>
      <c r="F61" s="315">
        <v>0</v>
      </c>
      <c r="G61" s="306">
        <f t="shared" ref="G61" si="12">SUM(D61:F61)</f>
        <v>200000</v>
      </c>
      <c r="H61" s="306">
        <v>20000</v>
      </c>
      <c r="I61" s="306">
        <v>47000</v>
      </c>
      <c r="J61" s="306">
        <f t="shared" si="11"/>
        <v>67000</v>
      </c>
      <c r="K61" s="306">
        <v>0</v>
      </c>
      <c r="L61" s="288">
        <f t="shared" si="5"/>
        <v>327000</v>
      </c>
      <c r="N61" s="1098" t="s">
        <v>18</v>
      </c>
      <c r="O61" s="1470" t="s">
        <v>242</v>
      </c>
      <c r="P61" s="1470"/>
      <c r="Q61" s="1470" t="s">
        <v>14</v>
      </c>
      <c r="R61" s="1470"/>
    </row>
    <row r="62" spans="1:19" ht="16.5" thickBot="1">
      <c r="A62" s="307" t="s">
        <v>879</v>
      </c>
      <c r="B62" s="332"/>
      <c r="C62" s="309">
        <f t="shared" ref="C62:L62" si="13">SUM(C51:C61)</f>
        <v>11300000</v>
      </c>
      <c r="D62" s="309">
        <f t="shared" si="13"/>
        <v>675000</v>
      </c>
      <c r="E62" s="309">
        <f t="shared" si="13"/>
        <v>500000</v>
      </c>
      <c r="F62" s="309">
        <f t="shared" si="13"/>
        <v>90000</v>
      </c>
      <c r="G62" s="309">
        <f t="shared" si="13"/>
        <v>1265000</v>
      </c>
      <c r="H62" s="309">
        <f t="shared" si="13"/>
        <v>220000</v>
      </c>
      <c r="I62" s="309">
        <f t="shared" si="13"/>
        <v>120000</v>
      </c>
      <c r="J62" s="309">
        <f t="shared" si="13"/>
        <v>340000</v>
      </c>
      <c r="K62" s="309">
        <f t="shared" si="13"/>
        <v>0</v>
      </c>
      <c r="L62" s="310">
        <f t="shared" si="13"/>
        <v>12905000</v>
      </c>
    </row>
    <row r="63" spans="1:19">
      <c r="A63" s="333" t="s">
        <v>799</v>
      </c>
      <c r="B63" s="311">
        <v>1181</v>
      </c>
      <c r="C63" s="312">
        <v>0</v>
      </c>
      <c r="D63" s="303">
        <v>0</v>
      </c>
      <c r="E63" s="303"/>
      <c r="F63" s="303"/>
      <c r="G63" s="303">
        <v>1090005</v>
      </c>
      <c r="H63" s="303"/>
      <c r="I63" s="303"/>
      <c r="J63" s="312">
        <v>0</v>
      </c>
      <c r="K63" s="312">
        <v>0</v>
      </c>
      <c r="L63" s="303">
        <f t="shared" si="5"/>
        <v>1090005</v>
      </c>
      <c r="S63" s="289"/>
    </row>
    <row r="64" spans="1:19">
      <c r="A64" s="334" t="s">
        <v>800</v>
      </c>
      <c r="B64" s="286">
        <v>1191</v>
      </c>
      <c r="C64" s="287">
        <v>0</v>
      </c>
      <c r="D64" s="288">
        <v>0</v>
      </c>
      <c r="E64" s="288"/>
      <c r="F64" s="288"/>
      <c r="G64" s="288">
        <v>634596</v>
      </c>
      <c r="H64" s="288"/>
      <c r="I64" s="288"/>
      <c r="J64" s="287">
        <v>0</v>
      </c>
      <c r="K64" s="287">
        <v>0</v>
      </c>
      <c r="L64" s="288">
        <f t="shared" si="5"/>
        <v>634596</v>
      </c>
      <c r="S64" s="335"/>
    </row>
    <row r="65" spans="1:261" s="282" customFormat="1">
      <c r="A65" s="334" t="s">
        <v>801</v>
      </c>
      <c r="B65" s="286">
        <v>1158</v>
      </c>
      <c r="C65" s="288">
        <v>70000</v>
      </c>
      <c r="D65" s="287">
        <v>0</v>
      </c>
      <c r="E65" s="287"/>
      <c r="F65" s="287"/>
      <c r="G65" s="287">
        <v>0</v>
      </c>
      <c r="H65" s="287"/>
      <c r="I65" s="287"/>
      <c r="J65" s="287">
        <v>0</v>
      </c>
      <c r="K65" s="287">
        <v>0</v>
      </c>
      <c r="L65" s="288">
        <f t="shared" si="5"/>
        <v>70000</v>
      </c>
      <c r="N65" s="272"/>
      <c r="O65" s="272"/>
      <c r="P65" s="272"/>
      <c r="Q65" s="272"/>
      <c r="R65" s="272"/>
      <c r="S65" s="272"/>
      <c r="T65" s="272"/>
    </row>
    <row r="66" spans="1:261">
      <c r="A66" s="334" t="s">
        <v>802</v>
      </c>
      <c r="B66" s="286">
        <v>1111</v>
      </c>
      <c r="C66" s="287">
        <v>0</v>
      </c>
      <c r="D66" s="287">
        <v>0</v>
      </c>
      <c r="E66" s="287"/>
      <c r="F66" s="287"/>
      <c r="G66" s="287">
        <v>0</v>
      </c>
      <c r="H66" s="287"/>
      <c r="I66" s="287"/>
      <c r="J66" s="287">
        <v>0</v>
      </c>
      <c r="K66" s="288">
        <v>100000</v>
      </c>
      <c r="L66" s="288">
        <f t="shared" si="5"/>
        <v>100000</v>
      </c>
    </row>
    <row r="67" spans="1:261">
      <c r="A67" s="334" t="s">
        <v>803</v>
      </c>
      <c r="B67" s="286" t="s">
        <v>267</v>
      </c>
      <c r="C67" s="288">
        <v>33000</v>
      </c>
      <c r="D67" s="287">
        <v>0</v>
      </c>
      <c r="E67" s="287"/>
      <c r="F67" s="287"/>
      <c r="G67" s="287">
        <v>0</v>
      </c>
      <c r="H67" s="287"/>
      <c r="I67" s="287"/>
      <c r="J67" s="287">
        <v>0</v>
      </c>
      <c r="K67" s="287">
        <v>0</v>
      </c>
      <c r="L67" s="288">
        <f t="shared" si="5"/>
        <v>33000</v>
      </c>
    </row>
    <row r="68" spans="1:261">
      <c r="A68" s="334" t="s">
        <v>804</v>
      </c>
      <c r="B68" s="286" t="s">
        <v>27</v>
      </c>
      <c r="C68" s="288">
        <v>33000</v>
      </c>
      <c r="D68" s="287">
        <v>0</v>
      </c>
      <c r="E68" s="287"/>
      <c r="F68" s="287"/>
      <c r="G68" s="287">
        <v>0</v>
      </c>
      <c r="H68" s="287"/>
      <c r="I68" s="287"/>
      <c r="J68" s="287">
        <v>0</v>
      </c>
      <c r="K68" s="287">
        <v>0</v>
      </c>
      <c r="L68" s="288">
        <f t="shared" si="5"/>
        <v>33000</v>
      </c>
    </row>
    <row r="69" spans="1:261" ht="23.25">
      <c r="A69" s="334" t="s">
        <v>807</v>
      </c>
      <c r="B69" s="286" t="s">
        <v>28</v>
      </c>
      <c r="C69" s="287">
        <v>0</v>
      </c>
      <c r="D69" s="287">
        <v>0</v>
      </c>
      <c r="E69" s="287"/>
      <c r="F69" s="287"/>
      <c r="G69" s="287">
        <v>0</v>
      </c>
      <c r="H69" s="287"/>
      <c r="I69" s="287"/>
      <c r="J69" s="287">
        <v>0</v>
      </c>
      <c r="K69" s="288">
        <v>200000</v>
      </c>
      <c r="L69" s="288">
        <f t="shared" si="5"/>
        <v>200000</v>
      </c>
      <c r="N69" s="1297" t="s">
        <v>1003</v>
      </c>
      <c r="O69" s="1471"/>
      <c r="P69" s="1471"/>
      <c r="Q69" s="1471"/>
      <c r="R69" s="1471"/>
    </row>
    <row r="70" spans="1:261">
      <c r="A70" s="334" t="s">
        <v>809</v>
      </c>
      <c r="B70" s="286" t="s">
        <v>29</v>
      </c>
      <c r="C70" s="287">
        <v>0</v>
      </c>
      <c r="D70" s="287">
        <v>0</v>
      </c>
      <c r="E70" s="287"/>
      <c r="F70" s="287"/>
      <c r="G70" s="287">
        <v>0</v>
      </c>
      <c r="H70" s="287"/>
      <c r="I70" s="287"/>
      <c r="J70" s="287">
        <v>0</v>
      </c>
      <c r="K70" s="288">
        <v>200000</v>
      </c>
      <c r="L70" s="288">
        <f t="shared" si="5"/>
        <v>200000</v>
      </c>
      <c r="M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6"/>
      <c r="AT70" s="336"/>
      <c r="AU70" s="336"/>
      <c r="AV70" s="336"/>
      <c r="AW70" s="336"/>
      <c r="AX70" s="336"/>
      <c r="AY70" s="336"/>
      <c r="AZ70" s="336"/>
      <c r="BA70" s="336"/>
      <c r="BB70" s="336"/>
      <c r="BC70" s="336"/>
      <c r="BD70" s="336"/>
      <c r="BE70" s="336"/>
      <c r="BF70" s="336"/>
      <c r="BG70" s="336"/>
      <c r="BH70" s="336"/>
      <c r="BI70" s="336"/>
      <c r="BJ70" s="336"/>
      <c r="BK70" s="336"/>
      <c r="BL70" s="336"/>
      <c r="BM70" s="336"/>
      <c r="BN70" s="336"/>
      <c r="BO70" s="336"/>
      <c r="BP70" s="336"/>
      <c r="BQ70" s="336"/>
      <c r="BR70" s="336"/>
      <c r="BS70" s="336"/>
      <c r="BT70" s="336"/>
      <c r="BU70" s="336"/>
      <c r="BV70" s="336"/>
      <c r="BW70" s="336"/>
      <c r="BX70" s="336"/>
      <c r="BY70" s="336"/>
      <c r="BZ70" s="336"/>
      <c r="CA70" s="336"/>
      <c r="CB70" s="336"/>
      <c r="CC70" s="336"/>
      <c r="CD70" s="336"/>
      <c r="CE70" s="336"/>
      <c r="CF70" s="336"/>
      <c r="CG70" s="336"/>
      <c r="CH70" s="336"/>
      <c r="CI70" s="336"/>
      <c r="CJ70" s="336"/>
      <c r="CK70" s="336"/>
      <c r="CL70" s="336"/>
      <c r="CM70" s="336"/>
      <c r="CN70" s="336"/>
      <c r="CO70" s="336"/>
      <c r="CP70" s="336"/>
      <c r="CQ70" s="336"/>
      <c r="CR70" s="336"/>
      <c r="CS70" s="336"/>
      <c r="CT70" s="336"/>
      <c r="CU70" s="336"/>
      <c r="CV70" s="336"/>
      <c r="CW70" s="336"/>
      <c r="CX70" s="336"/>
      <c r="CY70" s="336"/>
      <c r="CZ70" s="336"/>
      <c r="DA70" s="336"/>
      <c r="DB70" s="336"/>
      <c r="DC70" s="336"/>
      <c r="DD70" s="336"/>
      <c r="DE70" s="336"/>
      <c r="DF70" s="336"/>
      <c r="DG70" s="336"/>
      <c r="DH70" s="336"/>
      <c r="DI70" s="336"/>
      <c r="DJ70" s="336"/>
      <c r="DK70" s="336"/>
      <c r="DL70" s="336"/>
      <c r="DM70" s="336"/>
      <c r="DN70" s="336"/>
      <c r="DO70" s="336"/>
      <c r="DP70" s="336"/>
      <c r="DQ70" s="336"/>
      <c r="DR70" s="336"/>
      <c r="DS70" s="336"/>
      <c r="DT70" s="336"/>
      <c r="DU70" s="336"/>
      <c r="DV70" s="336"/>
      <c r="DW70" s="336"/>
      <c r="DX70" s="336"/>
      <c r="DY70" s="336"/>
      <c r="DZ70" s="336"/>
      <c r="EA70" s="336"/>
      <c r="EB70" s="336"/>
      <c r="EC70" s="336"/>
      <c r="ED70" s="336"/>
      <c r="EE70" s="336"/>
      <c r="EF70" s="336"/>
      <c r="EG70" s="336"/>
      <c r="EH70" s="336"/>
      <c r="EI70" s="336"/>
      <c r="EJ70" s="336"/>
      <c r="EK70" s="336"/>
      <c r="EL70" s="336"/>
      <c r="EM70" s="336"/>
      <c r="EN70" s="336"/>
      <c r="EO70" s="336"/>
      <c r="EP70" s="336"/>
      <c r="EQ70" s="336"/>
      <c r="ER70" s="336"/>
      <c r="ES70" s="336"/>
      <c r="ET70" s="336"/>
      <c r="EU70" s="336"/>
      <c r="EV70" s="336"/>
      <c r="EW70" s="336"/>
      <c r="EX70" s="336"/>
      <c r="EY70" s="336"/>
      <c r="EZ70" s="336"/>
      <c r="FA70" s="336"/>
      <c r="FB70" s="336"/>
      <c r="FC70" s="336"/>
      <c r="FD70" s="336"/>
      <c r="FE70" s="336"/>
      <c r="FF70" s="336"/>
      <c r="FG70" s="336"/>
      <c r="FH70" s="336"/>
      <c r="FI70" s="336"/>
      <c r="FJ70" s="336"/>
      <c r="FK70" s="336"/>
      <c r="FL70" s="336"/>
      <c r="FM70" s="336"/>
      <c r="FN70" s="336"/>
      <c r="FO70" s="336"/>
      <c r="FP70" s="336"/>
      <c r="FQ70" s="336"/>
      <c r="FR70" s="336"/>
      <c r="FS70" s="336"/>
      <c r="FT70" s="336"/>
      <c r="FU70" s="336"/>
      <c r="FV70" s="336"/>
      <c r="FW70" s="336"/>
      <c r="FX70" s="336"/>
      <c r="FY70" s="336"/>
      <c r="FZ70" s="336"/>
      <c r="GA70" s="336"/>
      <c r="GB70" s="336"/>
      <c r="GC70" s="336"/>
      <c r="GD70" s="336"/>
      <c r="GE70" s="336"/>
      <c r="GF70" s="336"/>
      <c r="GG70" s="336"/>
      <c r="GH70" s="336"/>
      <c r="GI70" s="336"/>
      <c r="GJ70" s="336"/>
      <c r="GK70" s="336"/>
      <c r="GL70" s="336"/>
      <c r="GM70" s="336"/>
      <c r="GN70" s="336"/>
      <c r="GO70" s="336"/>
      <c r="GP70" s="336"/>
      <c r="GQ70" s="336"/>
      <c r="GR70" s="336"/>
      <c r="GS70" s="336"/>
      <c r="GT70" s="336"/>
      <c r="GU70" s="336"/>
      <c r="GV70" s="336"/>
      <c r="GW70" s="336"/>
      <c r="GX70" s="336"/>
      <c r="GY70" s="336"/>
      <c r="GZ70" s="336"/>
      <c r="HA70" s="336"/>
      <c r="HB70" s="336"/>
      <c r="HC70" s="336"/>
      <c r="HD70" s="336"/>
      <c r="HE70" s="336"/>
      <c r="HF70" s="336"/>
      <c r="HG70" s="336"/>
      <c r="HH70" s="336"/>
      <c r="HI70" s="336"/>
      <c r="HJ70" s="336"/>
      <c r="HK70" s="336"/>
      <c r="HL70" s="336"/>
      <c r="HM70" s="336"/>
      <c r="HN70" s="336"/>
      <c r="HO70" s="336"/>
      <c r="HP70" s="336"/>
      <c r="HQ70" s="336"/>
      <c r="HR70" s="336"/>
      <c r="HS70" s="336"/>
      <c r="HT70" s="336"/>
      <c r="HU70" s="336"/>
      <c r="HV70" s="336"/>
      <c r="HW70" s="336"/>
      <c r="HX70" s="336"/>
      <c r="HY70" s="336"/>
      <c r="HZ70" s="336"/>
      <c r="IA70" s="336"/>
      <c r="IB70" s="336"/>
      <c r="IC70" s="336"/>
      <c r="ID70" s="336"/>
      <c r="IE70" s="336"/>
      <c r="IF70" s="336"/>
      <c r="IG70" s="336"/>
      <c r="IH70" s="336"/>
      <c r="II70" s="336"/>
      <c r="IJ70" s="336"/>
      <c r="IK70" s="336"/>
      <c r="IL70" s="336"/>
      <c r="IM70" s="336"/>
      <c r="IN70" s="336"/>
      <c r="IO70" s="336"/>
      <c r="IP70" s="336"/>
      <c r="IQ70" s="336"/>
      <c r="IR70" s="336"/>
      <c r="IS70" s="336"/>
      <c r="IT70" s="336"/>
      <c r="IU70" s="336"/>
      <c r="IV70" s="336"/>
      <c r="IW70" s="336"/>
      <c r="IX70" s="336"/>
      <c r="IY70" s="336"/>
      <c r="IZ70" s="336"/>
      <c r="JA70" s="336"/>
    </row>
    <row r="71" spans="1:261">
      <c r="A71" s="337"/>
      <c r="B71" s="338"/>
      <c r="C71" s="339"/>
      <c r="D71" s="339"/>
      <c r="E71" s="339"/>
      <c r="F71" s="339"/>
      <c r="G71" s="339"/>
      <c r="H71" s="339"/>
      <c r="I71" s="339"/>
      <c r="J71" s="339"/>
      <c r="K71" s="340"/>
      <c r="L71" s="340"/>
      <c r="M71" s="295"/>
      <c r="U71" s="295"/>
      <c r="V71" s="295"/>
      <c r="W71" s="295"/>
      <c r="X71" s="295"/>
      <c r="Y71" s="295"/>
      <c r="Z71" s="295"/>
      <c r="AA71" s="295"/>
      <c r="AB71" s="295"/>
      <c r="AC71" s="295"/>
      <c r="AD71" s="295"/>
      <c r="AE71" s="295"/>
      <c r="AF71" s="295"/>
      <c r="AG71" s="295"/>
      <c r="AH71" s="295"/>
      <c r="AI71" s="295"/>
      <c r="AJ71" s="295"/>
      <c r="AK71" s="295"/>
      <c r="AL71" s="295"/>
      <c r="AM71" s="295"/>
      <c r="AN71" s="295"/>
      <c r="AO71" s="295"/>
      <c r="AP71" s="295"/>
      <c r="AQ71" s="295"/>
      <c r="AR71" s="295"/>
      <c r="AS71" s="295"/>
      <c r="AT71" s="295"/>
      <c r="AU71" s="295"/>
      <c r="AV71" s="295"/>
      <c r="AW71" s="295"/>
      <c r="AX71" s="295"/>
      <c r="AY71" s="295"/>
      <c r="AZ71" s="295"/>
      <c r="BA71" s="295"/>
      <c r="BB71" s="295"/>
      <c r="BC71" s="295"/>
      <c r="BD71" s="295"/>
      <c r="BE71" s="295"/>
      <c r="BF71" s="295"/>
      <c r="BG71" s="295"/>
      <c r="BH71" s="295"/>
      <c r="BI71" s="295"/>
      <c r="BJ71" s="295"/>
      <c r="BK71" s="295"/>
      <c r="BL71" s="295"/>
      <c r="BM71" s="295"/>
      <c r="BN71" s="295"/>
      <c r="BO71" s="295"/>
      <c r="BP71" s="295"/>
      <c r="BQ71" s="295"/>
      <c r="BR71" s="295"/>
      <c r="BS71" s="295"/>
      <c r="BT71" s="295"/>
      <c r="BU71" s="295"/>
      <c r="BV71" s="295"/>
      <c r="BW71" s="295"/>
      <c r="BX71" s="295"/>
      <c r="BY71" s="295"/>
      <c r="BZ71" s="295"/>
      <c r="CA71" s="295"/>
      <c r="CB71" s="295"/>
      <c r="CC71" s="295"/>
      <c r="CD71" s="295"/>
      <c r="CE71" s="295"/>
      <c r="CF71" s="295"/>
      <c r="CG71" s="295"/>
      <c r="CH71" s="295"/>
      <c r="CI71" s="295"/>
      <c r="CJ71" s="295"/>
      <c r="CK71" s="295"/>
      <c r="CL71" s="295"/>
      <c r="CM71" s="295"/>
      <c r="CN71" s="295"/>
      <c r="CO71" s="295"/>
      <c r="CP71" s="295"/>
      <c r="CQ71" s="295"/>
      <c r="CR71" s="295"/>
      <c r="CS71" s="295"/>
      <c r="CT71" s="295"/>
      <c r="CU71" s="295"/>
      <c r="CV71" s="295"/>
      <c r="CW71" s="295"/>
      <c r="CX71" s="295"/>
      <c r="CY71" s="295"/>
      <c r="CZ71" s="295"/>
      <c r="DA71" s="295"/>
      <c r="DB71" s="295"/>
      <c r="DC71" s="295"/>
      <c r="DD71" s="295"/>
      <c r="DE71" s="295"/>
      <c r="DF71" s="295"/>
      <c r="DG71" s="295"/>
      <c r="DH71" s="295"/>
      <c r="DI71" s="295"/>
      <c r="DJ71" s="295"/>
      <c r="DK71" s="295"/>
      <c r="DL71" s="295"/>
      <c r="DM71" s="295"/>
      <c r="DN71" s="295"/>
      <c r="DO71" s="295"/>
      <c r="DP71" s="295"/>
      <c r="DQ71" s="295"/>
      <c r="DR71" s="295"/>
      <c r="DS71" s="295"/>
      <c r="DT71" s="295"/>
      <c r="DU71" s="295"/>
      <c r="DV71" s="295"/>
      <c r="DW71" s="295"/>
      <c r="DX71" s="295"/>
      <c r="DY71" s="295"/>
      <c r="DZ71" s="295"/>
      <c r="EA71" s="295"/>
      <c r="EB71" s="295"/>
      <c r="EC71" s="295"/>
      <c r="ED71" s="295"/>
      <c r="EE71" s="295"/>
      <c r="EF71" s="295"/>
      <c r="EG71" s="295"/>
      <c r="EH71" s="295"/>
      <c r="EI71" s="295"/>
      <c r="EJ71" s="295"/>
      <c r="EK71" s="295"/>
      <c r="EL71" s="295"/>
      <c r="EM71" s="295"/>
      <c r="EN71" s="295"/>
      <c r="EO71" s="295"/>
      <c r="EP71" s="295"/>
      <c r="EQ71" s="295"/>
      <c r="ER71" s="295"/>
      <c r="ES71" s="295"/>
      <c r="ET71" s="295"/>
      <c r="EU71" s="295"/>
      <c r="EV71" s="295"/>
      <c r="EW71" s="295"/>
      <c r="EX71" s="295"/>
      <c r="EY71" s="295"/>
      <c r="EZ71" s="295"/>
      <c r="FA71" s="295"/>
      <c r="FB71" s="295"/>
      <c r="FC71" s="295"/>
      <c r="FD71" s="295"/>
      <c r="FE71" s="295"/>
      <c r="FF71" s="295"/>
      <c r="FG71" s="295"/>
      <c r="FH71" s="295"/>
      <c r="FI71" s="295"/>
      <c r="FJ71" s="295"/>
      <c r="FK71" s="295"/>
      <c r="FL71" s="295"/>
      <c r="FM71" s="295"/>
      <c r="FN71" s="295"/>
      <c r="FO71" s="295"/>
      <c r="FP71" s="295"/>
      <c r="FQ71" s="295"/>
      <c r="FR71" s="295"/>
      <c r="FS71" s="295"/>
      <c r="FT71" s="295"/>
      <c r="FU71" s="295"/>
      <c r="FV71" s="295"/>
      <c r="FW71" s="295"/>
      <c r="FX71" s="295"/>
      <c r="FY71" s="295"/>
      <c r="FZ71" s="295"/>
      <c r="GA71" s="295"/>
      <c r="GB71" s="295"/>
      <c r="GC71" s="295"/>
      <c r="GD71" s="295"/>
      <c r="GE71" s="295"/>
      <c r="GF71" s="295"/>
      <c r="GG71" s="295"/>
      <c r="GH71" s="295"/>
      <c r="GI71" s="295"/>
      <c r="GJ71" s="295"/>
      <c r="GK71" s="295"/>
      <c r="GL71" s="295"/>
      <c r="GM71" s="295"/>
      <c r="GN71" s="295"/>
      <c r="GO71" s="295"/>
      <c r="GP71" s="295"/>
      <c r="GQ71" s="295"/>
      <c r="GR71" s="295"/>
      <c r="GS71" s="295"/>
      <c r="GT71" s="295"/>
      <c r="GU71" s="295"/>
      <c r="GV71" s="295"/>
      <c r="GW71" s="295"/>
      <c r="GX71" s="295"/>
      <c r="GY71" s="295"/>
      <c r="GZ71" s="295"/>
      <c r="HA71" s="295"/>
      <c r="HB71" s="295"/>
      <c r="HC71" s="295"/>
      <c r="HD71" s="295"/>
      <c r="HE71" s="295"/>
      <c r="HF71" s="295"/>
      <c r="HG71" s="295"/>
      <c r="HH71" s="295"/>
      <c r="HI71" s="295"/>
      <c r="HJ71" s="295"/>
      <c r="HK71" s="295"/>
      <c r="HL71" s="295"/>
      <c r="HM71" s="295"/>
      <c r="HN71" s="295"/>
      <c r="HO71" s="295"/>
      <c r="HP71" s="295"/>
      <c r="HQ71" s="295"/>
      <c r="HR71" s="295"/>
      <c r="HS71" s="295"/>
      <c r="HT71" s="295"/>
      <c r="HU71" s="295"/>
      <c r="HV71" s="295"/>
      <c r="HW71" s="295"/>
      <c r="HX71" s="295"/>
      <c r="HY71" s="295"/>
      <c r="HZ71" s="295"/>
      <c r="IA71" s="295"/>
      <c r="IB71" s="295"/>
      <c r="IC71" s="295"/>
      <c r="ID71" s="295"/>
      <c r="IE71" s="295"/>
      <c r="IF71" s="295"/>
      <c r="IG71" s="295"/>
      <c r="IH71" s="295"/>
      <c r="II71" s="295"/>
      <c r="IJ71" s="295"/>
      <c r="IK71" s="295"/>
      <c r="IL71" s="295"/>
      <c r="IM71" s="295"/>
      <c r="IN71" s="295"/>
      <c r="IO71" s="295"/>
      <c r="IP71" s="295"/>
      <c r="IQ71" s="295"/>
      <c r="IR71" s="295"/>
      <c r="IS71" s="295"/>
      <c r="IT71" s="295"/>
      <c r="IU71" s="295"/>
      <c r="IV71" s="295"/>
      <c r="IW71" s="295"/>
      <c r="IX71" s="295"/>
      <c r="IY71" s="295"/>
      <c r="IZ71" s="295"/>
      <c r="JA71" s="295"/>
    </row>
    <row r="72" spans="1:261">
      <c r="A72" s="337"/>
      <c r="B72" s="338"/>
      <c r="C72" s="339"/>
      <c r="D72" s="339"/>
      <c r="E72" s="339"/>
      <c r="F72" s="339"/>
      <c r="G72" s="339"/>
      <c r="H72" s="339"/>
      <c r="I72" s="339"/>
      <c r="J72" s="339"/>
      <c r="K72" s="340"/>
      <c r="L72" s="340"/>
      <c r="M72" s="295"/>
      <c r="U72" s="295"/>
      <c r="V72" s="295"/>
      <c r="W72" s="295"/>
      <c r="X72" s="295"/>
      <c r="Y72" s="295"/>
      <c r="Z72" s="295"/>
      <c r="AA72" s="295"/>
      <c r="AB72" s="295"/>
      <c r="AC72" s="295"/>
      <c r="AD72" s="295"/>
      <c r="AE72" s="295"/>
      <c r="AF72" s="295"/>
      <c r="AG72" s="295"/>
      <c r="AH72" s="295"/>
      <c r="AI72" s="295"/>
      <c r="AJ72" s="295"/>
      <c r="AK72" s="295"/>
      <c r="AL72" s="295"/>
      <c r="AM72" s="295"/>
      <c r="AN72" s="295"/>
      <c r="AO72" s="295"/>
      <c r="AP72" s="295"/>
      <c r="AQ72" s="295"/>
      <c r="AR72" s="295"/>
      <c r="AS72" s="295"/>
      <c r="AT72" s="295"/>
      <c r="AU72" s="295"/>
      <c r="AV72" s="295"/>
      <c r="AW72" s="295"/>
      <c r="AX72" s="295"/>
      <c r="AY72" s="295"/>
      <c r="AZ72" s="295"/>
      <c r="BA72" s="295"/>
      <c r="BB72" s="295"/>
      <c r="BC72" s="295"/>
      <c r="BD72" s="295"/>
      <c r="BE72" s="295"/>
      <c r="BF72" s="295"/>
      <c r="BG72" s="295"/>
      <c r="BH72" s="295"/>
      <c r="BI72" s="295"/>
      <c r="BJ72" s="295"/>
      <c r="BK72" s="295"/>
      <c r="BL72" s="295"/>
      <c r="BM72" s="295"/>
      <c r="BN72" s="295"/>
      <c r="BO72" s="295"/>
      <c r="BP72" s="295"/>
      <c r="BQ72" s="295"/>
      <c r="BR72" s="295"/>
      <c r="BS72" s="295"/>
      <c r="BT72" s="295"/>
      <c r="BU72" s="295"/>
      <c r="BV72" s="295"/>
      <c r="BW72" s="295"/>
      <c r="BX72" s="295"/>
      <c r="BY72" s="295"/>
      <c r="BZ72" s="295"/>
      <c r="CA72" s="295"/>
      <c r="CB72" s="295"/>
      <c r="CC72" s="295"/>
      <c r="CD72" s="295"/>
      <c r="CE72" s="295"/>
      <c r="CF72" s="295"/>
      <c r="CG72" s="295"/>
      <c r="CH72" s="295"/>
      <c r="CI72" s="295"/>
      <c r="CJ72" s="295"/>
      <c r="CK72" s="295"/>
      <c r="CL72" s="295"/>
      <c r="CM72" s="295"/>
      <c r="CN72" s="295"/>
      <c r="CO72" s="295"/>
      <c r="CP72" s="295"/>
      <c r="CQ72" s="295"/>
      <c r="CR72" s="295"/>
      <c r="CS72" s="295"/>
      <c r="CT72" s="295"/>
      <c r="CU72" s="295"/>
      <c r="CV72" s="295"/>
      <c r="CW72" s="295"/>
      <c r="CX72" s="295"/>
      <c r="CY72" s="295"/>
      <c r="CZ72" s="295"/>
      <c r="DA72" s="295"/>
      <c r="DB72" s="295"/>
      <c r="DC72" s="295"/>
      <c r="DD72" s="295"/>
      <c r="DE72" s="295"/>
      <c r="DF72" s="295"/>
      <c r="DG72" s="295"/>
      <c r="DH72" s="295"/>
      <c r="DI72" s="295"/>
      <c r="DJ72" s="295"/>
      <c r="DK72" s="295"/>
      <c r="DL72" s="295"/>
      <c r="DM72" s="295"/>
      <c r="DN72" s="295"/>
      <c r="DO72" s="295"/>
      <c r="DP72" s="295"/>
      <c r="DQ72" s="295"/>
      <c r="DR72" s="295"/>
      <c r="DS72" s="295"/>
      <c r="DT72" s="295"/>
      <c r="DU72" s="295"/>
      <c r="DV72" s="295"/>
      <c r="DW72" s="295"/>
      <c r="DX72" s="295"/>
      <c r="DY72" s="295"/>
      <c r="DZ72" s="295"/>
      <c r="EA72" s="295"/>
      <c r="EB72" s="295"/>
      <c r="EC72" s="295"/>
      <c r="ED72" s="295"/>
      <c r="EE72" s="295"/>
      <c r="EF72" s="295"/>
      <c r="EG72" s="295"/>
      <c r="EH72" s="295"/>
      <c r="EI72" s="295"/>
      <c r="EJ72" s="295"/>
      <c r="EK72" s="295"/>
      <c r="EL72" s="295"/>
      <c r="EM72" s="295"/>
      <c r="EN72" s="295"/>
      <c r="EO72" s="295"/>
      <c r="EP72" s="295"/>
      <c r="EQ72" s="295"/>
      <c r="ER72" s="295"/>
      <c r="ES72" s="295"/>
      <c r="ET72" s="295"/>
      <c r="EU72" s="295"/>
      <c r="EV72" s="295"/>
      <c r="EW72" s="295"/>
      <c r="EX72" s="295"/>
      <c r="EY72" s="295"/>
      <c r="EZ72" s="295"/>
      <c r="FA72" s="295"/>
      <c r="FB72" s="295"/>
      <c r="FC72" s="295"/>
      <c r="FD72" s="295"/>
      <c r="FE72" s="295"/>
      <c r="FF72" s="295"/>
      <c r="FG72" s="295"/>
      <c r="FH72" s="295"/>
      <c r="FI72" s="295"/>
      <c r="FJ72" s="295"/>
      <c r="FK72" s="295"/>
      <c r="FL72" s="295"/>
      <c r="FM72" s="295"/>
      <c r="FN72" s="295"/>
      <c r="FO72" s="295"/>
      <c r="FP72" s="295"/>
      <c r="FQ72" s="295"/>
      <c r="FR72" s="295"/>
      <c r="FS72" s="295"/>
      <c r="FT72" s="295"/>
      <c r="FU72" s="295"/>
      <c r="FV72" s="295"/>
      <c r="FW72" s="295"/>
      <c r="FX72" s="295"/>
      <c r="FY72" s="295"/>
      <c r="FZ72" s="295"/>
      <c r="GA72" s="295"/>
      <c r="GB72" s="295"/>
      <c r="GC72" s="295"/>
      <c r="GD72" s="295"/>
      <c r="GE72" s="295"/>
      <c r="GF72" s="295"/>
      <c r="GG72" s="295"/>
      <c r="GH72" s="295"/>
      <c r="GI72" s="295"/>
      <c r="GJ72" s="295"/>
      <c r="GK72" s="295"/>
      <c r="GL72" s="295"/>
      <c r="GM72" s="295"/>
      <c r="GN72" s="295"/>
      <c r="GO72" s="295"/>
      <c r="GP72" s="295"/>
      <c r="GQ72" s="295"/>
      <c r="GR72" s="295"/>
      <c r="GS72" s="295"/>
      <c r="GT72" s="295"/>
      <c r="GU72" s="295"/>
      <c r="GV72" s="295"/>
      <c r="GW72" s="295"/>
      <c r="GX72" s="295"/>
      <c r="GY72" s="295"/>
      <c r="GZ72" s="295"/>
      <c r="HA72" s="295"/>
      <c r="HB72" s="295"/>
      <c r="HC72" s="295"/>
      <c r="HD72" s="295"/>
      <c r="HE72" s="295"/>
      <c r="HF72" s="295"/>
      <c r="HG72" s="295"/>
      <c r="HH72" s="295"/>
      <c r="HI72" s="295"/>
      <c r="HJ72" s="295"/>
      <c r="HK72" s="295"/>
      <c r="HL72" s="295"/>
      <c r="HM72" s="295"/>
      <c r="HN72" s="295"/>
      <c r="HO72" s="295"/>
      <c r="HP72" s="295"/>
      <c r="HQ72" s="295"/>
      <c r="HR72" s="295"/>
      <c r="HS72" s="295"/>
      <c r="HT72" s="295"/>
      <c r="HU72" s="295"/>
      <c r="HV72" s="295"/>
      <c r="HW72" s="295"/>
      <c r="HX72" s="295"/>
      <c r="HY72" s="295"/>
      <c r="HZ72" s="295"/>
      <c r="IA72" s="295"/>
      <c r="IB72" s="295"/>
      <c r="IC72" s="295"/>
      <c r="ID72" s="295"/>
      <c r="IE72" s="295"/>
      <c r="IF72" s="295"/>
      <c r="IG72" s="295"/>
      <c r="IH72" s="295"/>
      <c r="II72" s="295"/>
      <c r="IJ72" s="295"/>
      <c r="IK72" s="295"/>
      <c r="IL72" s="295"/>
      <c r="IM72" s="295"/>
      <c r="IN72" s="295"/>
      <c r="IO72" s="295"/>
      <c r="IP72" s="295"/>
      <c r="IQ72" s="295"/>
      <c r="IR72" s="295"/>
      <c r="IS72" s="295"/>
      <c r="IT72" s="295"/>
      <c r="IU72" s="295"/>
      <c r="IV72" s="295"/>
      <c r="IW72" s="295"/>
      <c r="IX72" s="295"/>
      <c r="IY72" s="295"/>
      <c r="IZ72" s="295"/>
      <c r="JA72" s="295"/>
    </row>
    <row r="73" spans="1:261">
      <c r="A73" s="337"/>
      <c r="B73" s="338"/>
      <c r="C73" s="339"/>
      <c r="D73" s="339"/>
      <c r="E73" s="339"/>
      <c r="F73" s="339"/>
      <c r="G73" s="339"/>
      <c r="H73" s="339"/>
      <c r="I73" s="339"/>
      <c r="J73" s="339"/>
      <c r="K73" s="340"/>
      <c r="L73" s="340"/>
      <c r="M73" s="295"/>
      <c r="U73" s="295"/>
      <c r="V73" s="295"/>
      <c r="W73" s="295"/>
      <c r="X73" s="295"/>
      <c r="Y73" s="295"/>
      <c r="Z73" s="295"/>
      <c r="AA73" s="295"/>
      <c r="AB73" s="295"/>
      <c r="AC73" s="295"/>
      <c r="AD73" s="295"/>
      <c r="AE73" s="295"/>
      <c r="AF73" s="295"/>
      <c r="AG73" s="295"/>
      <c r="AH73" s="295"/>
      <c r="AI73" s="295"/>
      <c r="AJ73" s="295"/>
      <c r="AK73" s="295"/>
      <c r="AL73" s="295"/>
      <c r="AM73" s="295"/>
      <c r="AN73" s="295"/>
      <c r="AO73" s="295"/>
      <c r="AP73" s="295"/>
      <c r="AQ73" s="295"/>
      <c r="AR73" s="295"/>
      <c r="AS73" s="295"/>
      <c r="AT73" s="295"/>
      <c r="AU73" s="295"/>
      <c r="AV73" s="295"/>
      <c r="AW73" s="295"/>
      <c r="AX73" s="295"/>
      <c r="AY73" s="295"/>
      <c r="AZ73" s="295"/>
      <c r="BA73" s="295"/>
      <c r="BB73" s="295"/>
      <c r="BC73" s="295"/>
      <c r="BD73" s="295"/>
      <c r="BE73" s="295"/>
      <c r="BF73" s="295"/>
      <c r="BG73" s="295"/>
      <c r="BH73" s="295"/>
      <c r="BI73" s="295"/>
      <c r="BJ73" s="295"/>
      <c r="BK73" s="295"/>
      <c r="BL73" s="295"/>
      <c r="BM73" s="295"/>
      <c r="BN73" s="295"/>
      <c r="BO73" s="295"/>
      <c r="BP73" s="295"/>
      <c r="BQ73" s="295"/>
      <c r="BR73" s="295"/>
      <c r="BS73" s="295"/>
      <c r="BT73" s="295"/>
      <c r="BU73" s="295"/>
      <c r="BV73" s="295"/>
      <c r="BW73" s="295"/>
      <c r="BX73" s="295"/>
      <c r="BY73" s="295"/>
      <c r="BZ73" s="295"/>
      <c r="CA73" s="295"/>
      <c r="CB73" s="295"/>
      <c r="CC73" s="295"/>
      <c r="CD73" s="295"/>
      <c r="CE73" s="295"/>
      <c r="CF73" s="295"/>
      <c r="CG73" s="295"/>
      <c r="CH73" s="295"/>
      <c r="CI73" s="295"/>
      <c r="CJ73" s="295"/>
      <c r="CK73" s="295"/>
      <c r="CL73" s="295"/>
      <c r="CM73" s="295"/>
      <c r="CN73" s="295"/>
      <c r="CO73" s="295"/>
      <c r="CP73" s="295"/>
      <c r="CQ73" s="295"/>
      <c r="CR73" s="295"/>
      <c r="CS73" s="295"/>
      <c r="CT73" s="295"/>
      <c r="CU73" s="295"/>
      <c r="CV73" s="295"/>
      <c r="CW73" s="295"/>
      <c r="CX73" s="295"/>
      <c r="CY73" s="295"/>
      <c r="CZ73" s="295"/>
      <c r="DA73" s="295"/>
      <c r="DB73" s="295"/>
      <c r="DC73" s="295"/>
      <c r="DD73" s="295"/>
      <c r="DE73" s="295"/>
      <c r="DF73" s="295"/>
      <c r="DG73" s="295"/>
      <c r="DH73" s="295"/>
      <c r="DI73" s="295"/>
      <c r="DJ73" s="295"/>
      <c r="DK73" s="295"/>
      <c r="DL73" s="295"/>
      <c r="DM73" s="295"/>
      <c r="DN73" s="295"/>
      <c r="DO73" s="295"/>
      <c r="DP73" s="295"/>
      <c r="DQ73" s="295"/>
      <c r="DR73" s="295"/>
      <c r="DS73" s="295"/>
      <c r="DT73" s="295"/>
      <c r="DU73" s="295"/>
      <c r="DV73" s="295"/>
      <c r="DW73" s="295"/>
      <c r="DX73" s="295"/>
      <c r="DY73" s="295"/>
      <c r="DZ73" s="295"/>
      <c r="EA73" s="295"/>
      <c r="EB73" s="295"/>
      <c r="EC73" s="295"/>
      <c r="ED73" s="295"/>
      <c r="EE73" s="295"/>
      <c r="EF73" s="295"/>
      <c r="EG73" s="295"/>
      <c r="EH73" s="295"/>
      <c r="EI73" s="295"/>
      <c r="EJ73" s="295"/>
      <c r="EK73" s="295"/>
      <c r="EL73" s="295"/>
      <c r="EM73" s="295"/>
      <c r="EN73" s="295"/>
      <c r="EO73" s="295"/>
      <c r="EP73" s="295"/>
      <c r="EQ73" s="295"/>
      <c r="ER73" s="295"/>
      <c r="ES73" s="295"/>
      <c r="ET73" s="295"/>
      <c r="EU73" s="295"/>
      <c r="EV73" s="295"/>
      <c r="EW73" s="295"/>
      <c r="EX73" s="295"/>
      <c r="EY73" s="295"/>
      <c r="EZ73" s="295"/>
      <c r="FA73" s="295"/>
      <c r="FB73" s="295"/>
      <c r="FC73" s="295"/>
      <c r="FD73" s="295"/>
      <c r="FE73" s="295"/>
      <c r="FF73" s="295"/>
      <c r="FG73" s="295"/>
      <c r="FH73" s="295"/>
      <c r="FI73" s="295"/>
      <c r="FJ73" s="295"/>
      <c r="FK73" s="295"/>
      <c r="FL73" s="295"/>
      <c r="FM73" s="295"/>
      <c r="FN73" s="295"/>
      <c r="FO73" s="295"/>
      <c r="FP73" s="295"/>
      <c r="FQ73" s="295"/>
      <c r="FR73" s="295"/>
      <c r="FS73" s="295"/>
      <c r="FT73" s="295"/>
      <c r="FU73" s="295"/>
      <c r="FV73" s="295"/>
      <c r="FW73" s="295"/>
      <c r="FX73" s="295"/>
      <c r="FY73" s="295"/>
      <c r="FZ73" s="295"/>
      <c r="GA73" s="295"/>
      <c r="GB73" s="295"/>
      <c r="GC73" s="295"/>
      <c r="GD73" s="295"/>
      <c r="GE73" s="295"/>
      <c r="GF73" s="295"/>
      <c r="GG73" s="295"/>
      <c r="GH73" s="295"/>
      <c r="GI73" s="295"/>
      <c r="GJ73" s="295"/>
      <c r="GK73" s="295"/>
      <c r="GL73" s="295"/>
      <c r="GM73" s="295"/>
      <c r="GN73" s="295"/>
      <c r="GO73" s="295"/>
      <c r="GP73" s="295"/>
      <c r="GQ73" s="295"/>
      <c r="GR73" s="295"/>
      <c r="GS73" s="295"/>
      <c r="GT73" s="295"/>
      <c r="GU73" s="295"/>
      <c r="GV73" s="295"/>
      <c r="GW73" s="295"/>
      <c r="GX73" s="295"/>
      <c r="GY73" s="295"/>
      <c r="GZ73" s="295"/>
      <c r="HA73" s="295"/>
      <c r="HB73" s="295"/>
      <c r="HC73" s="295"/>
      <c r="HD73" s="295"/>
      <c r="HE73" s="295"/>
      <c r="HF73" s="295"/>
      <c r="HG73" s="295"/>
      <c r="HH73" s="295"/>
      <c r="HI73" s="295"/>
      <c r="HJ73" s="295"/>
      <c r="HK73" s="295"/>
      <c r="HL73" s="295"/>
      <c r="HM73" s="295"/>
      <c r="HN73" s="295"/>
      <c r="HO73" s="295"/>
      <c r="HP73" s="295"/>
      <c r="HQ73" s="295"/>
      <c r="HR73" s="295"/>
      <c r="HS73" s="295"/>
      <c r="HT73" s="295"/>
      <c r="HU73" s="295"/>
      <c r="HV73" s="295"/>
      <c r="HW73" s="295"/>
      <c r="HX73" s="295"/>
      <c r="HY73" s="295"/>
      <c r="HZ73" s="295"/>
      <c r="IA73" s="295"/>
      <c r="IB73" s="295"/>
      <c r="IC73" s="295"/>
      <c r="ID73" s="295"/>
      <c r="IE73" s="295"/>
      <c r="IF73" s="295"/>
      <c r="IG73" s="295"/>
      <c r="IH73" s="295"/>
      <c r="II73" s="295"/>
      <c r="IJ73" s="295"/>
      <c r="IK73" s="295"/>
      <c r="IL73" s="295"/>
      <c r="IM73" s="295"/>
      <c r="IN73" s="295"/>
      <c r="IO73" s="295"/>
      <c r="IP73" s="295"/>
      <c r="IQ73" s="295"/>
      <c r="IR73" s="295"/>
      <c r="IS73" s="295"/>
      <c r="IT73" s="295"/>
      <c r="IU73" s="295"/>
      <c r="IV73" s="295"/>
      <c r="IW73" s="295"/>
      <c r="IX73" s="295"/>
      <c r="IY73" s="295"/>
      <c r="IZ73" s="295"/>
      <c r="JA73" s="295"/>
    </row>
    <row r="74" spans="1:261" ht="24" thickBot="1">
      <c r="A74" s="1297" t="s">
        <v>995</v>
      </c>
      <c r="B74" s="1297"/>
      <c r="C74" s="1297"/>
      <c r="D74" s="1297"/>
      <c r="E74" s="1297"/>
      <c r="F74" s="1297"/>
      <c r="G74" s="1297"/>
      <c r="H74" s="1297"/>
      <c r="I74" s="1297"/>
      <c r="J74" s="1297"/>
      <c r="K74" s="1297"/>
      <c r="L74" s="1297"/>
    </row>
    <row r="75" spans="1:261" ht="47.25">
      <c r="A75" s="274" t="s">
        <v>3</v>
      </c>
      <c r="B75" s="275" t="s">
        <v>624</v>
      </c>
      <c r="C75" s="276" t="s">
        <v>880</v>
      </c>
      <c r="D75" s="909">
        <v>7611</v>
      </c>
      <c r="E75" s="278" t="s">
        <v>274</v>
      </c>
      <c r="F75" s="277" t="s">
        <v>275</v>
      </c>
      <c r="G75" s="279" t="s">
        <v>665</v>
      </c>
      <c r="H75" s="279">
        <v>8751</v>
      </c>
      <c r="I75" s="279">
        <v>8711</v>
      </c>
      <c r="J75" s="280" t="s">
        <v>666</v>
      </c>
      <c r="K75" s="275" t="s">
        <v>667</v>
      </c>
      <c r="L75" s="281" t="s">
        <v>15</v>
      </c>
    </row>
    <row r="76" spans="1:261" ht="16.5" thickBot="1">
      <c r="A76" s="298"/>
      <c r="B76" s="341"/>
      <c r="C76" s="342"/>
      <c r="D76" s="343"/>
      <c r="E76" s="344"/>
      <c r="F76" s="343"/>
      <c r="G76" s="345"/>
      <c r="H76" s="345"/>
      <c r="I76" s="345"/>
      <c r="J76" s="346"/>
      <c r="K76" s="301"/>
      <c r="L76" s="347"/>
    </row>
    <row r="77" spans="1:261">
      <c r="A77" s="333" t="s">
        <v>810</v>
      </c>
      <c r="B77" s="311" t="s">
        <v>30</v>
      </c>
      <c r="C77" s="312">
        <v>0</v>
      </c>
      <c r="D77" s="312">
        <v>0</v>
      </c>
      <c r="E77" s="312"/>
      <c r="F77" s="312"/>
      <c r="G77" s="312">
        <v>0</v>
      </c>
      <c r="H77" s="312"/>
      <c r="I77" s="312"/>
      <c r="J77" s="312">
        <v>0</v>
      </c>
      <c r="K77" s="303">
        <v>30000</v>
      </c>
      <c r="L77" s="303">
        <f t="shared" ref="L77" si="14">SUM(C77+G77+J77+K77)</f>
        <v>30000</v>
      </c>
    </row>
    <row r="78" spans="1:261" s="282" customFormat="1">
      <c r="A78" s="334" t="s">
        <v>860</v>
      </c>
      <c r="B78" s="286" t="s">
        <v>31</v>
      </c>
      <c r="C78" s="287">
        <v>0</v>
      </c>
      <c r="D78" s="288">
        <v>0</v>
      </c>
      <c r="E78" s="288"/>
      <c r="F78" s="288"/>
      <c r="G78" s="288">
        <v>100000</v>
      </c>
      <c r="H78" s="288"/>
      <c r="I78" s="288"/>
      <c r="J78" s="287">
        <v>0</v>
      </c>
      <c r="K78" s="287">
        <v>0</v>
      </c>
      <c r="L78" s="288">
        <f t="shared" ref="L78:L84" si="15">SUM(C78+G78+J78+K78)</f>
        <v>100000</v>
      </c>
      <c r="N78" s="272"/>
      <c r="O78" s="272"/>
      <c r="P78" s="272"/>
      <c r="Q78" s="272"/>
      <c r="R78" s="272"/>
      <c r="S78" s="272"/>
      <c r="T78" s="272"/>
    </row>
    <row r="79" spans="1:261">
      <c r="A79" s="334" t="s">
        <v>843</v>
      </c>
      <c r="B79" s="286" t="s">
        <v>32</v>
      </c>
      <c r="C79" s="287">
        <v>0</v>
      </c>
      <c r="D79" s="288">
        <v>0</v>
      </c>
      <c r="E79" s="288"/>
      <c r="F79" s="288"/>
      <c r="G79" s="288">
        <v>204000</v>
      </c>
      <c r="H79" s="288"/>
      <c r="I79" s="288"/>
      <c r="J79" s="287">
        <v>0</v>
      </c>
      <c r="K79" s="287">
        <v>0</v>
      </c>
      <c r="L79" s="288">
        <f t="shared" si="15"/>
        <v>204000</v>
      </c>
    </row>
    <row r="80" spans="1:261">
      <c r="A80" s="334" t="s">
        <v>932</v>
      </c>
      <c r="B80" s="286" t="s">
        <v>399</v>
      </c>
      <c r="C80" s="287">
        <v>0</v>
      </c>
      <c r="D80" s="288">
        <v>0</v>
      </c>
      <c r="E80" s="288"/>
      <c r="F80" s="288"/>
      <c r="G80" s="288">
        <v>300000</v>
      </c>
      <c r="H80" s="288"/>
      <c r="I80" s="288"/>
      <c r="J80" s="287">
        <v>0</v>
      </c>
      <c r="K80" s="287">
        <v>0</v>
      </c>
      <c r="L80" s="288">
        <f t="shared" si="15"/>
        <v>300000</v>
      </c>
    </row>
    <row r="81" spans="1:61">
      <c r="A81" s="334" t="s">
        <v>808</v>
      </c>
      <c r="B81" s="286" t="s">
        <v>400</v>
      </c>
      <c r="C81" s="287">
        <v>0</v>
      </c>
      <c r="D81" s="287">
        <v>0</v>
      </c>
      <c r="E81" s="287"/>
      <c r="F81" s="287"/>
      <c r="G81" s="287">
        <v>0</v>
      </c>
      <c r="H81" s="287"/>
      <c r="I81" s="287"/>
      <c r="J81" s="287">
        <v>0</v>
      </c>
      <c r="K81" s="288">
        <v>0</v>
      </c>
      <c r="L81" s="288">
        <f t="shared" si="15"/>
        <v>0</v>
      </c>
    </row>
    <row r="82" spans="1:61">
      <c r="A82" s="334" t="s">
        <v>812</v>
      </c>
      <c r="B82" s="286" t="s">
        <v>401</v>
      </c>
      <c r="C82" s="287">
        <v>0</v>
      </c>
      <c r="D82" s="287">
        <v>0</v>
      </c>
      <c r="E82" s="287"/>
      <c r="F82" s="287"/>
      <c r="G82" s="287">
        <v>0</v>
      </c>
      <c r="H82" s="287"/>
      <c r="I82" s="287"/>
      <c r="J82" s="287">
        <v>0</v>
      </c>
      <c r="K82" s="288">
        <v>30000</v>
      </c>
      <c r="L82" s="288">
        <f t="shared" si="15"/>
        <v>30000</v>
      </c>
    </row>
    <row r="83" spans="1:61">
      <c r="A83" s="334" t="s">
        <v>813</v>
      </c>
      <c r="B83" s="286" t="s">
        <v>402</v>
      </c>
      <c r="C83" s="287">
        <v>0</v>
      </c>
      <c r="D83" s="288">
        <v>0</v>
      </c>
      <c r="E83" s="288"/>
      <c r="F83" s="288"/>
      <c r="G83" s="288">
        <v>176400</v>
      </c>
      <c r="H83" s="288"/>
      <c r="I83" s="288"/>
      <c r="J83" s="287">
        <v>0</v>
      </c>
      <c r="K83" s="287">
        <v>0</v>
      </c>
      <c r="L83" s="288">
        <f t="shared" si="15"/>
        <v>176400</v>
      </c>
    </row>
    <row r="84" spans="1:61">
      <c r="A84" s="334" t="s">
        <v>1491</v>
      </c>
      <c r="B84" s="286" t="s">
        <v>403</v>
      </c>
      <c r="C84" s="288">
        <v>75000</v>
      </c>
      <c r="D84" s="287">
        <v>0</v>
      </c>
      <c r="E84" s="287"/>
      <c r="F84" s="287"/>
      <c r="G84" s="287">
        <v>0</v>
      </c>
      <c r="H84" s="287"/>
      <c r="I84" s="287"/>
      <c r="J84" s="287">
        <v>0</v>
      </c>
      <c r="K84" s="287">
        <v>0</v>
      </c>
      <c r="L84" s="288">
        <f t="shared" si="15"/>
        <v>75000</v>
      </c>
    </row>
    <row r="85" spans="1:61">
      <c r="A85" s="334" t="s">
        <v>815</v>
      </c>
      <c r="B85" s="286" t="s">
        <v>404</v>
      </c>
      <c r="C85" s="287">
        <v>0</v>
      </c>
      <c r="D85" s="287">
        <v>0</v>
      </c>
      <c r="E85" s="287"/>
      <c r="F85" s="287"/>
      <c r="G85" s="287">
        <v>0</v>
      </c>
      <c r="H85" s="287"/>
      <c r="I85" s="287"/>
      <c r="J85" s="287">
        <v>0</v>
      </c>
      <c r="K85" s="288">
        <v>150000</v>
      </c>
      <c r="L85" s="288">
        <f t="shared" ref="L85:L129" si="16">SUM(C85+G85+J85+K85)</f>
        <v>150000</v>
      </c>
    </row>
    <row r="86" spans="1:61">
      <c r="A86" s="334" t="s">
        <v>899</v>
      </c>
      <c r="B86" s="286" t="s">
        <v>405</v>
      </c>
      <c r="C86" s="287">
        <v>0</v>
      </c>
      <c r="D86" s="288">
        <v>0</v>
      </c>
      <c r="E86" s="288"/>
      <c r="F86" s="288"/>
      <c r="G86" s="288">
        <v>1248000</v>
      </c>
      <c r="H86" s="288"/>
      <c r="I86" s="288"/>
      <c r="J86" s="287">
        <v>0</v>
      </c>
      <c r="K86" s="287">
        <v>0</v>
      </c>
      <c r="L86" s="288">
        <f t="shared" si="16"/>
        <v>1248000</v>
      </c>
    </row>
    <row r="87" spans="1:61">
      <c r="A87" s="334" t="s">
        <v>811</v>
      </c>
      <c r="B87" s="286" t="s">
        <v>406</v>
      </c>
      <c r="C87" s="287">
        <v>0</v>
      </c>
      <c r="D87" s="288">
        <v>0</v>
      </c>
      <c r="E87" s="288"/>
      <c r="F87" s="288"/>
      <c r="G87" s="288">
        <v>135000</v>
      </c>
      <c r="H87" s="288"/>
      <c r="I87" s="288"/>
      <c r="J87" s="287">
        <v>0</v>
      </c>
      <c r="K87" s="287">
        <v>0</v>
      </c>
      <c r="L87" s="288">
        <f t="shared" si="16"/>
        <v>135000</v>
      </c>
    </row>
    <row r="88" spans="1:61">
      <c r="A88" s="334" t="s">
        <v>816</v>
      </c>
      <c r="B88" s="286" t="s">
        <v>407</v>
      </c>
      <c r="C88" s="287">
        <v>0</v>
      </c>
      <c r="D88" s="287">
        <v>0</v>
      </c>
      <c r="E88" s="287"/>
      <c r="F88" s="287"/>
      <c r="G88" s="287"/>
      <c r="H88" s="287"/>
      <c r="I88" s="287"/>
      <c r="J88" s="288">
        <v>243650</v>
      </c>
      <c r="K88" s="287">
        <v>0</v>
      </c>
      <c r="L88" s="288">
        <f t="shared" si="16"/>
        <v>243650</v>
      </c>
    </row>
    <row r="89" spans="1:61">
      <c r="A89" s="348" t="s">
        <v>912</v>
      </c>
      <c r="B89" s="349" t="s">
        <v>408</v>
      </c>
      <c r="C89" s="350">
        <v>0</v>
      </c>
      <c r="D89" s="350">
        <v>0</v>
      </c>
      <c r="E89" s="350"/>
      <c r="F89" s="350"/>
      <c r="G89" s="350">
        <v>201600</v>
      </c>
      <c r="H89" s="350"/>
      <c r="I89" s="350"/>
      <c r="J89" s="351">
        <v>0</v>
      </c>
      <c r="K89" s="350">
        <v>0</v>
      </c>
      <c r="L89" s="288">
        <f t="shared" si="16"/>
        <v>201600</v>
      </c>
    </row>
    <row r="90" spans="1:61">
      <c r="A90" s="348" t="s">
        <v>952</v>
      </c>
      <c r="B90" s="349" t="s">
        <v>1576</v>
      </c>
      <c r="C90" s="350"/>
      <c r="D90" s="350"/>
      <c r="E90" s="350"/>
      <c r="F90" s="350"/>
      <c r="G90" s="350">
        <v>335400</v>
      </c>
      <c r="H90" s="350"/>
      <c r="I90" s="350"/>
      <c r="J90" s="351">
        <v>0</v>
      </c>
      <c r="K90" s="350">
        <v>0</v>
      </c>
      <c r="L90" s="288">
        <f t="shared" si="16"/>
        <v>335400</v>
      </c>
    </row>
    <row r="91" spans="1:61">
      <c r="A91" s="334" t="s">
        <v>808</v>
      </c>
      <c r="B91" s="286" t="s">
        <v>953</v>
      </c>
      <c r="C91" s="287">
        <v>0</v>
      </c>
      <c r="D91" s="287"/>
      <c r="E91" s="287"/>
      <c r="F91" s="287"/>
      <c r="G91" s="287">
        <v>0</v>
      </c>
      <c r="H91" s="287"/>
      <c r="I91" s="287"/>
      <c r="J91" s="287">
        <v>0</v>
      </c>
      <c r="K91" s="288">
        <v>630000</v>
      </c>
      <c r="L91" s="288">
        <f>SUM(C91+G91+J91+K91)</f>
        <v>630000</v>
      </c>
    </row>
    <row r="92" spans="1:61" s="910" customFormat="1">
      <c r="A92" s="348" t="s">
        <v>1470</v>
      </c>
      <c r="B92" s="349" t="s">
        <v>1577</v>
      </c>
      <c r="C92" s="350">
        <v>0</v>
      </c>
      <c r="D92" s="350"/>
      <c r="E92" s="350"/>
      <c r="F92" s="350"/>
      <c r="G92" s="350">
        <v>0</v>
      </c>
      <c r="H92" s="350"/>
      <c r="I92" s="350"/>
      <c r="J92" s="351">
        <v>0</v>
      </c>
      <c r="K92" s="350">
        <v>100000</v>
      </c>
      <c r="L92" s="350">
        <f t="shared" ref="L92:L98" si="17">SUM(C92+G92+J92+K92)</f>
        <v>100000</v>
      </c>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2"/>
      <c r="AK92" s="272"/>
      <c r="AL92" s="272"/>
      <c r="AM92" s="272"/>
      <c r="AN92" s="272"/>
      <c r="AO92" s="272"/>
      <c r="AP92" s="272"/>
      <c r="AQ92" s="272"/>
      <c r="AR92" s="272"/>
      <c r="AS92" s="272"/>
      <c r="AT92" s="272"/>
      <c r="AU92" s="272"/>
      <c r="AV92" s="272"/>
      <c r="AW92" s="272"/>
      <c r="AX92" s="272"/>
      <c r="AY92" s="272"/>
      <c r="AZ92" s="272"/>
      <c r="BA92" s="272"/>
      <c r="BB92" s="272"/>
      <c r="BC92" s="272"/>
      <c r="BD92" s="272"/>
      <c r="BE92" s="272"/>
      <c r="BF92" s="272"/>
      <c r="BG92" s="272"/>
      <c r="BH92" s="272"/>
      <c r="BI92" s="272"/>
    </row>
    <row r="93" spans="1:61" s="910" customFormat="1">
      <c r="A93" s="348" t="s">
        <v>1487</v>
      </c>
      <c r="B93" s="349" t="s">
        <v>954</v>
      </c>
      <c r="C93" s="350">
        <v>0</v>
      </c>
      <c r="D93" s="350"/>
      <c r="E93" s="350"/>
      <c r="F93" s="350"/>
      <c r="G93" s="350">
        <v>1260000</v>
      </c>
      <c r="H93" s="350"/>
      <c r="I93" s="350"/>
      <c r="J93" s="351">
        <v>0</v>
      </c>
      <c r="K93" s="350">
        <v>0</v>
      </c>
      <c r="L93" s="350">
        <f t="shared" si="17"/>
        <v>1260000</v>
      </c>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272"/>
      <c r="AP93" s="272"/>
      <c r="AQ93" s="272"/>
      <c r="AR93" s="272"/>
      <c r="AS93" s="272"/>
      <c r="AT93" s="272"/>
      <c r="AU93" s="272"/>
      <c r="AV93" s="272"/>
      <c r="AW93" s="272"/>
      <c r="AX93" s="272"/>
      <c r="AY93" s="272"/>
      <c r="AZ93" s="272"/>
      <c r="BA93" s="272"/>
      <c r="BB93" s="272"/>
      <c r="BC93" s="272"/>
      <c r="BD93" s="272"/>
      <c r="BE93" s="272"/>
      <c r="BF93" s="272"/>
      <c r="BG93" s="272"/>
      <c r="BH93" s="272"/>
      <c r="BI93" s="272"/>
    </row>
    <row r="94" spans="1:61" s="910" customFormat="1">
      <c r="A94" s="348" t="s">
        <v>814</v>
      </c>
      <c r="B94" s="349" t="s">
        <v>1471</v>
      </c>
      <c r="C94" s="350">
        <v>75000</v>
      </c>
      <c r="D94" s="350"/>
      <c r="E94" s="350"/>
      <c r="F94" s="350"/>
      <c r="G94" s="350"/>
      <c r="H94" s="350"/>
      <c r="I94" s="350"/>
      <c r="J94" s="351">
        <v>0</v>
      </c>
      <c r="K94" s="350">
        <v>0</v>
      </c>
      <c r="L94" s="350">
        <f t="shared" si="17"/>
        <v>75000</v>
      </c>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2"/>
      <c r="AP94" s="272"/>
      <c r="AQ94" s="272"/>
      <c r="AR94" s="272"/>
      <c r="AS94" s="272"/>
      <c r="AT94" s="272"/>
      <c r="AU94" s="272"/>
      <c r="AV94" s="272"/>
      <c r="AW94" s="272"/>
      <c r="AX94" s="272"/>
      <c r="AY94" s="272"/>
      <c r="AZ94" s="272"/>
      <c r="BA94" s="272"/>
      <c r="BB94" s="272"/>
      <c r="BC94" s="272"/>
      <c r="BD94" s="272"/>
      <c r="BE94" s="272"/>
      <c r="BF94" s="272"/>
      <c r="BG94" s="272"/>
      <c r="BH94" s="272"/>
      <c r="BI94" s="272"/>
    </row>
    <row r="95" spans="1:61" s="910" customFormat="1">
      <c r="A95" s="348" t="s">
        <v>1492</v>
      </c>
      <c r="B95" s="349" t="s">
        <v>1488</v>
      </c>
      <c r="C95" s="350">
        <v>0</v>
      </c>
      <c r="D95" s="350"/>
      <c r="E95" s="350"/>
      <c r="F95" s="350"/>
      <c r="G95" s="350">
        <v>66000</v>
      </c>
      <c r="H95" s="350"/>
      <c r="I95" s="350"/>
      <c r="J95" s="351">
        <v>0</v>
      </c>
      <c r="K95" s="350">
        <v>0</v>
      </c>
      <c r="L95" s="350">
        <f t="shared" si="17"/>
        <v>66000</v>
      </c>
      <c r="M95" s="272"/>
      <c r="N95" s="272"/>
      <c r="O95" s="272"/>
      <c r="P95" s="272"/>
      <c r="Q95" s="272"/>
      <c r="R95" s="272"/>
      <c r="S95" s="272"/>
      <c r="T95" s="272"/>
      <c r="U95" s="272"/>
      <c r="V95" s="272"/>
      <c r="W95" s="272"/>
      <c r="X95" s="272"/>
      <c r="Y95" s="272"/>
      <c r="Z95" s="272"/>
      <c r="AA95" s="272"/>
      <c r="AB95" s="272"/>
      <c r="AC95" s="272"/>
      <c r="AD95" s="272"/>
      <c r="AE95" s="272"/>
      <c r="AF95" s="272"/>
      <c r="AG95" s="272"/>
      <c r="AH95" s="272"/>
      <c r="AI95" s="272"/>
      <c r="AJ95" s="272"/>
      <c r="AK95" s="272"/>
      <c r="AL95" s="272"/>
      <c r="AM95" s="272"/>
      <c r="AN95" s="272"/>
      <c r="AO95" s="272"/>
      <c r="AP95" s="272"/>
      <c r="AQ95" s="272"/>
      <c r="AR95" s="272"/>
      <c r="AS95" s="272"/>
      <c r="AT95" s="272"/>
      <c r="AU95" s="272"/>
      <c r="AV95" s="272"/>
      <c r="AW95" s="272"/>
      <c r="AX95" s="272"/>
      <c r="AY95" s="272"/>
      <c r="AZ95" s="272"/>
      <c r="BA95" s="272"/>
      <c r="BB95" s="272"/>
      <c r="BC95" s="272"/>
      <c r="BD95" s="272"/>
      <c r="BE95" s="272"/>
      <c r="BF95" s="272"/>
      <c r="BG95" s="272"/>
      <c r="BH95" s="272"/>
      <c r="BI95" s="272"/>
    </row>
    <row r="96" spans="1:61" s="910" customFormat="1">
      <c r="A96" s="348" t="s">
        <v>1493</v>
      </c>
      <c r="B96" s="349" t="s">
        <v>1494</v>
      </c>
      <c r="C96" s="350">
        <v>0</v>
      </c>
      <c r="D96" s="350"/>
      <c r="E96" s="350"/>
      <c r="F96" s="350"/>
      <c r="G96" s="350">
        <v>600000</v>
      </c>
      <c r="H96" s="350"/>
      <c r="I96" s="350"/>
      <c r="J96" s="351">
        <v>0</v>
      </c>
      <c r="K96" s="350">
        <v>0</v>
      </c>
      <c r="L96" s="350">
        <f t="shared" si="17"/>
        <v>600000</v>
      </c>
      <c r="M96" s="272"/>
      <c r="N96" s="272"/>
      <c r="O96" s="272"/>
      <c r="P96" s="272"/>
      <c r="Q96" s="272"/>
      <c r="R96" s="272"/>
      <c r="S96" s="272"/>
      <c r="T96" s="272"/>
      <c r="U96" s="272"/>
      <c r="V96" s="272"/>
      <c r="W96" s="272"/>
      <c r="X96" s="272"/>
      <c r="Y96" s="272"/>
      <c r="Z96" s="272"/>
      <c r="AA96" s="272"/>
      <c r="AB96" s="272"/>
      <c r="AC96" s="272"/>
      <c r="AD96" s="272"/>
      <c r="AE96" s="272"/>
      <c r="AF96" s="272"/>
      <c r="AG96" s="272"/>
      <c r="AH96" s="272"/>
      <c r="AI96" s="272"/>
      <c r="AJ96" s="272"/>
      <c r="AK96" s="272"/>
      <c r="AL96" s="272"/>
      <c r="AM96" s="272"/>
      <c r="AN96" s="272"/>
      <c r="AO96" s="272"/>
      <c r="AP96" s="272"/>
      <c r="AQ96" s="272"/>
      <c r="AR96" s="272"/>
      <c r="AS96" s="272"/>
      <c r="AT96" s="272"/>
      <c r="AU96" s="272"/>
      <c r="AV96" s="272"/>
      <c r="AW96" s="272"/>
      <c r="AX96" s="272"/>
      <c r="AY96" s="272"/>
      <c r="AZ96" s="272"/>
      <c r="BA96" s="272"/>
      <c r="BB96" s="272"/>
      <c r="BC96" s="272"/>
      <c r="BD96" s="272"/>
      <c r="BE96" s="272"/>
      <c r="BF96" s="272"/>
      <c r="BG96" s="272"/>
      <c r="BH96" s="272"/>
      <c r="BI96" s="272"/>
    </row>
    <row r="97" spans="1:61" s="910" customFormat="1">
      <c r="A97" s="348" t="s">
        <v>1643</v>
      </c>
      <c r="B97" s="349" t="s">
        <v>1644</v>
      </c>
      <c r="C97" s="350">
        <v>0</v>
      </c>
      <c r="D97" s="350"/>
      <c r="E97" s="350"/>
      <c r="F97" s="350"/>
      <c r="G97" s="350">
        <v>30000</v>
      </c>
      <c r="H97" s="350"/>
      <c r="I97" s="350"/>
      <c r="J97" s="351"/>
      <c r="K97" s="350"/>
      <c r="L97" s="350">
        <f t="shared" si="17"/>
        <v>30000</v>
      </c>
      <c r="M97" s="272"/>
      <c r="N97" s="272"/>
      <c r="O97" s="272"/>
      <c r="P97" s="272"/>
      <c r="Q97" s="272"/>
      <c r="R97" s="272"/>
      <c r="S97" s="272"/>
      <c r="T97" s="272"/>
      <c r="U97" s="272"/>
      <c r="V97" s="272"/>
      <c r="W97" s="272"/>
      <c r="X97" s="272"/>
      <c r="Y97" s="272"/>
      <c r="Z97" s="272"/>
      <c r="AA97" s="272"/>
      <c r="AB97" s="272"/>
      <c r="AC97" s="272"/>
      <c r="AD97" s="272"/>
      <c r="AE97" s="272"/>
      <c r="AF97" s="272"/>
      <c r="AG97" s="272"/>
      <c r="AH97" s="272"/>
      <c r="AI97" s="272"/>
      <c r="AJ97" s="272"/>
      <c r="AK97" s="272"/>
      <c r="AL97" s="272"/>
      <c r="AM97" s="272"/>
      <c r="AN97" s="272"/>
      <c r="AO97" s="272"/>
      <c r="AP97" s="272"/>
      <c r="AQ97" s="272"/>
      <c r="AR97" s="272"/>
      <c r="AS97" s="272"/>
      <c r="AT97" s="272"/>
      <c r="AU97" s="272"/>
      <c r="AV97" s="272"/>
      <c r="AW97" s="272"/>
      <c r="AX97" s="272"/>
      <c r="AY97" s="272"/>
      <c r="AZ97" s="272"/>
      <c r="BA97" s="272"/>
      <c r="BB97" s="272"/>
      <c r="BC97" s="272"/>
      <c r="BD97" s="272"/>
      <c r="BE97" s="272"/>
      <c r="BF97" s="272"/>
      <c r="BG97" s="272"/>
      <c r="BH97" s="272"/>
      <c r="BI97" s="272"/>
    </row>
    <row r="98" spans="1:61" s="910" customFormat="1">
      <c r="A98" s="348" t="s">
        <v>1693</v>
      </c>
      <c r="B98" s="349" t="s">
        <v>1694</v>
      </c>
      <c r="C98" s="350">
        <v>100000</v>
      </c>
      <c r="D98" s="350"/>
      <c r="E98" s="350"/>
      <c r="F98" s="350"/>
      <c r="G98" s="350"/>
      <c r="H98" s="350"/>
      <c r="I98" s="350"/>
      <c r="J98" s="351"/>
      <c r="K98" s="350"/>
      <c r="L98" s="350">
        <f t="shared" si="17"/>
        <v>100000</v>
      </c>
      <c r="M98" s="272"/>
      <c r="N98" s="272"/>
      <c r="O98" s="272"/>
      <c r="P98" s="272"/>
      <c r="Q98" s="272"/>
      <c r="R98" s="272"/>
      <c r="S98" s="272"/>
      <c r="T98" s="272"/>
      <c r="U98" s="272"/>
      <c r="V98" s="272"/>
      <c r="W98" s="272"/>
      <c r="X98" s="272"/>
      <c r="Y98" s="272"/>
      <c r="Z98" s="272"/>
      <c r="AA98" s="272"/>
      <c r="AB98" s="272"/>
      <c r="AC98" s="272"/>
      <c r="AD98" s="272"/>
      <c r="AE98" s="272"/>
      <c r="AF98" s="272"/>
      <c r="AG98" s="272"/>
      <c r="AH98" s="272"/>
      <c r="AI98" s="272"/>
      <c r="AJ98" s="272"/>
      <c r="AK98" s="272"/>
      <c r="AL98" s="272"/>
      <c r="AM98" s="272"/>
      <c r="AN98" s="272"/>
      <c r="AO98" s="272"/>
      <c r="AP98" s="272"/>
      <c r="AQ98" s="272"/>
      <c r="AR98" s="272"/>
      <c r="AS98" s="272"/>
      <c r="AT98" s="272"/>
      <c r="AU98" s="272"/>
      <c r="AV98" s="272"/>
      <c r="AW98" s="272"/>
      <c r="AX98" s="272"/>
      <c r="AY98" s="272"/>
      <c r="AZ98" s="272"/>
      <c r="BA98" s="272"/>
      <c r="BB98" s="272"/>
      <c r="BC98" s="272"/>
      <c r="BD98" s="272"/>
      <c r="BE98" s="272"/>
      <c r="BF98" s="272"/>
      <c r="BG98" s="272"/>
      <c r="BH98" s="272"/>
      <c r="BI98" s="272"/>
    </row>
    <row r="99" spans="1:61">
      <c r="A99" s="334" t="s">
        <v>567</v>
      </c>
      <c r="B99" s="286">
        <v>6911</v>
      </c>
      <c r="C99" s="288">
        <v>43848762.799999997</v>
      </c>
      <c r="D99" s="287">
        <v>0</v>
      </c>
      <c r="E99" s="287"/>
      <c r="F99" s="287"/>
      <c r="G99" s="287">
        <v>0</v>
      </c>
      <c r="H99" s="287"/>
      <c r="I99" s="287"/>
      <c r="J99" s="287">
        <v>0</v>
      </c>
      <c r="K99" s="287">
        <v>0</v>
      </c>
      <c r="L99" s="288">
        <f t="shared" si="16"/>
        <v>43848762.799999997</v>
      </c>
    </row>
    <row r="100" spans="1:61">
      <c r="A100" s="334" t="s">
        <v>271</v>
      </c>
      <c r="B100" s="286">
        <v>9998</v>
      </c>
      <c r="C100" s="287">
        <v>0</v>
      </c>
      <c r="D100" s="288">
        <v>0</v>
      </c>
      <c r="E100" s="288"/>
      <c r="F100" s="288"/>
      <c r="G100" s="288">
        <v>11580690.699999999</v>
      </c>
      <c r="H100" s="288"/>
      <c r="I100" s="288"/>
      <c r="J100" s="287">
        <v>0</v>
      </c>
      <c r="K100" s="287">
        <v>0</v>
      </c>
      <c r="L100" s="288">
        <f t="shared" si="16"/>
        <v>11580690.699999999</v>
      </c>
    </row>
    <row r="101" spans="1:61">
      <c r="A101" s="334" t="s">
        <v>568</v>
      </c>
      <c r="B101" s="286">
        <v>9995</v>
      </c>
      <c r="C101" s="288">
        <v>21000</v>
      </c>
      <c r="D101" s="287">
        <v>0</v>
      </c>
      <c r="E101" s="287"/>
      <c r="F101" s="287"/>
      <c r="G101" s="287">
        <v>0</v>
      </c>
      <c r="H101" s="287"/>
      <c r="I101" s="287"/>
      <c r="J101" s="287">
        <v>0</v>
      </c>
      <c r="K101" s="287">
        <v>0</v>
      </c>
      <c r="L101" s="288">
        <f t="shared" si="16"/>
        <v>21000</v>
      </c>
    </row>
    <row r="102" spans="1:61">
      <c r="A102" s="334" t="s">
        <v>821</v>
      </c>
      <c r="B102" s="286" t="s">
        <v>410</v>
      </c>
      <c r="C102" s="288">
        <v>3500000</v>
      </c>
      <c r="D102" s="287">
        <v>0</v>
      </c>
      <c r="E102" s="287"/>
      <c r="F102" s="287"/>
      <c r="G102" s="287">
        <v>0</v>
      </c>
      <c r="H102" s="287"/>
      <c r="I102" s="287"/>
      <c r="J102" s="287">
        <v>0</v>
      </c>
      <c r="K102" s="287">
        <v>0</v>
      </c>
      <c r="L102" s="288">
        <f t="shared" si="16"/>
        <v>3500000</v>
      </c>
    </row>
    <row r="103" spans="1:61">
      <c r="A103" s="334" t="s">
        <v>830</v>
      </c>
      <c r="B103" s="286" t="s">
        <v>409</v>
      </c>
      <c r="C103" s="287">
        <v>0</v>
      </c>
      <c r="D103" s="287">
        <v>0</v>
      </c>
      <c r="E103" s="287"/>
      <c r="F103" s="287"/>
      <c r="G103" s="287">
        <v>0</v>
      </c>
      <c r="H103" s="287"/>
      <c r="I103" s="287"/>
      <c r="J103" s="287">
        <v>0</v>
      </c>
      <c r="K103" s="287">
        <v>0</v>
      </c>
      <c r="L103" s="288">
        <f t="shared" si="16"/>
        <v>0</v>
      </c>
    </row>
    <row r="104" spans="1:61">
      <c r="A104" s="334" t="s">
        <v>831</v>
      </c>
      <c r="B104" s="286" t="s">
        <v>411</v>
      </c>
      <c r="C104" s="287">
        <v>0</v>
      </c>
      <c r="D104" s="288">
        <v>0</v>
      </c>
      <c r="E104" s="288"/>
      <c r="F104" s="288"/>
      <c r="G104" s="287">
        <v>612400</v>
      </c>
      <c r="H104" s="288"/>
      <c r="I104" s="288"/>
      <c r="J104" s="287">
        <v>0</v>
      </c>
      <c r="K104" s="287">
        <v>0</v>
      </c>
      <c r="L104" s="288">
        <f t="shared" si="16"/>
        <v>612400</v>
      </c>
    </row>
    <row r="105" spans="1:61">
      <c r="A105" s="334" t="s">
        <v>832</v>
      </c>
      <c r="B105" s="286" t="s">
        <v>412</v>
      </c>
      <c r="C105" s="287">
        <v>0</v>
      </c>
      <c r="D105" s="288">
        <v>0</v>
      </c>
      <c r="E105" s="288"/>
      <c r="F105" s="288"/>
      <c r="G105" s="287">
        <v>423000</v>
      </c>
      <c r="H105" s="288"/>
      <c r="I105" s="288"/>
      <c r="J105" s="287">
        <v>0</v>
      </c>
      <c r="K105" s="287">
        <v>0</v>
      </c>
      <c r="L105" s="288">
        <f t="shared" si="16"/>
        <v>423000</v>
      </c>
    </row>
    <row r="106" spans="1:61">
      <c r="A106" s="334" t="s">
        <v>833</v>
      </c>
      <c r="B106" s="286" t="s">
        <v>413</v>
      </c>
      <c r="C106" s="287">
        <v>0</v>
      </c>
      <c r="D106" s="288">
        <v>0</v>
      </c>
      <c r="E106" s="288"/>
      <c r="F106" s="288"/>
      <c r="G106" s="287">
        <v>486000</v>
      </c>
      <c r="H106" s="288"/>
      <c r="I106" s="288"/>
      <c r="J106" s="287">
        <v>0</v>
      </c>
      <c r="K106" s="287">
        <v>0</v>
      </c>
      <c r="L106" s="288">
        <f t="shared" si="16"/>
        <v>486000</v>
      </c>
    </row>
    <row r="107" spans="1:61">
      <c r="A107" s="334" t="s">
        <v>834</v>
      </c>
      <c r="B107" s="286" t="s">
        <v>414</v>
      </c>
      <c r="C107" s="287">
        <v>0</v>
      </c>
      <c r="D107" s="288">
        <v>0</v>
      </c>
      <c r="E107" s="288"/>
      <c r="F107" s="288"/>
      <c r="G107" s="287">
        <v>671038.14</v>
      </c>
      <c r="H107" s="288"/>
      <c r="I107" s="288"/>
      <c r="J107" s="287">
        <v>0</v>
      </c>
      <c r="K107" s="287">
        <v>0</v>
      </c>
      <c r="L107" s="288">
        <f t="shared" si="16"/>
        <v>671038.14</v>
      </c>
    </row>
    <row r="108" spans="1:61">
      <c r="A108" s="334" t="s">
        <v>881</v>
      </c>
      <c r="B108" s="286" t="s">
        <v>415</v>
      </c>
      <c r="C108" s="287">
        <v>0</v>
      </c>
      <c r="D108" s="288">
        <v>0</v>
      </c>
      <c r="E108" s="288"/>
      <c r="F108" s="288"/>
      <c r="G108" s="287">
        <v>2192438.14</v>
      </c>
      <c r="H108" s="288"/>
      <c r="I108" s="288"/>
      <c r="J108" s="287">
        <v>0</v>
      </c>
      <c r="K108" s="287">
        <v>0</v>
      </c>
      <c r="L108" s="288">
        <f t="shared" si="16"/>
        <v>2192438.14</v>
      </c>
    </row>
    <row r="109" spans="1:61">
      <c r="A109" s="334" t="s">
        <v>835</v>
      </c>
      <c r="B109" s="286" t="s">
        <v>33</v>
      </c>
      <c r="C109" s="288">
        <v>5500000</v>
      </c>
      <c r="D109" s="287">
        <v>0</v>
      </c>
      <c r="E109" s="287"/>
      <c r="F109" s="287"/>
      <c r="G109" s="287">
        <v>0</v>
      </c>
      <c r="H109" s="287"/>
      <c r="I109" s="287"/>
      <c r="J109" s="287">
        <v>0</v>
      </c>
      <c r="K109" s="287">
        <v>0</v>
      </c>
      <c r="L109" s="288">
        <f t="shared" si="16"/>
        <v>5500000</v>
      </c>
    </row>
    <row r="110" spans="1:61">
      <c r="A110" s="334" t="s">
        <v>817</v>
      </c>
      <c r="B110" s="286">
        <v>6544</v>
      </c>
      <c r="C110" s="288">
        <v>6000000</v>
      </c>
      <c r="D110" s="287">
        <v>0</v>
      </c>
      <c r="E110" s="287"/>
      <c r="F110" s="287"/>
      <c r="G110" s="287">
        <v>0</v>
      </c>
      <c r="H110" s="287"/>
      <c r="I110" s="287"/>
      <c r="J110" s="287">
        <v>0</v>
      </c>
      <c r="K110" s="287">
        <v>0</v>
      </c>
      <c r="L110" s="288">
        <f t="shared" si="16"/>
        <v>6000000</v>
      </c>
    </row>
    <row r="111" spans="1:61">
      <c r="A111" s="334" t="s">
        <v>560</v>
      </c>
      <c r="B111" s="286">
        <v>8821</v>
      </c>
      <c r="C111" s="288">
        <v>3500000</v>
      </c>
      <c r="D111" s="287">
        <v>0</v>
      </c>
      <c r="E111" s="287"/>
      <c r="F111" s="287"/>
      <c r="G111" s="287">
        <v>0</v>
      </c>
      <c r="H111" s="287"/>
      <c r="I111" s="287"/>
      <c r="J111" s="287">
        <v>0</v>
      </c>
      <c r="K111" s="287">
        <v>0</v>
      </c>
      <c r="L111" s="288">
        <f t="shared" si="16"/>
        <v>3500000</v>
      </c>
    </row>
    <row r="112" spans="1:61">
      <c r="A112" s="334" t="s">
        <v>818</v>
      </c>
      <c r="B112" s="286">
        <v>8801</v>
      </c>
      <c r="C112" s="288">
        <v>1000000</v>
      </c>
      <c r="D112" s="287">
        <v>0</v>
      </c>
      <c r="E112" s="287"/>
      <c r="F112" s="287"/>
      <c r="G112" s="287">
        <v>0</v>
      </c>
      <c r="H112" s="287"/>
      <c r="I112" s="287"/>
      <c r="J112" s="287">
        <v>0</v>
      </c>
      <c r="K112" s="287">
        <v>0</v>
      </c>
      <c r="L112" s="288">
        <f t="shared" si="16"/>
        <v>1000000</v>
      </c>
    </row>
    <row r="113" spans="1:12">
      <c r="A113" s="334" t="s">
        <v>839</v>
      </c>
      <c r="B113" s="286">
        <v>8771</v>
      </c>
      <c r="C113" s="288">
        <v>1050000</v>
      </c>
      <c r="D113" s="287">
        <v>0</v>
      </c>
      <c r="E113" s="287"/>
      <c r="F113" s="287"/>
      <c r="G113" s="287">
        <v>0</v>
      </c>
      <c r="H113" s="287"/>
      <c r="I113" s="287"/>
      <c r="J113" s="287">
        <v>0</v>
      </c>
      <c r="K113" s="287">
        <v>0</v>
      </c>
      <c r="L113" s="288">
        <f t="shared" si="16"/>
        <v>1050000</v>
      </c>
    </row>
    <row r="114" spans="1:12">
      <c r="A114" s="334" t="s">
        <v>377</v>
      </c>
      <c r="B114" s="286">
        <v>8781</v>
      </c>
      <c r="C114" s="288">
        <v>5700000</v>
      </c>
      <c r="D114" s="287">
        <v>0</v>
      </c>
      <c r="E114" s="287"/>
      <c r="F114" s="287"/>
      <c r="G114" s="287">
        <v>0</v>
      </c>
      <c r="H114" s="287"/>
      <c r="I114" s="287"/>
      <c r="J114" s="287">
        <v>0</v>
      </c>
      <c r="K114" s="287">
        <v>0</v>
      </c>
      <c r="L114" s="288">
        <f t="shared" si="16"/>
        <v>5700000</v>
      </c>
    </row>
    <row r="115" spans="1:12">
      <c r="A115" s="334" t="s">
        <v>840</v>
      </c>
      <c r="B115" s="286">
        <v>8791</v>
      </c>
      <c r="C115" s="288">
        <v>700000</v>
      </c>
      <c r="D115" s="287">
        <v>0</v>
      </c>
      <c r="E115" s="287"/>
      <c r="F115" s="287"/>
      <c r="G115" s="287">
        <v>0</v>
      </c>
      <c r="H115" s="287"/>
      <c r="I115" s="287"/>
      <c r="J115" s="287">
        <v>0</v>
      </c>
      <c r="K115" s="287">
        <v>0</v>
      </c>
      <c r="L115" s="288">
        <f t="shared" si="16"/>
        <v>700000</v>
      </c>
    </row>
    <row r="116" spans="1:12">
      <c r="A116" s="334" t="s">
        <v>819</v>
      </c>
      <c r="B116" s="286" t="s">
        <v>34</v>
      </c>
      <c r="C116" s="287">
        <v>0</v>
      </c>
      <c r="D116" s="287">
        <v>0</v>
      </c>
      <c r="E116" s="287"/>
      <c r="F116" s="287"/>
      <c r="G116" s="287">
        <v>0</v>
      </c>
      <c r="H116" s="287"/>
      <c r="I116" s="287"/>
      <c r="J116" s="287">
        <v>0</v>
      </c>
      <c r="K116" s="288">
        <v>500000</v>
      </c>
      <c r="L116" s="288">
        <f t="shared" si="16"/>
        <v>500000</v>
      </c>
    </row>
    <row r="117" spans="1:12">
      <c r="A117" s="334" t="s">
        <v>820</v>
      </c>
      <c r="B117" s="286" t="s">
        <v>35</v>
      </c>
      <c r="C117" s="288">
        <v>600000</v>
      </c>
      <c r="D117" s="287">
        <v>0</v>
      </c>
      <c r="E117" s="287"/>
      <c r="F117" s="287"/>
      <c r="G117" s="287">
        <v>0</v>
      </c>
      <c r="H117" s="287"/>
      <c r="I117" s="287"/>
      <c r="J117" s="287">
        <v>0</v>
      </c>
      <c r="K117" s="287">
        <v>0</v>
      </c>
      <c r="L117" s="288">
        <f t="shared" si="16"/>
        <v>600000</v>
      </c>
    </row>
    <row r="118" spans="1:12">
      <c r="A118" s="348" t="s">
        <v>935</v>
      </c>
      <c r="B118" s="349" t="s">
        <v>886</v>
      </c>
      <c r="C118" s="351">
        <v>120000</v>
      </c>
      <c r="D118" s="350">
        <v>0</v>
      </c>
      <c r="E118" s="350"/>
      <c r="F118" s="350"/>
      <c r="G118" s="350">
        <v>0</v>
      </c>
      <c r="H118" s="350"/>
      <c r="I118" s="350"/>
      <c r="J118" s="350">
        <v>0</v>
      </c>
      <c r="K118" s="350">
        <v>0</v>
      </c>
      <c r="L118" s="288">
        <f t="shared" si="16"/>
        <v>120000</v>
      </c>
    </row>
    <row r="119" spans="1:12">
      <c r="A119" s="334" t="s">
        <v>826</v>
      </c>
      <c r="B119" s="286" t="s">
        <v>416</v>
      </c>
      <c r="C119" s="288">
        <v>800000</v>
      </c>
      <c r="D119" s="287">
        <v>0</v>
      </c>
      <c r="E119" s="287"/>
      <c r="F119" s="287"/>
      <c r="G119" s="287">
        <v>0</v>
      </c>
      <c r="H119" s="287"/>
      <c r="I119" s="287"/>
      <c r="J119" s="287">
        <v>0</v>
      </c>
      <c r="K119" s="287">
        <v>0</v>
      </c>
      <c r="L119" s="288">
        <f t="shared" si="16"/>
        <v>800000</v>
      </c>
    </row>
    <row r="120" spans="1:12">
      <c r="A120" s="334" t="s">
        <v>836</v>
      </c>
      <c r="B120" s="286" t="s">
        <v>36</v>
      </c>
      <c r="C120" s="287">
        <v>0</v>
      </c>
      <c r="D120" s="287">
        <v>0</v>
      </c>
      <c r="E120" s="287"/>
      <c r="F120" s="287"/>
      <c r="G120" s="287">
        <v>0</v>
      </c>
      <c r="H120" s="287"/>
      <c r="I120" s="287"/>
      <c r="J120" s="288">
        <v>400000</v>
      </c>
      <c r="K120" s="287">
        <v>0</v>
      </c>
      <c r="L120" s="288">
        <f t="shared" si="16"/>
        <v>400000</v>
      </c>
    </row>
    <row r="121" spans="1:12">
      <c r="A121" s="334" t="s">
        <v>827</v>
      </c>
      <c r="B121" s="286" t="s">
        <v>37</v>
      </c>
      <c r="C121" s="288">
        <v>120000</v>
      </c>
      <c r="D121" s="287">
        <v>0</v>
      </c>
      <c r="E121" s="287"/>
      <c r="F121" s="287"/>
      <c r="G121" s="287">
        <v>0</v>
      </c>
      <c r="H121" s="287"/>
      <c r="I121" s="287"/>
      <c r="J121" s="287">
        <v>0</v>
      </c>
      <c r="K121" s="287">
        <v>0</v>
      </c>
      <c r="L121" s="288">
        <f t="shared" si="16"/>
        <v>120000</v>
      </c>
    </row>
    <row r="122" spans="1:12">
      <c r="A122" s="334" t="s">
        <v>828</v>
      </c>
      <c r="B122" s="286" t="s">
        <v>38</v>
      </c>
      <c r="C122" s="287">
        <v>0</v>
      </c>
      <c r="D122" s="288">
        <v>0</v>
      </c>
      <c r="E122" s="288"/>
      <c r="F122" s="288"/>
      <c r="G122" s="288">
        <v>300000</v>
      </c>
      <c r="H122" s="288"/>
      <c r="I122" s="288"/>
      <c r="J122" s="287">
        <v>0</v>
      </c>
      <c r="K122" s="287">
        <v>0</v>
      </c>
      <c r="L122" s="288">
        <f t="shared" si="16"/>
        <v>300000</v>
      </c>
    </row>
    <row r="123" spans="1:12">
      <c r="A123" s="334" t="s">
        <v>829</v>
      </c>
      <c r="B123" s="286" t="s">
        <v>39</v>
      </c>
      <c r="C123" s="287">
        <v>0</v>
      </c>
      <c r="D123" s="288">
        <v>0</v>
      </c>
      <c r="E123" s="288"/>
      <c r="F123" s="288"/>
      <c r="G123" s="288">
        <v>550000</v>
      </c>
      <c r="H123" s="288"/>
      <c r="I123" s="288"/>
      <c r="J123" s="287">
        <v>0</v>
      </c>
      <c r="K123" s="287">
        <v>0</v>
      </c>
      <c r="L123" s="288">
        <f t="shared" si="16"/>
        <v>550000</v>
      </c>
    </row>
    <row r="124" spans="1:12">
      <c r="A124" s="334" t="s">
        <v>825</v>
      </c>
      <c r="B124" s="286" t="s">
        <v>40</v>
      </c>
      <c r="C124" s="287">
        <v>0</v>
      </c>
      <c r="D124" s="287">
        <v>0</v>
      </c>
      <c r="E124" s="287"/>
      <c r="F124" s="287"/>
      <c r="G124" s="287">
        <v>0</v>
      </c>
      <c r="H124" s="287"/>
      <c r="I124" s="287"/>
      <c r="J124" s="287">
        <v>0</v>
      </c>
      <c r="K124" s="288">
        <v>24000</v>
      </c>
      <c r="L124" s="288">
        <f t="shared" si="16"/>
        <v>24000</v>
      </c>
    </row>
    <row r="125" spans="1:12">
      <c r="A125" s="334" t="s">
        <v>822</v>
      </c>
      <c r="B125" s="286" t="s">
        <v>41</v>
      </c>
      <c r="C125" s="287">
        <v>0</v>
      </c>
      <c r="D125" s="288">
        <v>0</v>
      </c>
      <c r="E125" s="288"/>
      <c r="F125" s="288"/>
      <c r="G125" s="288">
        <v>500000</v>
      </c>
      <c r="H125" s="288"/>
      <c r="I125" s="288"/>
      <c r="J125" s="287">
        <v>0</v>
      </c>
      <c r="K125" s="287">
        <v>0</v>
      </c>
      <c r="L125" s="288">
        <f t="shared" si="16"/>
        <v>500000</v>
      </c>
    </row>
    <row r="126" spans="1:12">
      <c r="A126" s="334" t="s">
        <v>823</v>
      </c>
      <c r="B126" s="286" t="s">
        <v>223</v>
      </c>
      <c r="C126" s="287">
        <v>0</v>
      </c>
      <c r="D126" s="288">
        <v>0</v>
      </c>
      <c r="E126" s="288"/>
      <c r="F126" s="288"/>
      <c r="G126" s="288">
        <v>250000</v>
      </c>
      <c r="H126" s="288"/>
      <c r="I126" s="288"/>
      <c r="J126" s="287">
        <v>0</v>
      </c>
      <c r="K126" s="287">
        <v>0</v>
      </c>
      <c r="L126" s="288">
        <f t="shared" si="16"/>
        <v>250000</v>
      </c>
    </row>
    <row r="127" spans="1:12">
      <c r="A127" s="334" t="s">
        <v>824</v>
      </c>
      <c r="B127" s="286" t="s">
        <v>224</v>
      </c>
      <c r="C127" s="287">
        <v>0</v>
      </c>
      <c r="D127" s="288">
        <v>0</v>
      </c>
      <c r="E127" s="288"/>
      <c r="F127" s="288"/>
      <c r="G127" s="288">
        <v>250000</v>
      </c>
      <c r="H127" s="288"/>
      <c r="I127" s="288"/>
      <c r="J127" s="287">
        <v>0</v>
      </c>
      <c r="K127" s="287">
        <v>0</v>
      </c>
      <c r="L127" s="288">
        <f t="shared" si="16"/>
        <v>250000</v>
      </c>
    </row>
    <row r="128" spans="1:12">
      <c r="A128" s="334" t="s">
        <v>876</v>
      </c>
      <c r="B128" s="286" t="s">
        <v>417</v>
      </c>
      <c r="C128" s="288">
        <v>2450000</v>
      </c>
      <c r="D128" s="287">
        <v>0</v>
      </c>
      <c r="E128" s="287"/>
      <c r="F128" s="287"/>
      <c r="G128" s="287">
        <v>0</v>
      </c>
      <c r="H128" s="287"/>
      <c r="I128" s="287"/>
      <c r="J128" s="287">
        <v>0</v>
      </c>
      <c r="K128" s="287">
        <v>0</v>
      </c>
      <c r="L128" s="288">
        <f t="shared" si="16"/>
        <v>2450000</v>
      </c>
    </row>
    <row r="129" spans="1:20" ht="16.5" thickBot="1">
      <c r="A129" s="352" t="s">
        <v>375</v>
      </c>
      <c r="B129" s="305" t="s">
        <v>262</v>
      </c>
      <c r="C129" s="306">
        <v>0</v>
      </c>
      <c r="D129" s="306">
        <v>0</v>
      </c>
      <c r="E129" s="306"/>
      <c r="F129" s="306"/>
      <c r="G129" s="306">
        <v>0</v>
      </c>
      <c r="H129" s="306"/>
      <c r="I129" s="306"/>
      <c r="J129" s="306">
        <v>0</v>
      </c>
      <c r="K129" s="315">
        <v>200000</v>
      </c>
      <c r="L129" s="315">
        <f t="shared" si="16"/>
        <v>200000</v>
      </c>
    </row>
    <row r="130" spans="1:20" ht="16.5" thickBot="1">
      <c r="A130" s="353" t="s">
        <v>882</v>
      </c>
      <c r="B130" s="313"/>
      <c r="C130" s="309">
        <f>SUM(C63:C129)</f>
        <v>75295762.799999997</v>
      </c>
      <c r="D130" s="309">
        <f t="shared" ref="D130:L130" si="18">SUM(D63:D70)+SUM(D77:D129)</f>
        <v>0</v>
      </c>
      <c r="E130" s="309">
        <f t="shared" si="18"/>
        <v>0</v>
      </c>
      <c r="F130" s="309">
        <f t="shared" si="18"/>
        <v>0</v>
      </c>
      <c r="G130" s="309">
        <f t="shared" si="18"/>
        <v>24196567.98</v>
      </c>
      <c r="H130" s="309">
        <f t="shared" si="18"/>
        <v>0</v>
      </c>
      <c r="I130" s="309">
        <f t="shared" si="18"/>
        <v>0</v>
      </c>
      <c r="J130" s="309">
        <f t="shared" si="18"/>
        <v>643650</v>
      </c>
      <c r="K130" s="309">
        <f t="shared" si="18"/>
        <v>2164000</v>
      </c>
      <c r="L130" s="310">
        <f t="shared" si="18"/>
        <v>102299980.78</v>
      </c>
    </row>
    <row r="131" spans="1:20" ht="16.5" thickBot="1">
      <c r="A131" s="323" t="s">
        <v>625</v>
      </c>
      <c r="B131" s="321"/>
      <c r="C131" s="354">
        <f t="shared" ref="C131:L131" si="19">SUM(C130+C62+C50+C29)</f>
        <v>151128321.80000001</v>
      </c>
      <c r="D131" s="354">
        <f t="shared" si="19"/>
        <v>13812034.800000001</v>
      </c>
      <c r="E131" s="354">
        <f t="shared" si="19"/>
        <v>19909785</v>
      </c>
      <c r="F131" s="354">
        <f t="shared" si="19"/>
        <v>4942606</v>
      </c>
      <c r="G131" s="354">
        <f t="shared" si="19"/>
        <v>62860993.780000001</v>
      </c>
      <c r="H131" s="354">
        <f t="shared" si="19"/>
        <v>2674700</v>
      </c>
      <c r="I131" s="354">
        <f t="shared" si="19"/>
        <v>12062670.199999999</v>
      </c>
      <c r="J131" s="354">
        <f t="shared" si="19"/>
        <v>15381020.199999999</v>
      </c>
      <c r="K131" s="354">
        <f t="shared" si="19"/>
        <v>2164000</v>
      </c>
      <c r="L131" s="324">
        <f t="shared" si="19"/>
        <v>231534335.78000003</v>
      </c>
      <c r="M131" s="329"/>
    </row>
    <row r="133" spans="1:20">
      <c r="C133" s="329"/>
      <c r="D133" s="329"/>
      <c r="E133" s="329"/>
      <c r="F133" s="329"/>
      <c r="G133" s="329"/>
      <c r="H133" s="329"/>
      <c r="I133" s="329"/>
      <c r="J133" s="329"/>
      <c r="K133" s="329"/>
      <c r="L133" s="329"/>
    </row>
    <row r="134" spans="1:20">
      <c r="A134" s="282" t="s">
        <v>16</v>
      </c>
      <c r="K134" s="282" t="s">
        <v>258</v>
      </c>
    </row>
    <row r="137" spans="1:20">
      <c r="A137" s="1097" t="s">
        <v>17</v>
      </c>
      <c r="B137" s="282"/>
      <c r="C137" s="1469" t="s">
        <v>798</v>
      </c>
      <c r="D137" s="1469"/>
      <c r="E137" s="1469"/>
      <c r="F137" s="1469"/>
      <c r="G137" s="1469"/>
      <c r="H137" s="1097"/>
      <c r="I137" s="1097"/>
      <c r="J137" s="282"/>
      <c r="K137" s="1469" t="s">
        <v>1456</v>
      </c>
      <c r="L137" s="1469"/>
    </row>
    <row r="138" spans="1:20" s="282" customFormat="1">
      <c r="A138" s="1098" t="s">
        <v>18</v>
      </c>
      <c r="B138" s="272"/>
      <c r="C138" s="1470" t="s">
        <v>242</v>
      </c>
      <c r="D138" s="1470"/>
      <c r="E138" s="1470"/>
      <c r="F138" s="1470"/>
      <c r="G138" s="1470"/>
      <c r="H138" s="1098"/>
      <c r="I138" s="1098"/>
      <c r="J138" s="272"/>
      <c r="K138" s="1470" t="s">
        <v>14</v>
      </c>
      <c r="L138" s="1470"/>
      <c r="N138" s="272"/>
      <c r="O138" s="272"/>
      <c r="P138" s="272"/>
      <c r="Q138" s="272"/>
      <c r="R138" s="272"/>
      <c r="S138" s="272"/>
      <c r="T138" s="272"/>
    </row>
    <row r="139" spans="1:20" s="282" customFormat="1">
      <c r="A139" s="272"/>
      <c r="B139" s="272"/>
      <c r="C139" s="272"/>
      <c r="D139" s="272"/>
      <c r="E139" s="272"/>
      <c r="F139" s="272"/>
      <c r="G139" s="272"/>
      <c r="H139" s="272"/>
      <c r="I139" s="272"/>
      <c r="J139" s="272"/>
      <c r="K139" s="272"/>
      <c r="L139" s="272"/>
      <c r="N139" s="272"/>
      <c r="O139" s="272"/>
      <c r="P139" s="272"/>
      <c r="Q139" s="272"/>
      <c r="R139" s="272"/>
      <c r="S139" s="272"/>
      <c r="T139" s="272"/>
    </row>
    <row r="140" spans="1:20" s="282" customFormat="1">
      <c r="A140" s="272"/>
      <c r="B140" s="272"/>
      <c r="C140" s="272"/>
      <c r="D140" s="272"/>
      <c r="E140" s="272"/>
      <c r="F140" s="272"/>
      <c r="G140" s="272"/>
      <c r="H140" s="272"/>
      <c r="I140" s="272"/>
      <c r="J140" s="272"/>
      <c r="K140" s="272"/>
      <c r="L140" s="355">
        <f>L131+R50</f>
        <v>240159335.78000003</v>
      </c>
      <c r="N140" s="272"/>
      <c r="O140" s="272"/>
      <c r="P140" s="272"/>
      <c r="Q140" s="272"/>
      <c r="R140" s="272"/>
      <c r="S140" s="272"/>
      <c r="T140" s="272"/>
    </row>
    <row r="141" spans="1:20" s="282" customFormat="1">
      <c r="A141" s="272"/>
      <c r="B141" s="272"/>
      <c r="C141" s="272"/>
      <c r="D141" s="272"/>
      <c r="E141" s="272"/>
      <c r="F141" s="272"/>
      <c r="G141" s="272"/>
      <c r="H141" s="272"/>
      <c r="I141" s="272"/>
      <c r="J141" s="272"/>
      <c r="K141" s="272"/>
      <c r="L141" s="272"/>
      <c r="N141" s="272"/>
      <c r="O141" s="272"/>
      <c r="P141" s="272"/>
      <c r="Q141" s="272"/>
      <c r="R141" s="272"/>
      <c r="S141" s="272"/>
      <c r="T141" s="272"/>
    </row>
    <row r="142" spans="1:20" s="282" customFormat="1">
      <c r="A142" s="272"/>
      <c r="B142" s="272"/>
      <c r="C142" s="272"/>
      <c r="D142" s="272"/>
      <c r="E142" s="272"/>
      <c r="F142" s="272"/>
      <c r="G142" s="272"/>
      <c r="H142" s="272"/>
      <c r="I142" s="272"/>
      <c r="J142" s="272"/>
      <c r="K142" s="272"/>
      <c r="L142" s="272"/>
      <c r="N142" s="272"/>
      <c r="O142" s="272"/>
      <c r="P142" s="272"/>
      <c r="Q142" s="272"/>
      <c r="R142" s="272"/>
      <c r="S142" s="272"/>
      <c r="T142" s="272"/>
    </row>
    <row r="143" spans="1:20" s="282" customFormat="1">
      <c r="A143" s="272"/>
      <c r="B143" s="272"/>
      <c r="C143" s="272"/>
      <c r="D143" s="272"/>
      <c r="E143" s="272"/>
      <c r="F143" s="272"/>
      <c r="G143" s="272"/>
      <c r="H143" s="272"/>
      <c r="I143" s="272"/>
      <c r="J143" s="272"/>
      <c r="K143" s="272"/>
      <c r="L143" s="272"/>
      <c r="N143" s="272"/>
      <c r="O143" s="272"/>
      <c r="P143" s="272"/>
      <c r="Q143" s="272"/>
      <c r="R143" s="272"/>
      <c r="S143" s="272"/>
      <c r="T143" s="272"/>
    </row>
    <row r="144" spans="1:20" s="282" customFormat="1">
      <c r="A144" s="272"/>
      <c r="B144" s="272"/>
      <c r="C144" s="272"/>
      <c r="D144" s="272"/>
      <c r="E144" s="272"/>
      <c r="F144" s="272"/>
      <c r="G144" s="272"/>
      <c r="H144" s="272"/>
      <c r="I144" s="272"/>
      <c r="J144" s="272"/>
      <c r="K144" s="272"/>
      <c r="L144" s="272"/>
      <c r="N144" s="272"/>
      <c r="O144" s="272"/>
      <c r="P144" s="272"/>
      <c r="Q144" s="272"/>
      <c r="R144" s="272"/>
      <c r="S144" s="272"/>
      <c r="T144" s="272"/>
    </row>
    <row r="145" spans="1:20" s="282" customFormat="1">
      <c r="A145" s="272"/>
      <c r="B145" s="272"/>
      <c r="C145" s="272"/>
      <c r="D145" s="272"/>
      <c r="E145" s="272"/>
      <c r="F145" s="272"/>
      <c r="G145" s="272"/>
      <c r="H145" s="272"/>
      <c r="I145" s="272"/>
      <c r="J145" s="272"/>
      <c r="K145" s="272"/>
      <c r="L145" s="272"/>
      <c r="N145" s="272"/>
      <c r="O145" s="272"/>
      <c r="P145" s="272"/>
      <c r="Q145" s="272"/>
      <c r="R145" s="272"/>
      <c r="S145" s="272"/>
      <c r="T145" s="272"/>
    </row>
    <row r="146" spans="1:20" s="282" customFormat="1">
      <c r="A146" s="272"/>
      <c r="B146" s="272"/>
      <c r="C146" s="272"/>
      <c r="D146" s="272"/>
      <c r="E146" s="272"/>
      <c r="F146" s="272"/>
      <c r="G146" s="272"/>
      <c r="H146" s="272"/>
      <c r="I146" s="272"/>
      <c r="J146" s="272"/>
      <c r="K146" s="272"/>
      <c r="L146" s="272"/>
      <c r="N146" s="272"/>
      <c r="O146" s="272"/>
      <c r="P146" s="272"/>
      <c r="Q146" s="272"/>
      <c r="R146" s="272"/>
      <c r="S146" s="272"/>
      <c r="T146" s="272"/>
    </row>
    <row r="147" spans="1:20" s="282" customFormat="1">
      <c r="A147" s="272"/>
      <c r="B147" s="272"/>
      <c r="C147" s="272"/>
      <c r="D147" s="272"/>
      <c r="E147" s="272"/>
      <c r="F147" s="272"/>
      <c r="G147" s="272"/>
      <c r="H147" s="272"/>
      <c r="I147" s="272"/>
      <c r="J147" s="272"/>
      <c r="K147" s="272"/>
      <c r="L147" s="272"/>
      <c r="N147" s="272"/>
      <c r="O147" s="272"/>
      <c r="P147" s="272"/>
      <c r="Q147" s="272"/>
      <c r="R147" s="272"/>
      <c r="S147" s="272"/>
      <c r="T147" s="272"/>
    </row>
    <row r="148" spans="1:20" s="282" customFormat="1">
      <c r="A148" s="272"/>
      <c r="B148" s="272"/>
      <c r="C148" s="272"/>
      <c r="D148" s="272"/>
      <c r="E148" s="272"/>
      <c r="F148" s="272"/>
      <c r="G148" s="272"/>
      <c r="H148" s="272"/>
      <c r="I148" s="272"/>
      <c r="J148" s="272"/>
      <c r="K148" s="272"/>
      <c r="L148" s="272"/>
      <c r="N148" s="272"/>
      <c r="O148" s="272"/>
      <c r="P148" s="272"/>
      <c r="Q148" s="272"/>
      <c r="R148" s="272"/>
      <c r="S148" s="272"/>
      <c r="T148" s="272"/>
    </row>
    <row r="149" spans="1:20" s="282" customFormat="1">
      <c r="A149" s="272"/>
      <c r="B149" s="272"/>
      <c r="C149" s="272"/>
      <c r="D149" s="272"/>
      <c r="E149" s="272"/>
      <c r="F149" s="272"/>
      <c r="G149" s="272"/>
      <c r="H149" s="272"/>
      <c r="I149" s="272"/>
      <c r="J149" s="272"/>
      <c r="K149" s="272"/>
      <c r="L149" s="272"/>
      <c r="N149" s="272"/>
      <c r="O149" s="272"/>
      <c r="P149" s="272"/>
      <c r="Q149" s="272"/>
      <c r="R149" s="272"/>
      <c r="S149" s="272"/>
      <c r="T149" s="272"/>
    </row>
    <row r="150" spans="1:20" s="282" customFormat="1">
      <c r="A150" s="272"/>
      <c r="B150" s="272"/>
      <c r="C150" s="272"/>
      <c r="D150" s="272"/>
      <c r="E150" s="272"/>
      <c r="F150" s="272"/>
      <c r="G150" s="272"/>
      <c r="H150" s="272"/>
      <c r="I150" s="272"/>
      <c r="J150" s="272"/>
      <c r="K150" s="272"/>
      <c r="L150" s="272"/>
      <c r="N150" s="272"/>
      <c r="O150" s="272"/>
      <c r="P150" s="272"/>
      <c r="Q150" s="329"/>
      <c r="R150" s="329"/>
      <c r="S150" s="272"/>
      <c r="T150" s="272"/>
    </row>
    <row r="151" spans="1:20" ht="23.25">
      <c r="A151" s="1297" t="s">
        <v>996</v>
      </c>
      <c r="B151" s="1297"/>
      <c r="C151" s="1297"/>
      <c r="D151" s="1297"/>
      <c r="E151" s="1297"/>
      <c r="F151" s="1297"/>
      <c r="G151" s="1297"/>
      <c r="H151" s="1297"/>
      <c r="I151" s="1297"/>
      <c r="J151" s="1297"/>
      <c r="K151" s="1297"/>
      <c r="L151" s="1297"/>
      <c r="Q151" s="282"/>
    </row>
    <row r="152" spans="1:20">
      <c r="A152" s="282"/>
      <c r="K152" s="282"/>
    </row>
    <row r="153" spans="1:20">
      <c r="S153" s="329"/>
      <c r="T153" s="329"/>
    </row>
    <row r="154" spans="1:20">
      <c r="Q154" s="1097"/>
      <c r="R154" s="1097"/>
    </row>
    <row r="155" spans="1:20">
      <c r="A155" s="1097"/>
      <c r="B155" s="282"/>
      <c r="C155" s="1469"/>
      <c r="D155" s="1469"/>
      <c r="E155" s="1097"/>
      <c r="F155" s="1097"/>
      <c r="G155" s="1097"/>
      <c r="H155" s="1097"/>
      <c r="I155" s="1097"/>
      <c r="J155" s="282"/>
      <c r="K155" s="1469"/>
      <c r="L155" s="1469"/>
      <c r="Q155" s="1098"/>
      <c r="R155" s="1098"/>
    </row>
    <row r="156" spans="1:20" s="282" customFormat="1">
      <c r="A156" s="1098"/>
      <c r="B156" s="272"/>
      <c r="C156" s="1470"/>
      <c r="D156" s="1470"/>
      <c r="E156" s="1098"/>
      <c r="F156" s="1098"/>
      <c r="G156" s="1098"/>
      <c r="H156" s="1098"/>
      <c r="I156" s="1098"/>
      <c r="J156" s="272"/>
      <c r="K156" s="1470"/>
      <c r="L156" s="1470"/>
      <c r="N156" s="272"/>
      <c r="O156" s="272"/>
      <c r="P156" s="272"/>
      <c r="Q156" s="272"/>
      <c r="R156" s="272"/>
    </row>
    <row r="157" spans="1:20">
      <c r="S157" s="1097"/>
    </row>
    <row r="158" spans="1:20">
      <c r="S158" s="1098"/>
    </row>
  </sheetData>
  <mergeCells count="53">
    <mergeCell ref="O20:Q20"/>
    <mergeCell ref="A1:L1"/>
    <mergeCell ref="A2:L2"/>
    <mergeCell ref="A4:E4"/>
    <mergeCell ref="N7:R7"/>
    <mergeCell ref="N9:R9"/>
    <mergeCell ref="N11:R11"/>
    <mergeCell ref="O14:Q14"/>
    <mergeCell ref="O17:Q17"/>
    <mergeCell ref="O18:Q18"/>
    <mergeCell ref="O19:Q19"/>
    <mergeCell ref="O32:Q32"/>
    <mergeCell ref="O21:Q21"/>
    <mergeCell ref="O22:Q22"/>
    <mergeCell ref="O23:Q23"/>
    <mergeCell ref="O24:Q24"/>
    <mergeCell ref="O25:Q25"/>
    <mergeCell ref="O26:Q26"/>
    <mergeCell ref="O28:Q28"/>
    <mergeCell ref="O29:Q29"/>
    <mergeCell ref="O30:Q30"/>
    <mergeCell ref="O31:Q31"/>
    <mergeCell ref="O27:Q27"/>
    <mergeCell ref="O40:Q40"/>
    <mergeCell ref="O41:Q41"/>
    <mergeCell ref="O42:Q42"/>
    <mergeCell ref="O43:Q43"/>
    <mergeCell ref="O44:Q44"/>
    <mergeCell ref="O33:Q33"/>
    <mergeCell ref="O36:Q36"/>
    <mergeCell ref="O37:Q37"/>
    <mergeCell ref="O38:Q38"/>
    <mergeCell ref="O39:Q39"/>
    <mergeCell ref="O34:Q34"/>
    <mergeCell ref="O35:Q35"/>
    <mergeCell ref="O60:P60"/>
    <mergeCell ref="Q60:R60"/>
    <mergeCell ref="O61:P61"/>
    <mergeCell ref="Q61:R61"/>
    <mergeCell ref="O46:Q46"/>
    <mergeCell ref="O48:Q48"/>
    <mergeCell ref="O47:Q47"/>
    <mergeCell ref="N69:R69"/>
    <mergeCell ref="A74:L74"/>
    <mergeCell ref="C137:G137"/>
    <mergeCell ref="K137:L137"/>
    <mergeCell ref="C138:G138"/>
    <mergeCell ref="K138:L138"/>
    <mergeCell ref="A151:L151"/>
    <mergeCell ref="C155:D155"/>
    <mergeCell ref="K155:L155"/>
    <mergeCell ref="C156:D156"/>
    <mergeCell ref="K156:L156"/>
  </mergeCells>
  <printOptions horizontalCentered="1"/>
  <pageMargins left="0.25" right="0.25" top="0.75" bottom="0.5" header="0.3" footer="0.3"/>
  <pageSetup paperSize="14"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51"/>
  <sheetViews>
    <sheetView topLeftCell="A64" workbookViewId="0">
      <selection sqref="A1:I47"/>
    </sheetView>
  </sheetViews>
  <sheetFormatPr defaultRowHeight="12.75"/>
  <cols>
    <col min="1" max="1" width="6.7109375" customWidth="1"/>
    <col min="2" max="2" width="8.28515625" customWidth="1"/>
    <col min="3" max="3" width="18.42578125" customWidth="1"/>
    <col min="6" max="6" width="9.28515625" customWidth="1"/>
    <col min="7" max="7" width="11" customWidth="1"/>
    <col min="8" max="8" width="15.7109375" customWidth="1"/>
    <col min="9" max="9" width="6.7109375" customWidth="1"/>
    <col min="10" max="10" width="14.5703125" bestFit="1" customWidth="1"/>
    <col min="11" max="11" width="11.28515625" bestFit="1" customWidth="1"/>
  </cols>
  <sheetData>
    <row r="3" spans="1:9" ht="16.5">
      <c r="A3" s="1492" t="s">
        <v>177</v>
      </c>
      <c r="B3" s="1492"/>
      <c r="C3" s="1492"/>
      <c r="D3" s="1492"/>
      <c r="E3" s="1492"/>
      <c r="F3" s="1492"/>
      <c r="G3" s="1492"/>
      <c r="H3" s="1492"/>
      <c r="I3" s="1492"/>
    </row>
    <row r="4" spans="1:9" ht="16.5">
      <c r="A4" s="1492" t="s">
        <v>178</v>
      </c>
      <c r="B4" s="1492"/>
      <c r="C4" s="1492"/>
      <c r="D4" s="1492"/>
      <c r="E4" s="1492"/>
      <c r="F4" s="1492"/>
      <c r="G4" s="1492"/>
      <c r="H4" s="1492"/>
      <c r="I4" s="1492"/>
    </row>
    <row r="5" spans="1:9">
      <c r="A5" s="1493" t="s">
        <v>179</v>
      </c>
      <c r="B5" s="1493"/>
      <c r="C5" s="1493"/>
      <c r="D5" s="1493"/>
      <c r="E5" s="1493"/>
      <c r="F5" s="1493"/>
      <c r="G5" s="1493"/>
      <c r="H5" s="1493"/>
      <c r="I5" s="1493"/>
    </row>
    <row r="6" spans="1:9">
      <c r="A6" s="103"/>
      <c r="B6" s="103"/>
      <c r="C6" s="103"/>
      <c r="D6" s="103"/>
      <c r="E6" s="103"/>
      <c r="F6" s="103"/>
      <c r="G6" s="103"/>
      <c r="H6" s="103"/>
      <c r="I6" s="103"/>
    </row>
    <row r="7" spans="1:9">
      <c r="A7" s="103"/>
      <c r="B7" s="103"/>
      <c r="C7" s="103"/>
      <c r="D7" s="103"/>
      <c r="E7" s="103"/>
      <c r="F7" s="103"/>
      <c r="G7" s="103"/>
      <c r="H7" s="103"/>
      <c r="I7" s="103"/>
    </row>
    <row r="8" spans="1:9">
      <c r="A8" s="103"/>
      <c r="B8" s="103"/>
      <c r="C8" s="103"/>
      <c r="D8" s="103"/>
      <c r="E8" s="103"/>
      <c r="F8" s="103"/>
      <c r="G8" s="103"/>
      <c r="H8" s="103"/>
      <c r="I8" s="103"/>
    </row>
    <row r="9" spans="1:9" ht="15.75">
      <c r="A9" s="1490" t="s">
        <v>180</v>
      </c>
      <c r="B9" s="1490"/>
      <c r="C9" s="1490"/>
      <c r="D9" s="1490"/>
      <c r="E9" s="1490"/>
      <c r="F9" s="1490"/>
      <c r="G9" s="1490"/>
      <c r="H9" s="1490"/>
      <c r="I9" s="1490"/>
    </row>
    <row r="10" spans="1:9" ht="13.5" customHeight="1">
      <c r="A10" s="6"/>
      <c r="B10" s="6"/>
      <c r="C10" s="6"/>
      <c r="D10" s="6"/>
      <c r="E10" s="6"/>
      <c r="F10" s="6"/>
      <c r="G10" s="6"/>
      <c r="H10" s="6"/>
      <c r="I10" s="6"/>
    </row>
    <row r="11" spans="1:9" ht="15.75">
      <c r="A11" s="1491" t="s">
        <v>1689</v>
      </c>
      <c r="B11" s="1491"/>
      <c r="C11" s="1491"/>
      <c r="D11" s="1491"/>
      <c r="E11" s="1491"/>
      <c r="F11" s="1491"/>
      <c r="G11" s="1491"/>
      <c r="H11" s="1491"/>
      <c r="I11" s="1491"/>
    </row>
    <row r="12" spans="1:9" ht="7.5" customHeight="1">
      <c r="A12" s="6"/>
      <c r="B12" s="6"/>
      <c r="C12" s="6"/>
      <c r="D12" s="6"/>
      <c r="E12" s="6"/>
      <c r="F12" s="6"/>
      <c r="G12" s="6"/>
      <c r="H12" s="6"/>
      <c r="I12" s="6"/>
    </row>
    <row r="13" spans="1:9" ht="7.5" customHeight="1">
      <c r="A13" s="6"/>
      <c r="B13" s="6"/>
      <c r="C13" s="6"/>
      <c r="D13" s="6"/>
      <c r="E13" s="6"/>
      <c r="F13" s="6"/>
      <c r="G13" s="6"/>
      <c r="H13" s="6"/>
      <c r="I13" s="6"/>
    </row>
    <row r="14" spans="1:9" ht="7.5" customHeight="1">
      <c r="A14" s="6"/>
      <c r="B14" s="6"/>
      <c r="C14" s="6"/>
      <c r="D14" s="6"/>
      <c r="E14" s="6"/>
      <c r="F14" s="6"/>
      <c r="G14" s="6"/>
      <c r="H14" s="6"/>
      <c r="I14" s="6"/>
    </row>
    <row r="15" spans="1:9" ht="7.5" customHeight="1">
      <c r="A15" s="6"/>
      <c r="B15" s="6"/>
      <c r="C15" s="6"/>
      <c r="D15" s="6"/>
      <c r="E15" s="6"/>
      <c r="F15" s="6"/>
      <c r="G15" s="6"/>
      <c r="H15" s="6"/>
      <c r="I15" s="6"/>
    </row>
    <row r="16" spans="1:9">
      <c r="A16" s="6" t="s">
        <v>181</v>
      </c>
      <c r="B16" s="2" t="s">
        <v>182</v>
      </c>
      <c r="C16" s="7" t="s">
        <v>183</v>
      </c>
      <c r="D16" s="6"/>
      <c r="E16" s="6"/>
      <c r="F16" s="6"/>
      <c r="G16" s="6"/>
      <c r="H16" s="6"/>
      <c r="I16" s="6"/>
    </row>
    <row r="17" spans="1:11">
      <c r="A17" s="8"/>
      <c r="B17" s="9" t="s">
        <v>184</v>
      </c>
      <c r="C17" s="9"/>
      <c r="D17" s="6"/>
      <c r="E17" s="6"/>
      <c r="F17" s="6"/>
      <c r="G17" s="6"/>
      <c r="H17" s="6"/>
      <c r="I17" s="6"/>
    </row>
    <row r="18" spans="1:11">
      <c r="A18" s="6"/>
      <c r="B18" s="6" t="s">
        <v>185</v>
      </c>
      <c r="C18" s="6"/>
      <c r="D18" s="6"/>
      <c r="E18" s="6"/>
      <c r="F18" s="6"/>
      <c r="G18" s="6"/>
      <c r="H18" s="10">
        <f>'LBP NO. 1'!N38</f>
        <v>8795000</v>
      </c>
      <c r="I18" s="6"/>
    </row>
    <row r="19" spans="1:11">
      <c r="A19" s="6"/>
      <c r="B19" s="6" t="s">
        <v>186</v>
      </c>
      <c r="C19" s="6"/>
      <c r="D19" s="6"/>
      <c r="E19" s="6"/>
      <c r="F19" s="6"/>
      <c r="G19" s="6"/>
      <c r="H19" s="10">
        <f>'LBP NO. 1'!N69</f>
        <v>3575000</v>
      </c>
      <c r="I19" s="6"/>
    </row>
    <row r="20" spans="1:11">
      <c r="A20" s="6"/>
      <c r="B20" s="6" t="s">
        <v>187</v>
      </c>
      <c r="C20" s="6"/>
      <c r="D20" s="6"/>
      <c r="E20" s="6"/>
      <c r="F20" s="6"/>
      <c r="G20" s="6"/>
      <c r="H20" s="11">
        <f>'LBP NO. 1'!N72</f>
        <v>219243814</v>
      </c>
      <c r="I20" s="6"/>
    </row>
    <row r="21" spans="1:11" ht="13.5" thickBot="1">
      <c r="A21" s="6"/>
      <c r="B21" s="6"/>
      <c r="C21" s="7" t="s">
        <v>188</v>
      </c>
      <c r="D21" s="6"/>
      <c r="E21" s="6"/>
      <c r="F21" s="6"/>
      <c r="G21" s="6"/>
      <c r="H21" s="12">
        <f>SUM(H18:H20)</f>
        <v>231613814</v>
      </c>
      <c r="I21" s="6"/>
    </row>
    <row r="22" spans="1:11">
      <c r="A22" s="8"/>
      <c r="B22" s="9" t="s">
        <v>189</v>
      </c>
      <c r="C22" s="9"/>
      <c r="D22" s="6"/>
      <c r="E22" s="6"/>
      <c r="F22" s="6"/>
      <c r="G22" s="6"/>
      <c r="H22" s="10"/>
      <c r="I22" s="6"/>
    </row>
    <row r="23" spans="1:11">
      <c r="A23" s="8"/>
      <c r="B23" s="8" t="s">
        <v>190</v>
      </c>
      <c r="C23" s="9"/>
      <c r="D23" s="6"/>
      <c r="E23" s="6"/>
      <c r="F23" s="6"/>
      <c r="G23" s="6"/>
      <c r="H23" s="10">
        <f>'LBP NO. 1'!N227</f>
        <v>0</v>
      </c>
      <c r="I23" s="6"/>
    </row>
    <row r="24" spans="1:11">
      <c r="A24" s="8"/>
      <c r="B24" s="8" t="s">
        <v>191</v>
      </c>
      <c r="C24" s="9"/>
      <c r="D24" s="6"/>
      <c r="E24" s="6"/>
      <c r="F24" s="6"/>
      <c r="G24" s="6"/>
      <c r="H24" s="11">
        <f>'LBP NO. 1'!N246</f>
        <v>8625000</v>
      </c>
      <c r="I24" s="6"/>
    </row>
    <row r="25" spans="1:11" ht="13.5" thickBot="1">
      <c r="A25" s="8"/>
      <c r="B25" s="9"/>
      <c r="C25" s="7" t="s">
        <v>188</v>
      </c>
      <c r="D25" s="6"/>
      <c r="E25" s="6"/>
      <c r="F25" s="6"/>
      <c r="G25" s="6"/>
      <c r="H25" s="13">
        <f>SUM(H23:H24)</f>
        <v>8625000</v>
      </c>
      <c r="I25" s="6"/>
    </row>
    <row r="26" spans="1:11">
      <c r="A26" s="8"/>
      <c r="B26" s="9"/>
      <c r="C26" s="7"/>
      <c r="D26" s="6"/>
      <c r="E26" s="6"/>
      <c r="F26" s="6"/>
      <c r="G26" s="6"/>
      <c r="H26" s="30"/>
      <c r="I26" s="6"/>
    </row>
    <row r="27" spans="1:11" ht="13.5" thickBot="1">
      <c r="A27" s="8"/>
      <c r="B27" s="9"/>
      <c r="C27" s="7" t="s">
        <v>42</v>
      </c>
      <c r="D27" s="6"/>
      <c r="E27" s="6"/>
      <c r="F27" s="6"/>
      <c r="G27" s="6"/>
      <c r="H27" s="31">
        <f>+H21+H25</f>
        <v>240238814</v>
      </c>
      <c r="I27" s="6"/>
    </row>
    <row r="28" spans="1:11" ht="6" customHeight="1" thickTop="1">
      <c r="A28" s="6"/>
      <c r="B28" s="6"/>
      <c r="C28" s="6"/>
      <c r="D28" s="6"/>
      <c r="E28" s="6"/>
      <c r="F28" s="6"/>
      <c r="G28" s="6"/>
      <c r="H28" s="10"/>
      <c r="I28" s="6"/>
    </row>
    <row r="29" spans="1:11">
      <c r="A29" s="6" t="s">
        <v>181</v>
      </c>
      <c r="B29" s="2" t="s">
        <v>192</v>
      </c>
      <c r="C29" s="7" t="s">
        <v>193</v>
      </c>
      <c r="D29" s="6"/>
      <c r="E29" s="6"/>
      <c r="F29" s="6"/>
      <c r="G29" s="6"/>
      <c r="H29" s="10"/>
      <c r="I29" s="6"/>
    </row>
    <row r="30" spans="1:11">
      <c r="A30" s="14"/>
      <c r="B30" s="15" t="s">
        <v>194</v>
      </c>
      <c r="C30" s="7"/>
      <c r="D30" s="6"/>
      <c r="E30" s="6"/>
      <c r="F30" s="6"/>
      <c r="G30" s="6"/>
      <c r="H30" s="10"/>
      <c r="I30" s="6"/>
    </row>
    <row r="31" spans="1:11">
      <c r="A31" s="6"/>
      <c r="B31" s="7" t="s">
        <v>195</v>
      </c>
      <c r="C31" s="6"/>
      <c r="D31" s="6"/>
      <c r="E31" s="6"/>
      <c r="F31" s="6"/>
      <c r="G31" s="6"/>
      <c r="H31" s="10"/>
      <c r="I31" s="6"/>
    </row>
    <row r="32" spans="1:11">
      <c r="A32" s="6"/>
      <c r="B32" s="6" t="s">
        <v>196</v>
      </c>
      <c r="C32" s="6"/>
      <c r="D32" s="6"/>
      <c r="E32" s="6"/>
      <c r="F32" s="6"/>
      <c r="G32" s="6"/>
      <c r="H32" s="10">
        <f>'LBP NO. 2'!M46</f>
        <v>12206941</v>
      </c>
      <c r="I32" s="6"/>
      <c r="J32" s="41"/>
      <c r="K32" s="29"/>
    </row>
    <row r="33" spans="1:11">
      <c r="A33" s="6"/>
      <c r="B33" s="6" t="s">
        <v>197</v>
      </c>
      <c r="C33" s="6"/>
      <c r="D33" s="6"/>
      <c r="E33" s="6"/>
      <c r="F33" s="6"/>
      <c r="G33" s="6"/>
      <c r="H33" s="10">
        <f>'LBP NO. 2'!M117</f>
        <v>20249168</v>
      </c>
      <c r="I33" s="6"/>
      <c r="J33" s="41"/>
      <c r="K33" s="29"/>
    </row>
    <row r="34" spans="1:11">
      <c r="A34" s="6"/>
      <c r="B34" s="6" t="s">
        <v>198</v>
      </c>
      <c r="C34" s="6"/>
      <c r="D34" s="6"/>
      <c r="E34" s="6"/>
      <c r="F34" s="6"/>
      <c r="G34" s="6"/>
      <c r="H34" s="10">
        <f>'LBP NO. 2'!M192</f>
        <v>2040732</v>
      </c>
      <c r="I34" s="6"/>
      <c r="J34" s="41"/>
      <c r="K34" s="29"/>
    </row>
    <row r="35" spans="1:11">
      <c r="A35" s="6"/>
      <c r="B35" s="6" t="s">
        <v>199</v>
      </c>
      <c r="C35" s="6"/>
      <c r="D35" s="6"/>
      <c r="E35" s="6"/>
      <c r="F35" s="6"/>
      <c r="G35" s="6"/>
      <c r="H35" s="10">
        <f>'LBP NO. 2'!M261</f>
        <v>2060770</v>
      </c>
      <c r="I35" s="6"/>
      <c r="J35" s="41"/>
      <c r="K35" s="29"/>
    </row>
    <row r="36" spans="1:11">
      <c r="A36" s="6"/>
      <c r="B36" s="6" t="s">
        <v>200</v>
      </c>
      <c r="C36" s="6"/>
      <c r="D36" s="6"/>
      <c r="E36" s="6"/>
      <c r="F36" s="6"/>
      <c r="G36" s="6"/>
      <c r="H36" s="10">
        <f>'LBP NO. 2'!M329</f>
        <v>2214520</v>
      </c>
      <c r="I36" s="6"/>
      <c r="J36" s="41"/>
      <c r="K36" s="29"/>
    </row>
    <row r="37" spans="1:11">
      <c r="A37" s="6"/>
      <c r="B37" s="6" t="s">
        <v>201</v>
      </c>
      <c r="C37" s="6"/>
      <c r="D37" s="6"/>
      <c r="E37" s="6"/>
      <c r="F37" s="6"/>
      <c r="G37" s="6"/>
      <c r="H37" s="10">
        <f>'LBP NO. 2'!M398</f>
        <v>3252594</v>
      </c>
      <c r="I37" s="6"/>
      <c r="J37" s="41"/>
      <c r="K37" s="29"/>
    </row>
    <row r="38" spans="1:11">
      <c r="A38" s="6"/>
      <c r="B38" s="6" t="s">
        <v>202</v>
      </c>
      <c r="C38" s="6"/>
      <c r="D38" s="6"/>
      <c r="E38" s="6"/>
      <c r="F38" s="6"/>
      <c r="G38" s="6"/>
      <c r="H38" s="10">
        <f>'LBP NO. 2'!M466</f>
        <v>5135657</v>
      </c>
      <c r="I38" s="6"/>
      <c r="J38" s="41"/>
      <c r="K38" s="29"/>
    </row>
    <row r="39" spans="1:11">
      <c r="A39" s="6"/>
      <c r="B39" s="6" t="s">
        <v>203</v>
      </c>
      <c r="C39" s="6"/>
      <c r="D39" s="6"/>
      <c r="E39" s="6"/>
      <c r="F39" s="6"/>
      <c r="G39" s="6"/>
      <c r="H39" s="10">
        <f>'LBP NO. 2'!M533</f>
        <v>2883492</v>
      </c>
      <c r="I39" s="6"/>
      <c r="J39" s="41"/>
      <c r="K39" s="29"/>
    </row>
    <row r="40" spans="1:11">
      <c r="A40" s="6"/>
      <c r="B40" s="6" t="s">
        <v>204</v>
      </c>
      <c r="C40" s="6"/>
      <c r="D40" s="6"/>
      <c r="E40" s="6"/>
      <c r="F40" s="6"/>
      <c r="G40" s="6"/>
      <c r="H40" s="10">
        <f>'LBP NO. 2'!M602</f>
        <v>2220700</v>
      </c>
      <c r="I40" s="6"/>
      <c r="J40" s="41"/>
      <c r="K40" s="29"/>
    </row>
    <row r="41" spans="1:11">
      <c r="A41" s="6"/>
      <c r="B41" s="6" t="s">
        <v>205</v>
      </c>
      <c r="C41" s="6"/>
      <c r="D41" s="6"/>
      <c r="E41" s="6"/>
      <c r="F41" s="6"/>
      <c r="G41" s="6"/>
      <c r="H41" s="10">
        <f>'LBP NO. 2'!M672</f>
        <v>4633994.8</v>
      </c>
      <c r="I41" s="6"/>
      <c r="J41" s="41"/>
      <c r="K41" s="29"/>
    </row>
    <row r="42" spans="1:11">
      <c r="A42" s="6"/>
      <c r="B42" s="6" t="s">
        <v>206</v>
      </c>
      <c r="C42" s="6"/>
      <c r="D42" s="6"/>
      <c r="E42" s="6"/>
      <c r="F42" s="6"/>
      <c r="G42" s="6"/>
      <c r="H42" s="10">
        <f>'LBP NO. 2'!M739</f>
        <v>5666060</v>
      </c>
      <c r="I42" s="6"/>
      <c r="J42" s="41"/>
      <c r="K42" s="29"/>
    </row>
    <row r="43" spans="1:11">
      <c r="A43" s="6"/>
      <c r="B43" s="6" t="s">
        <v>207</v>
      </c>
      <c r="C43" s="6"/>
      <c r="D43" s="6"/>
      <c r="E43" s="6"/>
      <c r="F43" s="6"/>
      <c r="G43" s="6"/>
      <c r="H43" s="10">
        <f>'LBP NO. 2'!M809</f>
        <v>10228228</v>
      </c>
      <c r="I43" s="6"/>
      <c r="J43" s="41"/>
      <c r="K43" s="29"/>
    </row>
    <row r="44" spans="1:11">
      <c r="A44" s="6"/>
      <c r="B44" s="6" t="s">
        <v>208</v>
      </c>
      <c r="C44" s="6"/>
      <c r="D44" s="6"/>
      <c r="E44" s="6"/>
      <c r="F44" s="6"/>
      <c r="G44" s="6"/>
      <c r="H44" s="16">
        <f>'LBP NO. 2'!M873</f>
        <v>3104717</v>
      </c>
      <c r="I44" s="6"/>
      <c r="J44" s="41"/>
      <c r="K44" s="29"/>
    </row>
    <row r="45" spans="1:11">
      <c r="A45" s="6"/>
      <c r="B45" s="6" t="s">
        <v>259</v>
      </c>
      <c r="C45" s="6"/>
      <c r="D45" s="6"/>
      <c r="E45" s="6"/>
      <c r="F45" s="6"/>
      <c r="G45" s="6"/>
      <c r="H45" s="16">
        <f>'LBP NO. 2'!M939</f>
        <v>1038056</v>
      </c>
      <c r="I45" s="6"/>
      <c r="J45" s="50"/>
      <c r="K45" s="29"/>
    </row>
    <row r="46" spans="1:11" ht="13.5" thickBot="1">
      <c r="A46" s="6"/>
      <c r="B46" s="6"/>
      <c r="C46" s="6"/>
      <c r="D46" s="7" t="s">
        <v>237</v>
      </c>
      <c r="E46" s="6"/>
      <c r="G46" s="6"/>
      <c r="H46" s="12">
        <f>SUM(H32:H45)</f>
        <v>76935629.799999997</v>
      </c>
      <c r="I46" s="6"/>
      <c r="J46" s="48">
        <f>H46-'LBP NO. 7'!L29</f>
        <v>0</v>
      </c>
    </row>
    <row r="47" spans="1:11" ht="15.75" customHeight="1">
      <c r="A47" s="6"/>
      <c r="B47" s="6"/>
      <c r="C47" s="6"/>
      <c r="D47" s="6"/>
      <c r="E47" s="6"/>
      <c r="F47" s="7"/>
      <c r="G47" s="6"/>
      <c r="H47" s="17"/>
      <c r="I47" s="6"/>
    </row>
    <row r="48" spans="1:11" ht="15.75" customHeight="1">
      <c r="A48" s="6"/>
      <c r="B48" s="6"/>
      <c r="C48" s="6"/>
      <c r="D48" s="6"/>
      <c r="E48" s="6"/>
      <c r="F48" s="7"/>
      <c r="G48" s="6"/>
      <c r="H48" s="17"/>
      <c r="I48" s="6"/>
    </row>
    <row r="49" spans="1:9" ht="15.75" customHeight="1">
      <c r="A49" s="6"/>
      <c r="B49" s="6"/>
      <c r="C49" s="6"/>
      <c r="D49" s="6"/>
      <c r="E49" s="6"/>
      <c r="F49" s="7"/>
      <c r="G49" s="6"/>
      <c r="H49" s="17"/>
      <c r="I49" s="6"/>
    </row>
    <row r="50" spans="1:9" ht="15.75" customHeight="1">
      <c r="A50" s="6"/>
      <c r="B50" s="6"/>
      <c r="C50" s="6"/>
      <c r="D50" s="6"/>
      <c r="E50" s="6"/>
      <c r="F50" s="7"/>
      <c r="G50" s="6"/>
      <c r="H50" s="17"/>
      <c r="I50" s="6"/>
    </row>
    <row r="51" spans="1:9" ht="15.75" customHeight="1">
      <c r="A51" s="6"/>
      <c r="B51" s="6"/>
      <c r="C51" s="6"/>
      <c r="D51" s="6"/>
      <c r="E51" s="6"/>
      <c r="F51" s="7"/>
      <c r="G51" s="6"/>
      <c r="H51" s="17"/>
      <c r="I51" s="6"/>
    </row>
    <row r="52" spans="1:9" ht="15.75" customHeight="1">
      <c r="A52" s="6"/>
      <c r="B52" s="6"/>
      <c r="C52" s="6"/>
      <c r="D52" s="6"/>
      <c r="E52" s="6"/>
      <c r="F52" s="7"/>
      <c r="G52" s="6"/>
      <c r="H52" s="17"/>
      <c r="I52" s="6"/>
    </row>
    <row r="53" spans="1:9" ht="15.75" customHeight="1">
      <c r="A53" s="6"/>
      <c r="B53" s="6"/>
      <c r="C53" s="6"/>
      <c r="D53" s="6"/>
      <c r="E53" s="6"/>
      <c r="F53" s="7"/>
      <c r="G53" s="6"/>
      <c r="H53" s="17"/>
      <c r="I53" s="6"/>
    </row>
    <row r="54" spans="1:9" ht="15.75" customHeight="1">
      <c r="A54" s="6"/>
      <c r="B54" s="6"/>
      <c r="C54" s="6"/>
      <c r="D54" s="6"/>
      <c r="E54" s="6"/>
      <c r="F54" s="7"/>
      <c r="G54" s="6"/>
      <c r="H54" s="17"/>
      <c r="I54" s="6"/>
    </row>
    <row r="55" spans="1:9" ht="15.75" customHeight="1">
      <c r="A55" s="6"/>
      <c r="B55" s="6"/>
      <c r="C55" s="6"/>
      <c r="D55" s="6"/>
      <c r="E55" s="6"/>
      <c r="F55" s="7"/>
      <c r="G55" s="6"/>
      <c r="H55" s="17"/>
      <c r="I55" s="6"/>
    </row>
    <row r="56" spans="1:9" ht="15.75" customHeight="1">
      <c r="A56" s="6"/>
      <c r="B56" s="6"/>
      <c r="C56" s="6"/>
      <c r="D56" s="6"/>
      <c r="E56" s="6"/>
      <c r="F56" s="7"/>
      <c r="G56" s="6"/>
      <c r="H56" s="17"/>
      <c r="I56" s="6"/>
    </row>
    <row r="57" spans="1:9" ht="15.75" customHeight="1">
      <c r="A57" s="6"/>
      <c r="B57" s="6"/>
      <c r="C57" s="6"/>
      <c r="D57" s="6"/>
      <c r="E57" s="6"/>
      <c r="F57" s="7"/>
      <c r="G57" s="6"/>
      <c r="H57" s="17"/>
      <c r="I57" s="6"/>
    </row>
    <row r="58" spans="1:9" ht="15.75" customHeight="1">
      <c r="A58" s="6"/>
      <c r="B58" s="6"/>
      <c r="C58" s="6"/>
      <c r="D58" s="6"/>
      <c r="E58" s="6"/>
      <c r="F58" s="7"/>
      <c r="G58" s="6"/>
      <c r="H58" s="17"/>
      <c r="I58" s="6"/>
    </row>
    <row r="59" spans="1:9" ht="15.75" customHeight="1">
      <c r="A59" s="6"/>
      <c r="B59" s="6"/>
      <c r="C59" s="6"/>
      <c r="D59" s="6"/>
      <c r="E59" s="6"/>
      <c r="F59" s="7"/>
      <c r="G59" s="6"/>
      <c r="H59" s="17"/>
      <c r="I59" s="6"/>
    </row>
    <row r="60" spans="1:9" ht="15.75" customHeight="1">
      <c r="A60" s="6"/>
      <c r="B60" s="6"/>
      <c r="C60" s="6"/>
      <c r="D60" s="6"/>
      <c r="E60" s="6"/>
      <c r="F60" s="7"/>
      <c r="G60" s="6"/>
      <c r="H60" s="17"/>
      <c r="I60" s="6"/>
    </row>
    <row r="61" spans="1:9" ht="15.75" customHeight="1">
      <c r="A61" s="6"/>
      <c r="B61" s="6"/>
      <c r="C61" s="6"/>
      <c r="D61" s="6"/>
      <c r="E61" s="6"/>
      <c r="F61" s="7"/>
      <c r="G61" s="6"/>
      <c r="H61" s="17"/>
      <c r="I61" s="6"/>
    </row>
    <row r="62" spans="1:9" ht="15.75" customHeight="1">
      <c r="A62" s="6"/>
      <c r="B62" s="6"/>
      <c r="C62" s="6"/>
      <c r="D62" s="6"/>
      <c r="E62" s="6"/>
      <c r="F62" s="7"/>
      <c r="G62" s="6"/>
      <c r="H62" s="17"/>
      <c r="I62" s="6"/>
    </row>
    <row r="63" spans="1:9" ht="22.5" customHeight="1">
      <c r="A63" s="1494" t="s">
        <v>1489</v>
      </c>
      <c r="B63" s="1494"/>
      <c r="C63" s="1494"/>
      <c r="D63" s="1494"/>
      <c r="E63" s="1494"/>
      <c r="F63" s="1494"/>
      <c r="G63" s="1494"/>
      <c r="H63" s="1494"/>
      <c r="I63" s="1494"/>
    </row>
    <row r="64" spans="1:9">
      <c r="A64" s="6"/>
      <c r="B64" s="7" t="s">
        <v>209</v>
      </c>
      <c r="C64" s="6"/>
      <c r="D64" s="6"/>
      <c r="E64" s="6"/>
      <c r="F64" s="6"/>
      <c r="G64" s="6"/>
      <c r="H64" s="10"/>
      <c r="I64" s="6"/>
    </row>
    <row r="65" spans="1:10">
      <c r="A65" s="6"/>
      <c r="B65" s="6" t="s">
        <v>196</v>
      </c>
      <c r="C65" s="6"/>
      <c r="D65" s="6"/>
      <c r="E65" s="6"/>
      <c r="F65" s="6"/>
      <c r="G65" s="6"/>
      <c r="H65" s="10">
        <f>'LBP NO. 2'!M57</f>
        <v>3137755</v>
      </c>
      <c r="I65" s="6"/>
      <c r="J65" s="41"/>
    </row>
    <row r="66" spans="1:10">
      <c r="A66" s="6"/>
      <c r="B66" s="6" t="s">
        <v>197</v>
      </c>
      <c r="C66" s="6"/>
      <c r="D66" s="6"/>
      <c r="E66" s="6"/>
      <c r="F66" s="6"/>
      <c r="G66" s="6"/>
      <c r="H66" s="10">
        <f>'LBP NO. 2'!M132</f>
        <v>6806400</v>
      </c>
      <c r="I66" s="6"/>
      <c r="J66" s="41"/>
    </row>
    <row r="67" spans="1:10">
      <c r="A67" s="6"/>
      <c r="B67" s="6" t="s">
        <v>198</v>
      </c>
      <c r="C67" s="6"/>
      <c r="D67" s="6"/>
      <c r="E67" s="6"/>
      <c r="F67" s="6"/>
      <c r="G67" s="6"/>
      <c r="H67" s="10">
        <f>'LBP NO. 2'!M200</f>
        <v>526587</v>
      </c>
      <c r="I67" s="6"/>
      <c r="J67" s="41"/>
    </row>
    <row r="68" spans="1:10">
      <c r="A68" s="6"/>
      <c r="B68" s="6" t="s">
        <v>199</v>
      </c>
      <c r="C68" s="6"/>
      <c r="D68" s="6"/>
      <c r="E68" s="6"/>
      <c r="F68" s="6"/>
      <c r="G68" s="6"/>
      <c r="H68" s="10">
        <f>'LBP NO. 2'!M270</f>
        <v>219250</v>
      </c>
      <c r="I68" s="6"/>
      <c r="J68" s="41"/>
    </row>
    <row r="69" spans="1:10">
      <c r="A69" s="6"/>
      <c r="B69" s="6" t="s">
        <v>200</v>
      </c>
      <c r="C69" s="6"/>
      <c r="D69" s="6"/>
      <c r="E69" s="6"/>
      <c r="F69" s="6"/>
      <c r="G69" s="6"/>
      <c r="H69" s="10">
        <f>'LBP NO. 2'!M337</f>
        <v>328000</v>
      </c>
      <c r="I69" s="6"/>
      <c r="J69" s="41"/>
    </row>
    <row r="70" spans="1:10">
      <c r="A70" s="6"/>
      <c r="B70" s="6" t="s">
        <v>201</v>
      </c>
      <c r="C70" s="6"/>
      <c r="D70" s="6"/>
      <c r="E70" s="6"/>
      <c r="F70" s="6"/>
      <c r="G70" s="6"/>
      <c r="H70" s="10">
        <f>'LBP NO. 2'!M406</f>
        <v>573815</v>
      </c>
      <c r="I70" s="6"/>
      <c r="J70" s="41"/>
    </row>
    <row r="71" spans="1:10">
      <c r="A71" s="6"/>
      <c r="B71" s="6" t="s">
        <v>202</v>
      </c>
      <c r="C71" s="6"/>
      <c r="D71" s="6"/>
      <c r="E71" s="6"/>
      <c r="F71" s="6"/>
      <c r="G71" s="6"/>
      <c r="H71" s="10">
        <f>'LBP NO. 2'!M477</f>
        <v>1076000</v>
      </c>
      <c r="I71" s="6"/>
      <c r="J71" s="41"/>
    </row>
    <row r="72" spans="1:10">
      <c r="A72" s="6"/>
      <c r="B72" s="6" t="s">
        <v>203</v>
      </c>
      <c r="C72" s="6"/>
      <c r="D72" s="6"/>
      <c r="E72" s="6"/>
      <c r="F72" s="6"/>
      <c r="G72" s="6"/>
      <c r="H72" s="10">
        <f>'LBP NO. 2'!M542</f>
        <v>443500</v>
      </c>
      <c r="I72" s="6"/>
      <c r="J72" s="41"/>
    </row>
    <row r="73" spans="1:10">
      <c r="A73" s="6"/>
      <c r="B73" s="6" t="s">
        <v>260</v>
      </c>
      <c r="C73" s="6"/>
      <c r="D73" s="6"/>
      <c r="E73" s="6"/>
      <c r="F73" s="6"/>
      <c r="G73" s="6"/>
      <c r="H73" s="10">
        <f>'LBP NO. 2'!M611</f>
        <v>234000</v>
      </c>
      <c r="I73" s="6"/>
      <c r="J73" s="41"/>
    </row>
    <row r="74" spans="1:10">
      <c r="A74" s="6"/>
      <c r="B74" s="6" t="s">
        <v>205</v>
      </c>
      <c r="C74" s="6"/>
      <c r="D74" s="6"/>
      <c r="E74" s="6"/>
      <c r="F74" s="6"/>
      <c r="G74" s="6"/>
      <c r="H74" s="10">
        <f>'LBP NO. 2'!M683</f>
        <v>8503040</v>
      </c>
      <c r="I74" s="6"/>
      <c r="J74" s="41"/>
    </row>
    <row r="75" spans="1:10">
      <c r="A75" s="6"/>
      <c r="B75" s="6" t="s">
        <v>206</v>
      </c>
      <c r="C75" s="6"/>
      <c r="D75" s="6"/>
      <c r="E75" s="6"/>
      <c r="F75" s="6"/>
      <c r="G75" s="6"/>
      <c r="H75" s="10">
        <f>'LBP NO. 2'!M750</f>
        <v>6276932.2000000002</v>
      </c>
      <c r="I75" s="6"/>
      <c r="J75" s="41"/>
    </row>
    <row r="76" spans="1:10">
      <c r="A76" s="6"/>
      <c r="B76" s="6" t="s">
        <v>207</v>
      </c>
      <c r="C76" s="6"/>
      <c r="D76" s="6"/>
      <c r="E76" s="6"/>
      <c r="F76" s="6"/>
      <c r="G76" s="6"/>
      <c r="H76" s="10">
        <f>'LBP NO. 2'!M820</f>
        <v>9181557</v>
      </c>
      <c r="I76" s="6"/>
      <c r="J76" s="41"/>
    </row>
    <row r="77" spans="1:10">
      <c r="A77" s="6"/>
      <c r="B77" s="6" t="s">
        <v>208</v>
      </c>
      <c r="C77" s="6"/>
      <c r="D77" s="6"/>
      <c r="E77" s="6"/>
      <c r="F77" s="6"/>
      <c r="G77" s="6"/>
      <c r="H77" s="10">
        <f>'LBP NO. 2'!M881</f>
        <v>1747889</v>
      </c>
      <c r="I77" s="6"/>
      <c r="J77" s="50"/>
    </row>
    <row r="78" spans="1:10">
      <c r="A78" s="6"/>
      <c r="B78" s="6" t="s">
        <v>259</v>
      </c>
      <c r="C78" s="6"/>
      <c r="D78" s="6"/>
      <c r="E78" s="6"/>
      <c r="F78" s="6"/>
      <c r="G78" s="6"/>
      <c r="H78" s="10">
        <f>'LBP NO. 2'!M947</f>
        <v>339000</v>
      </c>
      <c r="I78" s="6"/>
      <c r="J78" s="50"/>
    </row>
    <row r="79" spans="1:10" ht="13.5" thickBot="1">
      <c r="A79" s="6"/>
      <c r="B79" s="6"/>
      <c r="C79" s="6" t="s">
        <v>176</v>
      </c>
      <c r="D79" s="7" t="s">
        <v>238</v>
      </c>
      <c r="E79" s="6"/>
      <c r="F79" s="7"/>
      <c r="G79" s="6"/>
      <c r="H79" s="12">
        <f>SUM(H65:H78)</f>
        <v>39393725.200000003</v>
      </c>
      <c r="I79" s="6"/>
      <c r="J79" s="50">
        <f>H79-'LBP NO. 7'!L50</f>
        <v>0</v>
      </c>
    </row>
    <row r="80" spans="1:10" ht="6.75" customHeight="1">
      <c r="A80" s="6"/>
      <c r="B80" s="6"/>
      <c r="C80" s="6"/>
      <c r="D80" s="7"/>
      <c r="E80" s="6"/>
      <c r="F80" s="7"/>
      <c r="G80" s="6"/>
      <c r="H80" s="17"/>
      <c r="I80" s="6"/>
      <c r="J80" s="50"/>
    </row>
    <row r="81" spans="1:10" ht="6.75" customHeight="1">
      <c r="A81" s="6"/>
      <c r="B81" s="6"/>
      <c r="C81" s="6"/>
      <c r="D81" s="7"/>
      <c r="E81" s="6"/>
      <c r="F81" s="7"/>
      <c r="G81" s="6"/>
      <c r="H81" s="17"/>
      <c r="I81" s="6"/>
      <c r="J81" s="50"/>
    </row>
    <row r="82" spans="1:10">
      <c r="A82" s="6"/>
      <c r="B82" s="7" t="s">
        <v>210</v>
      </c>
      <c r="C82" s="6"/>
      <c r="D82" s="6"/>
      <c r="E82" s="6"/>
      <c r="F82" s="6"/>
      <c r="G82" s="6"/>
      <c r="H82" s="10"/>
      <c r="I82" s="6"/>
      <c r="J82" s="41"/>
    </row>
    <row r="83" spans="1:10">
      <c r="A83" s="6"/>
      <c r="B83" s="6" t="s">
        <v>196</v>
      </c>
      <c r="C83" s="6"/>
      <c r="D83" s="6"/>
      <c r="E83" s="6"/>
      <c r="F83" s="6"/>
      <c r="G83" s="6"/>
      <c r="H83" s="10">
        <f>'LBP NO. 2'!M67</f>
        <v>9500000</v>
      </c>
      <c r="I83" s="6"/>
      <c r="J83" s="41"/>
    </row>
    <row r="84" spans="1:10">
      <c r="A84" s="6"/>
      <c r="B84" s="6" t="s">
        <v>197</v>
      </c>
      <c r="C84" s="6"/>
      <c r="D84" s="6"/>
      <c r="E84" s="6"/>
      <c r="F84" s="6"/>
      <c r="G84" s="6"/>
      <c r="H84" s="10">
        <f>'LBP NO. 2'!M140</f>
        <v>750000</v>
      </c>
      <c r="I84" s="6"/>
      <c r="J84" s="41"/>
    </row>
    <row r="85" spans="1:10">
      <c r="A85" s="6"/>
      <c r="B85" s="6" t="s">
        <v>198</v>
      </c>
      <c r="C85" s="6"/>
      <c r="D85" s="6"/>
      <c r="E85" s="6"/>
      <c r="F85" s="6"/>
      <c r="G85" s="6"/>
      <c r="H85" s="10">
        <f>'LBP NO. 2'!M205</f>
        <v>55000</v>
      </c>
      <c r="I85" s="6"/>
      <c r="J85" s="41"/>
    </row>
    <row r="86" spans="1:10">
      <c r="A86" s="6"/>
      <c r="B86" s="6" t="s">
        <v>199</v>
      </c>
      <c r="C86" s="6"/>
      <c r="D86" s="6"/>
      <c r="E86" s="6"/>
      <c r="F86" s="6"/>
      <c r="G86" s="6"/>
      <c r="H86" s="10">
        <f>'LBP NO. 2'!M275</f>
        <v>70000</v>
      </c>
      <c r="I86" s="6"/>
      <c r="J86" s="41"/>
    </row>
    <row r="87" spans="1:10">
      <c r="A87" s="6"/>
      <c r="B87" s="6" t="s">
        <v>200</v>
      </c>
      <c r="C87" s="6"/>
      <c r="D87" s="6"/>
      <c r="E87" s="6"/>
      <c r="F87" s="6"/>
      <c r="G87" s="6"/>
      <c r="H87" s="10">
        <f>'LBP NO. 2'!M342</f>
        <v>0</v>
      </c>
      <c r="I87" s="6"/>
      <c r="J87" s="41"/>
    </row>
    <row r="88" spans="1:10">
      <c r="A88" s="6"/>
      <c r="B88" s="6" t="s">
        <v>201</v>
      </c>
      <c r="C88" s="6"/>
      <c r="D88" s="6"/>
      <c r="E88" s="6"/>
      <c r="F88" s="6"/>
      <c r="G88" s="6"/>
      <c r="H88" s="10">
        <f>'LBP NO. 2'!M412</f>
        <v>180000</v>
      </c>
      <c r="I88" s="6"/>
      <c r="J88" s="41"/>
    </row>
    <row r="89" spans="1:10">
      <c r="A89" s="6"/>
      <c r="B89" s="6" t="s">
        <v>202</v>
      </c>
      <c r="C89" s="6"/>
      <c r="D89" s="6"/>
      <c r="E89" s="6"/>
      <c r="F89" s="6"/>
      <c r="G89" s="6"/>
      <c r="H89" s="10">
        <f>'LBP NO. 2'!M483</f>
        <v>430000</v>
      </c>
      <c r="I89" s="6"/>
      <c r="J89" s="41"/>
    </row>
    <row r="90" spans="1:10">
      <c r="A90" s="6"/>
      <c r="B90" s="6" t="s">
        <v>203</v>
      </c>
      <c r="C90" s="6"/>
      <c r="D90" s="6"/>
      <c r="E90" s="6"/>
      <c r="F90" s="6"/>
      <c r="G90" s="6"/>
      <c r="H90" s="10">
        <f>'LBP NO. 2'!M548</f>
        <v>65000</v>
      </c>
      <c r="I90" s="6"/>
      <c r="J90" s="41"/>
    </row>
    <row r="91" spans="1:10">
      <c r="A91" s="6"/>
      <c r="B91" s="6" t="s">
        <v>260</v>
      </c>
      <c r="C91" s="6"/>
      <c r="D91" s="6"/>
      <c r="E91" s="6"/>
      <c r="F91" s="6"/>
      <c r="G91" s="6"/>
      <c r="H91" s="10">
        <f>'LBP NO. 2'!M617</f>
        <v>220000</v>
      </c>
      <c r="I91" s="6"/>
      <c r="J91" s="41"/>
    </row>
    <row r="92" spans="1:10">
      <c r="A92" s="6"/>
      <c r="B92" s="6" t="s">
        <v>211</v>
      </c>
      <c r="C92" s="6"/>
      <c r="D92" s="6"/>
      <c r="E92" s="6"/>
      <c r="F92" s="6"/>
      <c r="G92" s="6"/>
      <c r="H92" s="10">
        <f>'LBP NO. 2'!M689</f>
        <v>675000</v>
      </c>
      <c r="I92" s="6"/>
      <c r="J92" s="41"/>
    </row>
    <row r="93" spans="1:10">
      <c r="A93" s="6"/>
      <c r="B93" s="6" t="s">
        <v>206</v>
      </c>
      <c r="G93" s="6"/>
      <c r="H93" s="10">
        <f>'LBP NO. 2'!M756</f>
        <v>120000</v>
      </c>
      <c r="I93" s="6"/>
      <c r="J93" s="41"/>
    </row>
    <row r="94" spans="1:10">
      <c r="A94" s="6"/>
      <c r="B94" s="6" t="s">
        <v>207</v>
      </c>
      <c r="C94" s="6"/>
      <c r="D94" s="6"/>
      <c r="E94" s="6"/>
      <c r="F94" s="18"/>
      <c r="G94" s="18"/>
      <c r="H94" s="10">
        <f>'LBP NO. 2'!M825</f>
        <v>500000</v>
      </c>
      <c r="I94" s="6"/>
      <c r="J94" s="41"/>
    </row>
    <row r="95" spans="1:10">
      <c r="A95" s="6"/>
      <c r="B95" s="6" t="s">
        <v>208</v>
      </c>
      <c r="C95" s="6"/>
      <c r="D95" s="6"/>
      <c r="E95" s="6"/>
      <c r="F95" s="18"/>
      <c r="G95" s="18"/>
      <c r="H95" s="16">
        <f>'LBP NO. 2'!M886</f>
        <v>90000</v>
      </c>
      <c r="I95" s="6"/>
      <c r="J95" s="50"/>
    </row>
    <row r="96" spans="1:10">
      <c r="A96" s="6"/>
      <c r="B96" s="6" t="s">
        <v>259</v>
      </c>
      <c r="C96" s="6"/>
      <c r="D96" s="6"/>
      <c r="E96" s="6"/>
      <c r="F96" s="18"/>
      <c r="G96" s="18"/>
      <c r="H96" s="16">
        <f>'LBP NO. 2'!M952</f>
        <v>250000</v>
      </c>
      <c r="I96" s="6"/>
      <c r="J96" s="50"/>
    </row>
    <row r="97" spans="1:10">
      <c r="A97" s="6"/>
      <c r="B97" s="6"/>
      <c r="C97" s="6"/>
      <c r="D97" s="19" t="s">
        <v>239</v>
      </c>
      <c r="G97" s="18"/>
      <c r="H97" s="20">
        <f>SUM(H83:H96)</f>
        <v>12905000</v>
      </c>
      <c r="I97" s="6"/>
      <c r="J97" s="50">
        <f>H97-'LBP NO. 7'!L62</f>
        <v>0</v>
      </c>
    </row>
    <row r="98" spans="1:10">
      <c r="A98" s="6"/>
      <c r="B98" s="6"/>
      <c r="C98" s="6"/>
      <c r="D98" s="19"/>
      <c r="G98" s="18"/>
      <c r="H98" s="17"/>
      <c r="I98" s="6"/>
      <c r="J98" s="50"/>
    </row>
    <row r="99" spans="1:10">
      <c r="A99" s="6"/>
      <c r="B99" s="6"/>
      <c r="C99" s="6"/>
      <c r="D99" s="19"/>
      <c r="G99" s="18"/>
      <c r="H99" s="17"/>
      <c r="I99" s="6"/>
      <c r="J99" s="50"/>
    </row>
    <row r="100" spans="1:10">
      <c r="A100" s="6"/>
      <c r="B100" s="6"/>
      <c r="C100" s="6"/>
      <c r="D100" s="19"/>
      <c r="G100" s="18"/>
      <c r="H100" s="17"/>
      <c r="I100" s="6"/>
      <c r="J100" s="50"/>
    </row>
    <row r="101" spans="1:10">
      <c r="A101" s="6"/>
      <c r="B101" s="6"/>
      <c r="C101" s="6"/>
      <c r="D101" s="19"/>
      <c r="G101" s="18"/>
      <c r="H101" s="17"/>
      <c r="I101" s="6"/>
      <c r="J101" s="50"/>
    </row>
    <row r="102" spans="1:10">
      <c r="A102" s="6"/>
      <c r="B102" s="6"/>
      <c r="C102" s="6"/>
      <c r="D102" s="19"/>
      <c r="G102" s="18"/>
      <c r="H102" s="17"/>
      <c r="I102" s="6"/>
      <c r="J102" s="50"/>
    </row>
    <row r="103" spans="1:10">
      <c r="A103" s="6"/>
      <c r="B103" s="6"/>
      <c r="C103" s="6"/>
      <c r="D103" s="19"/>
      <c r="G103" s="18"/>
      <c r="H103" s="17"/>
      <c r="I103" s="6"/>
      <c r="J103" s="50"/>
    </row>
    <row r="104" spans="1:10">
      <c r="A104" s="6"/>
      <c r="B104" s="6"/>
      <c r="C104" s="6"/>
      <c r="D104" s="19"/>
      <c r="G104" s="18"/>
      <c r="H104" s="17"/>
      <c r="I104" s="6"/>
      <c r="J104" s="50"/>
    </row>
    <row r="105" spans="1:10">
      <c r="A105" s="6"/>
      <c r="B105" s="6"/>
      <c r="C105" s="6"/>
      <c r="D105" s="19"/>
      <c r="G105" s="18"/>
      <c r="H105" s="17"/>
      <c r="I105" s="6"/>
      <c r="J105" s="50"/>
    </row>
    <row r="106" spans="1:10">
      <c r="A106" s="6"/>
      <c r="B106" s="6"/>
      <c r="C106" s="6"/>
      <c r="D106" s="19"/>
      <c r="G106" s="18"/>
      <c r="H106" s="17"/>
      <c r="I106" s="6"/>
      <c r="J106" s="50"/>
    </row>
    <row r="107" spans="1:10">
      <c r="A107" s="6"/>
      <c r="B107" s="6"/>
      <c r="C107" s="6"/>
      <c r="D107" s="19"/>
      <c r="G107" s="18"/>
      <c r="H107" s="17"/>
      <c r="I107" s="6"/>
      <c r="J107" s="50"/>
    </row>
    <row r="108" spans="1:10">
      <c r="A108" s="6"/>
      <c r="B108" s="6"/>
      <c r="C108" s="6"/>
      <c r="D108" s="19"/>
      <c r="G108" s="18"/>
      <c r="H108" s="17"/>
      <c r="I108" s="6"/>
      <c r="J108" s="50"/>
    </row>
    <row r="109" spans="1:10">
      <c r="A109" s="6"/>
      <c r="B109" s="6"/>
      <c r="C109" s="6"/>
      <c r="D109" s="19"/>
      <c r="G109" s="18"/>
      <c r="H109" s="17"/>
      <c r="I109" s="6"/>
      <c r="J109" s="50"/>
    </row>
    <row r="110" spans="1:10">
      <c r="A110" s="6"/>
      <c r="B110" s="6"/>
      <c r="C110" s="6"/>
      <c r="D110" s="19"/>
      <c r="G110" s="18"/>
      <c r="H110" s="17"/>
      <c r="I110" s="6"/>
      <c r="J110" s="50"/>
    </row>
    <row r="111" spans="1:10">
      <c r="A111" s="6"/>
      <c r="B111" s="6"/>
      <c r="C111" s="6"/>
      <c r="D111" s="19"/>
      <c r="G111" s="18"/>
      <c r="H111" s="17"/>
      <c r="I111" s="6"/>
      <c r="J111" s="50"/>
    </row>
    <row r="112" spans="1:10">
      <c r="A112" s="6"/>
      <c r="B112" s="6"/>
      <c r="C112" s="6"/>
      <c r="D112" s="19"/>
      <c r="G112" s="18"/>
      <c r="H112" s="17"/>
      <c r="I112" s="6"/>
      <c r="J112" s="50"/>
    </row>
    <row r="113" spans="1:10">
      <c r="A113" s="6"/>
      <c r="B113" s="6"/>
      <c r="C113" s="6"/>
      <c r="D113" s="19"/>
      <c r="G113" s="18"/>
      <c r="H113" s="17"/>
      <c r="I113" s="6"/>
      <c r="J113" s="50"/>
    </row>
    <row r="114" spans="1:10">
      <c r="A114" s="6"/>
      <c r="B114" s="6"/>
      <c r="C114" s="6"/>
      <c r="D114" s="19"/>
      <c r="G114" s="18"/>
      <c r="H114" s="17"/>
      <c r="I114" s="6"/>
      <c r="J114" s="50"/>
    </row>
    <row r="115" spans="1:10">
      <c r="A115" s="6"/>
      <c r="B115" s="6"/>
      <c r="C115" s="6"/>
      <c r="D115" s="19"/>
      <c r="G115" s="18"/>
      <c r="H115" s="17"/>
      <c r="I115" s="6"/>
      <c r="J115" s="50"/>
    </row>
    <row r="116" spans="1:10">
      <c r="A116" s="6"/>
      <c r="B116" s="6"/>
      <c r="C116" s="6"/>
      <c r="D116" s="19"/>
      <c r="G116" s="18"/>
      <c r="H116" s="17"/>
      <c r="I116" s="6"/>
      <c r="J116" s="50"/>
    </row>
    <row r="117" spans="1:10">
      <c r="A117" s="6"/>
      <c r="B117" s="6"/>
      <c r="C117" s="6"/>
      <c r="D117" s="19"/>
      <c r="G117" s="18"/>
      <c r="H117" s="17"/>
      <c r="I117" s="6"/>
      <c r="J117" s="50"/>
    </row>
    <row r="118" spans="1:10">
      <c r="A118" s="6"/>
      <c r="B118" s="6"/>
      <c r="C118" s="6"/>
      <c r="D118" s="19"/>
      <c r="G118" s="18"/>
      <c r="H118" s="17"/>
      <c r="I118" s="6"/>
      <c r="J118" s="50"/>
    </row>
    <row r="119" spans="1:10">
      <c r="A119" s="6"/>
      <c r="B119" s="6"/>
      <c r="C119" s="6"/>
      <c r="D119" s="19"/>
      <c r="G119" s="18"/>
      <c r="H119" s="17"/>
      <c r="I119" s="6"/>
      <c r="J119" s="50"/>
    </row>
    <row r="120" spans="1:10">
      <c r="A120" s="6"/>
      <c r="B120" s="6"/>
      <c r="C120" s="6"/>
      <c r="D120" s="19"/>
      <c r="G120" s="18"/>
      <c r="H120" s="17"/>
      <c r="I120" s="6"/>
      <c r="J120" s="50"/>
    </row>
    <row r="121" spans="1:10">
      <c r="A121" s="6"/>
      <c r="B121" s="6"/>
      <c r="C121" s="6"/>
      <c r="D121" s="19"/>
      <c r="G121" s="18"/>
      <c r="H121" s="17"/>
      <c r="I121" s="6"/>
      <c r="J121" s="50"/>
    </row>
    <row r="122" spans="1:10">
      <c r="A122" s="6"/>
      <c r="B122" s="6"/>
      <c r="C122" s="6"/>
      <c r="D122" s="19"/>
      <c r="G122" s="18"/>
      <c r="H122" s="17"/>
      <c r="I122" s="6"/>
      <c r="J122" s="50"/>
    </row>
    <row r="123" spans="1:10">
      <c r="A123" s="6"/>
      <c r="B123" s="6"/>
      <c r="C123" s="6"/>
      <c r="D123" s="19"/>
      <c r="G123" s="18"/>
      <c r="H123" s="17"/>
      <c r="I123" s="6"/>
      <c r="J123" s="50"/>
    </row>
    <row r="124" spans="1:10">
      <c r="A124" s="6"/>
      <c r="B124" s="6"/>
      <c r="C124" s="6"/>
      <c r="D124" s="19"/>
      <c r="G124" s="18"/>
      <c r="H124" s="17"/>
      <c r="I124" s="6"/>
      <c r="J124" s="50"/>
    </row>
    <row r="125" spans="1:10">
      <c r="A125" s="6"/>
      <c r="B125" s="6"/>
      <c r="C125" s="6"/>
      <c r="D125" s="19"/>
      <c r="G125" s="18"/>
      <c r="H125" s="17"/>
      <c r="I125" s="6"/>
      <c r="J125" s="50"/>
    </row>
    <row r="126" spans="1:10">
      <c r="A126" s="6"/>
      <c r="B126" s="6"/>
      <c r="C126" s="6"/>
      <c r="D126" s="19"/>
      <c r="G126" s="18"/>
      <c r="H126" s="17"/>
      <c r="I126" s="6"/>
      <c r="J126" s="50"/>
    </row>
    <row r="127" spans="1:10">
      <c r="A127" s="6"/>
      <c r="B127" s="6"/>
      <c r="C127" s="6"/>
      <c r="D127" s="19"/>
      <c r="G127" s="18"/>
      <c r="H127" s="17"/>
      <c r="I127" s="6"/>
      <c r="J127" s="50"/>
    </row>
    <row r="128" spans="1:10">
      <c r="A128" s="6"/>
      <c r="B128" s="6"/>
      <c r="C128" s="6"/>
      <c r="D128" s="19"/>
      <c r="G128" s="18"/>
      <c r="H128" s="17"/>
      <c r="I128" s="6"/>
      <c r="J128" s="50"/>
    </row>
    <row r="129" spans="1:10" ht="23.25">
      <c r="A129" s="1494" t="s">
        <v>1490</v>
      </c>
      <c r="B129" s="1494"/>
      <c r="C129" s="1494"/>
      <c r="D129" s="1494"/>
      <c r="E129" s="1494"/>
      <c r="F129" s="1494"/>
      <c r="G129" s="1494"/>
      <c r="H129" s="1494"/>
      <c r="I129" s="1494"/>
      <c r="J129" s="50"/>
    </row>
    <row r="130" spans="1:10" s="1" customFormat="1" ht="15.95" customHeight="1">
      <c r="A130" s="269"/>
      <c r="B130" s="269"/>
      <c r="C130" s="269"/>
      <c r="D130" s="269"/>
      <c r="E130" s="269"/>
      <c r="F130" s="269"/>
      <c r="G130" s="269"/>
      <c r="H130" s="269"/>
      <c r="I130" s="269"/>
      <c r="J130" s="269"/>
    </row>
    <row r="133" spans="1:10" ht="16.5">
      <c r="A133" s="1492" t="s">
        <v>177</v>
      </c>
      <c r="B133" s="1492"/>
      <c r="C133" s="1492"/>
      <c r="D133" s="1492"/>
      <c r="E133" s="1492"/>
      <c r="F133" s="1492"/>
      <c r="G133" s="1492"/>
      <c r="H133" s="1492"/>
      <c r="I133" s="1492"/>
    </row>
    <row r="134" spans="1:10" ht="16.5">
      <c r="A134" s="1492" t="s">
        <v>178</v>
      </c>
      <c r="B134" s="1492"/>
      <c r="C134" s="1492"/>
      <c r="D134" s="1492"/>
      <c r="E134" s="1492"/>
      <c r="F134" s="1492"/>
      <c r="G134" s="1492"/>
      <c r="H134" s="1492"/>
      <c r="I134" s="1492"/>
    </row>
    <row r="135" spans="1:10">
      <c r="A135" s="1493" t="s">
        <v>179</v>
      </c>
      <c r="B135" s="1493"/>
      <c r="C135" s="1493"/>
      <c r="D135" s="1493"/>
      <c r="E135" s="1493"/>
      <c r="F135" s="1493"/>
      <c r="G135" s="1493"/>
      <c r="H135" s="1493"/>
      <c r="I135" s="1493"/>
    </row>
    <row r="136" spans="1:10">
      <c r="A136" s="103"/>
      <c r="B136" s="103"/>
      <c r="C136" s="103"/>
      <c r="D136" s="103"/>
      <c r="E136" s="103"/>
      <c r="F136" s="103"/>
      <c r="G136" s="103"/>
      <c r="H136" s="103"/>
      <c r="I136" s="103"/>
    </row>
    <row r="137" spans="1:10">
      <c r="A137" s="103"/>
      <c r="B137" s="103"/>
      <c r="C137" s="103"/>
      <c r="D137" s="103"/>
      <c r="E137" s="103"/>
      <c r="F137" s="103"/>
      <c r="G137" s="103"/>
      <c r="H137" s="103"/>
      <c r="I137" s="103"/>
    </row>
    <row r="138" spans="1:10">
      <c r="A138" s="103"/>
      <c r="B138" s="103"/>
      <c r="C138" s="103"/>
      <c r="D138" s="103"/>
      <c r="E138" s="103"/>
      <c r="F138" s="103"/>
      <c r="G138" s="103"/>
      <c r="H138" s="103"/>
      <c r="I138" s="103"/>
    </row>
    <row r="139" spans="1:10" ht="15.75">
      <c r="A139" s="1490" t="s">
        <v>180</v>
      </c>
      <c r="B139" s="1490"/>
      <c r="C139" s="1490"/>
      <c r="D139" s="1490"/>
      <c r="E139" s="1490"/>
      <c r="F139" s="1490"/>
      <c r="G139" s="1490"/>
      <c r="H139" s="1490"/>
      <c r="I139" s="1490"/>
    </row>
    <row r="140" spans="1:10">
      <c r="A140" s="6"/>
      <c r="B140" s="6"/>
      <c r="C140" s="6"/>
      <c r="D140" s="6"/>
      <c r="E140" s="6"/>
      <c r="F140" s="6"/>
      <c r="G140" s="6"/>
      <c r="H140" s="6"/>
      <c r="I140" s="6"/>
    </row>
    <row r="141" spans="1:10">
      <c r="A141" s="6"/>
      <c r="B141" s="6"/>
      <c r="C141" s="6"/>
      <c r="D141" s="6"/>
      <c r="E141" s="6"/>
      <c r="F141" s="6"/>
      <c r="G141" s="6"/>
      <c r="H141" s="6"/>
      <c r="I141" s="6"/>
    </row>
    <row r="142" spans="1:10" ht="15.75">
      <c r="A142" s="1491" t="s">
        <v>1689</v>
      </c>
      <c r="B142" s="1491"/>
      <c r="C142" s="1491"/>
      <c r="D142" s="1491"/>
      <c r="E142" s="1491"/>
      <c r="F142" s="1491"/>
      <c r="G142" s="1491"/>
      <c r="H142" s="1491"/>
      <c r="I142" s="1491"/>
    </row>
    <row r="143" spans="1:10" ht="15">
      <c r="A143" s="106"/>
      <c r="B143" s="106"/>
      <c r="C143" s="106"/>
      <c r="D143" s="106"/>
      <c r="E143" s="106"/>
      <c r="F143" s="106"/>
      <c r="G143" s="106"/>
      <c r="H143" s="106"/>
      <c r="I143" s="106"/>
    </row>
    <row r="144" spans="1:10">
      <c r="A144" s="6"/>
      <c r="B144" s="6"/>
      <c r="C144" s="6"/>
      <c r="D144" s="6"/>
      <c r="E144" s="6"/>
      <c r="F144" s="6"/>
      <c r="G144" s="6"/>
      <c r="H144" s="6"/>
      <c r="I144" s="6"/>
    </row>
    <row r="145" spans="1:11">
      <c r="A145" s="6"/>
      <c r="B145" s="7" t="s">
        <v>212</v>
      </c>
      <c r="C145" s="6"/>
      <c r="D145" s="6"/>
      <c r="E145" s="6"/>
      <c r="F145" s="6"/>
      <c r="G145" s="6"/>
      <c r="H145" s="6"/>
      <c r="I145" s="6"/>
    </row>
    <row r="146" spans="1:11">
      <c r="A146" s="6"/>
      <c r="B146" s="6" t="s">
        <v>213</v>
      </c>
      <c r="C146" s="6"/>
      <c r="D146" s="6"/>
      <c r="E146" s="6"/>
      <c r="F146" s="6"/>
      <c r="G146" s="6"/>
      <c r="H146" s="10">
        <f>'LBP NO. 2a'!K52</f>
        <v>8450651</v>
      </c>
      <c r="I146" s="6"/>
      <c r="J146" s="10"/>
      <c r="K146" s="10"/>
    </row>
    <row r="147" spans="1:11">
      <c r="A147" s="22"/>
      <c r="B147" s="6" t="s">
        <v>844</v>
      </c>
      <c r="C147" s="22"/>
      <c r="D147" s="22"/>
      <c r="E147" s="22"/>
      <c r="F147" s="22"/>
      <c r="G147" s="22"/>
      <c r="H147" s="10">
        <f>'LBP NO. 2a'!K135+'LBP NO. 2a'!K199-H148</f>
        <v>82268639.079999998</v>
      </c>
      <c r="I147" s="6"/>
      <c r="J147" s="10"/>
      <c r="K147" s="10"/>
    </row>
    <row r="148" spans="1:11">
      <c r="A148" s="22"/>
      <c r="B148" s="6" t="s">
        <v>264</v>
      </c>
      <c r="C148" s="22"/>
      <c r="D148" s="22"/>
      <c r="E148" s="22"/>
      <c r="F148" s="22"/>
      <c r="G148" s="22"/>
      <c r="H148" s="10">
        <f>'LBP NO. 2a'!K96</f>
        <v>11580690.699999999</v>
      </c>
      <c r="I148" s="6"/>
      <c r="J148" s="16"/>
      <c r="K148" s="10"/>
    </row>
    <row r="149" spans="1:11" ht="13.5" thickBot="1">
      <c r="A149" s="6"/>
      <c r="B149" s="6"/>
      <c r="C149" s="6"/>
      <c r="D149" s="7" t="s">
        <v>232</v>
      </c>
      <c r="E149" s="6"/>
      <c r="F149" s="7"/>
      <c r="G149" s="6"/>
      <c r="H149" s="23">
        <f>SUM(H146:H148)</f>
        <v>102299980.78</v>
      </c>
      <c r="I149" s="6"/>
      <c r="J149" s="16"/>
      <c r="K149" s="10"/>
    </row>
    <row r="150" spans="1:11">
      <c r="A150" s="6"/>
      <c r="B150" s="6"/>
      <c r="C150" s="6"/>
      <c r="D150" s="6"/>
      <c r="E150" s="6"/>
      <c r="F150" s="6"/>
      <c r="G150" s="6"/>
      <c r="H150" s="6"/>
      <c r="I150" s="6"/>
      <c r="J150" s="10"/>
      <c r="K150" s="10"/>
    </row>
    <row r="151" spans="1:11">
      <c r="A151" s="6"/>
      <c r="B151" s="6"/>
      <c r="C151" s="7" t="s">
        <v>233</v>
      </c>
      <c r="D151" s="6"/>
      <c r="E151" s="6"/>
      <c r="F151" s="6"/>
      <c r="G151" s="6"/>
      <c r="H151" s="24">
        <f>SUM(H46+H79+H97+H149)</f>
        <v>231534335.78</v>
      </c>
      <c r="I151" s="6"/>
      <c r="J151" s="10"/>
      <c r="K151" s="10"/>
    </row>
    <row r="152" spans="1:11" ht="13.5" thickBot="1">
      <c r="A152" s="6"/>
      <c r="B152" s="6"/>
      <c r="C152" s="6" t="s">
        <v>20</v>
      </c>
      <c r="D152" s="6"/>
      <c r="E152" s="6"/>
      <c r="F152" s="6"/>
      <c r="G152" s="6"/>
      <c r="H152" s="25">
        <f>+H21-H151</f>
        <v>79478.219999998808</v>
      </c>
      <c r="I152" s="6"/>
      <c r="J152" s="10"/>
      <c r="K152" s="10"/>
    </row>
    <row r="153" spans="1:11" ht="13.5" thickTop="1">
      <c r="A153" s="6"/>
      <c r="B153" s="6"/>
      <c r="C153" s="6"/>
      <c r="D153" s="6"/>
      <c r="E153" s="6"/>
      <c r="F153" s="6"/>
      <c r="G153" s="6"/>
      <c r="H153" s="878"/>
      <c r="I153" s="6"/>
      <c r="J153" s="10"/>
      <c r="K153" s="10"/>
    </row>
    <row r="154" spans="1:11">
      <c r="A154" s="6"/>
      <c r="B154" s="6"/>
      <c r="C154" s="6"/>
      <c r="D154" s="6"/>
      <c r="E154" s="6"/>
      <c r="F154" s="6"/>
      <c r="G154" s="6"/>
      <c r="H154" s="6"/>
      <c r="I154" s="6"/>
      <c r="J154" s="10"/>
      <c r="K154" s="10"/>
    </row>
    <row r="155" spans="1:11">
      <c r="A155" s="6"/>
      <c r="B155" s="7" t="s">
        <v>214</v>
      </c>
      <c r="C155" s="6"/>
      <c r="D155" s="6"/>
      <c r="E155" s="6"/>
      <c r="F155" s="6"/>
      <c r="G155" s="6"/>
      <c r="H155" s="6"/>
      <c r="I155" s="6"/>
      <c r="J155" s="10"/>
      <c r="K155" s="10"/>
    </row>
    <row r="156" spans="1:11">
      <c r="A156" s="6"/>
      <c r="B156" s="6" t="s">
        <v>215</v>
      </c>
      <c r="C156" s="6"/>
      <c r="D156" s="6"/>
      <c r="E156" s="6"/>
      <c r="F156" s="6"/>
      <c r="G156" s="6"/>
      <c r="H156" s="10">
        <f>'LBP NO. 2'!M1012</f>
        <v>7209000</v>
      </c>
      <c r="I156" s="6"/>
      <c r="J156" s="10"/>
      <c r="K156" s="10"/>
    </row>
    <row r="157" spans="1:11">
      <c r="A157" s="6"/>
      <c r="B157" s="6" t="s">
        <v>216</v>
      </c>
      <c r="C157" s="6"/>
      <c r="D157" s="6"/>
      <c r="E157" s="6"/>
      <c r="F157" s="6"/>
      <c r="G157" s="6"/>
      <c r="H157" s="10">
        <f>'LBP NO. 2'!M1024</f>
        <v>1156000</v>
      </c>
      <c r="I157" s="6"/>
      <c r="J157" s="10"/>
      <c r="K157" s="10"/>
    </row>
    <row r="158" spans="1:11">
      <c r="A158" s="6"/>
      <c r="B158" s="6" t="s">
        <v>217</v>
      </c>
      <c r="C158" s="6"/>
      <c r="D158" s="6"/>
      <c r="E158" s="6"/>
      <c r="F158" s="6"/>
      <c r="G158" s="6"/>
      <c r="H158" s="10">
        <f>'LBP NO. 2'!M1031</f>
        <v>260000</v>
      </c>
      <c r="I158" s="6"/>
      <c r="J158" s="10"/>
      <c r="K158" s="10"/>
    </row>
    <row r="159" spans="1:11" hidden="1">
      <c r="A159" s="6"/>
      <c r="B159" s="6" t="s">
        <v>265</v>
      </c>
      <c r="C159" s="6"/>
      <c r="D159" s="6"/>
      <c r="E159" s="6"/>
      <c r="F159" s="6"/>
      <c r="H159" s="10">
        <f>'LBP NO. 1'!N307</f>
        <v>0</v>
      </c>
      <c r="I159" s="6"/>
      <c r="J159" s="10"/>
      <c r="K159" s="10"/>
    </row>
    <row r="160" spans="1:11">
      <c r="A160" s="6"/>
      <c r="B160" s="6"/>
      <c r="C160" s="6"/>
      <c r="D160" s="6"/>
      <c r="E160" s="6"/>
      <c r="F160" s="6"/>
      <c r="G160" s="6"/>
      <c r="H160" s="10"/>
      <c r="I160" s="6"/>
      <c r="J160" s="10"/>
      <c r="K160" s="10"/>
    </row>
    <row r="161" spans="1:11">
      <c r="A161" s="6"/>
      <c r="B161" s="6"/>
      <c r="C161" s="7" t="s">
        <v>234</v>
      </c>
      <c r="D161" s="6"/>
      <c r="E161" s="6"/>
      <c r="F161" s="6"/>
      <c r="G161" s="6"/>
      <c r="H161" s="24">
        <f>SUM(H156:H160)</f>
        <v>8625000</v>
      </c>
      <c r="I161" s="6"/>
      <c r="J161" s="10"/>
      <c r="K161" s="10"/>
    </row>
    <row r="162" spans="1:11" ht="13.5" thickBot="1">
      <c r="A162" s="6"/>
      <c r="B162" s="6"/>
      <c r="C162" s="6" t="s">
        <v>240</v>
      </c>
      <c r="D162" s="6"/>
      <c r="E162" s="6"/>
      <c r="F162" s="6"/>
      <c r="G162" s="6"/>
      <c r="H162" s="25">
        <f>+H25-H161</f>
        <v>0</v>
      </c>
      <c r="I162" s="6"/>
      <c r="J162" s="10"/>
      <c r="K162" s="10"/>
    </row>
    <row r="163" spans="1:11" ht="13.5" thickTop="1">
      <c r="A163" s="6"/>
      <c r="B163" s="6"/>
      <c r="C163" s="6"/>
      <c r="D163" s="6"/>
      <c r="E163" s="6"/>
      <c r="F163" s="6"/>
      <c r="G163" s="6"/>
      <c r="H163" s="6"/>
      <c r="I163" s="6"/>
      <c r="J163" s="10"/>
      <c r="K163" s="10"/>
    </row>
    <row r="164" spans="1:11">
      <c r="A164" s="6"/>
      <c r="B164" s="6"/>
      <c r="C164" s="6"/>
      <c r="D164" s="6"/>
      <c r="E164" s="6"/>
      <c r="F164" s="6"/>
      <c r="G164" s="6"/>
      <c r="H164" s="6"/>
      <c r="I164" s="6"/>
      <c r="J164" s="10"/>
      <c r="K164" s="10"/>
    </row>
    <row r="165" spans="1:11">
      <c r="A165" s="7" t="s">
        <v>235</v>
      </c>
      <c r="B165" s="7"/>
      <c r="C165" s="7" t="s">
        <v>236</v>
      </c>
      <c r="D165" s="6"/>
      <c r="E165" s="6"/>
      <c r="F165" s="6"/>
      <c r="G165" s="6"/>
      <c r="H165" s="6"/>
      <c r="I165" s="6"/>
      <c r="J165" s="10"/>
      <c r="K165" s="10"/>
    </row>
    <row r="166" spans="1:11">
      <c r="A166" s="7"/>
      <c r="B166" s="7"/>
      <c r="C166" s="7"/>
      <c r="D166" s="6"/>
      <c r="E166" s="6"/>
      <c r="F166" s="6"/>
      <c r="G166" s="6"/>
      <c r="H166" s="6"/>
      <c r="I166" s="6"/>
      <c r="J166" s="10"/>
      <c r="K166" s="10"/>
    </row>
    <row r="167" spans="1:11">
      <c r="A167" s="6"/>
      <c r="B167" s="7" t="s">
        <v>227</v>
      </c>
      <c r="C167" s="6"/>
      <c r="D167" s="6"/>
      <c r="E167" s="6"/>
      <c r="F167" s="6"/>
      <c r="G167" s="6"/>
      <c r="H167" s="6"/>
      <c r="I167" s="6"/>
      <c r="J167" s="10"/>
      <c r="K167" s="10"/>
    </row>
    <row r="168" spans="1:11">
      <c r="A168" s="6"/>
      <c r="B168" s="6" t="s">
        <v>218</v>
      </c>
      <c r="C168" s="6"/>
      <c r="D168" s="6"/>
      <c r="E168" s="6"/>
      <c r="F168" s="6"/>
      <c r="G168" s="6"/>
      <c r="H168" s="10">
        <f>'LBP NO. 1'!N75</f>
        <v>231613814</v>
      </c>
      <c r="I168" s="6"/>
      <c r="J168" s="10"/>
      <c r="K168" s="10"/>
    </row>
    <row r="169" spans="1:11">
      <c r="A169" s="6"/>
      <c r="B169" s="6" t="s">
        <v>219</v>
      </c>
      <c r="C169" s="6"/>
      <c r="D169" s="6"/>
      <c r="E169" s="6"/>
      <c r="F169" s="6"/>
      <c r="G169" s="6"/>
      <c r="H169" s="11">
        <f>'LBP NO. 1'!N247</f>
        <v>8625000</v>
      </c>
      <c r="I169" s="6"/>
      <c r="J169" s="10"/>
      <c r="K169" s="10"/>
    </row>
    <row r="170" spans="1:11" ht="13.5" thickBot="1">
      <c r="A170" s="6"/>
      <c r="B170" s="6"/>
      <c r="C170" s="7" t="s">
        <v>229</v>
      </c>
      <c r="D170" s="2"/>
      <c r="F170" s="6"/>
      <c r="G170" s="6"/>
      <c r="H170" s="32">
        <f>SUM(H168:H169)</f>
        <v>240238814</v>
      </c>
      <c r="I170" s="6"/>
      <c r="J170" s="10"/>
      <c r="K170" s="10"/>
    </row>
    <row r="171" spans="1:11" ht="13.5" thickTop="1">
      <c r="A171" s="6"/>
      <c r="B171" s="6"/>
      <c r="C171" s="6"/>
      <c r="D171" s="2"/>
      <c r="F171" s="6"/>
      <c r="G171" s="6"/>
      <c r="H171" s="17"/>
      <c r="I171" s="6"/>
      <c r="J171" s="10"/>
      <c r="K171" s="10"/>
    </row>
    <row r="172" spans="1:11">
      <c r="A172" s="6"/>
      <c r="B172" s="7" t="s">
        <v>228</v>
      </c>
      <c r="C172" s="7"/>
      <c r="D172" s="6"/>
      <c r="E172" s="2"/>
      <c r="F172" s="6"/>
      <c r="G172" s="6"/>
      <c r="H172" s="17"/>
      <c r="I172" s="6"/>
      <c r="J172" s="10"/>
      <c r="K172" s="10"/>
    </row>
    <row r="173" spans="1:11">
      <c r="A173" s="6"/>
      <c r="B173" s="6" t="s">
        <v>218</v>
      </c>
      <c r="C173" s="6"/>
      <c r="D173" s="6"/>
      <c r="E173" s="2"/>
      <c r="F173" s="6"/>
      <c r="G173" s="6"/>
      <c r="H173" s="16">
        <f>'LBP NO. 1'!N153</f>
        <v>231534335.78</v>
      </c>
      <c r="I173" s="6"/>
      <c r="J173" s="10"/>
      <c r="K173" s="10"/>
    </row>
    <row r="174" spans="1:11">
      <c r="A174" s="6"/>
      <c r="B174" s="6" t="s">
        <v>219</v>
      </c>
      <c r="C174" s="6"/>
      <c r="D174" s="6"/>
      <c r="E174" s="2"/>
      <c r="F174" s="6"/>
      <c r="G174" s="6"/>
      <c r="H174" s="11">
        <f>'LBP NO. 1'!N308</f>
        <v>8625000</v>
      </c>
      <c r="I174" s="6"/>
      <c r="J174" s="10"/>
      <c r="K174" s="10"/>
    </row>
    <row r="175" spans="1:11" ht="13.5" thickBot="1">
      <c r="A175" s="6"/>
      <c r="B175" s="6"/>
      <c r="C175" s="7" t="s">
        <v>230</v>
      </c>
      <c r="D175" s="6"/>
      <c r="E175" s="2"/>
      <c r="F175" s="6"/>
      <c r="G175" s="6"/>
      <c r="H175" s="12">
        <f>H173+H174</f>
        <v>240159335.78</v>
      </c>
      <c r="I175" s="6"/>
      <c r="J175" s="10"/>
      <c r="K175" s="10"/>
    </row>
    <row r="176" spans="1:11">
      <c r="A176" s="6"/>
      <c r="B176" s="6"/>
      <c r="C176" s="6"/>
      <c r="D176" s="6"/>
      <c r="E176" s="2"/>
      <c r="F176" s="6"/>
      <c r="G176" s="6"/>
      <c r="H176" s="17"/>
      <c r="I176" s="6"/>
      <c r="J176" s="10"/>
      <c r="K176" s="10"/>
    </row>
    <row r="177" spans="1:11">
      <c r="A177" s="6"/>
      <c r="B177" s="7" t="s">
        <v>220</v>
      </c>
      <c r="C177" s="7"/>
      <c r="D177" s="6"/>
      <c r="E177" s="6"/>
      <c r="F177" s="6"/>
      <c r="G177" s="6"/>
      <c r="H177" s="6"/>
      <c r="I177" s="6"/>
      <c r="J177" s="10"/>
      <c r="K177" s="10"/>
    </row>
    <row r="178" spans="1:11">
      <c r="A178" s="6"/>
      <c r="B178" s="6" t="s">
        <v>218</v>
      </c>
      <c r="C178" s="6"/>
      <c r="D178" s="6"/>
      <c r="E178" s="6"/>
      <c r="F178" s="6"/>
      <c r="G178" s="6"/>
      <c r="H178" s="10">
        <f>H152</f>
        <v>79478.219999998808</v>
      </c>
      <c r="I178" s="6"/>
      <c r="J178" s="10"/>
      <c r="K178" s="10"/>
    </row>
    <row r="179" spans="1:11">
      <c r="A179" s="6"/>
      <c r="B179" s="6" t="s">
        <v>219</v>
      </c>
      <c r="C179" s="6"/>
      <c r="D179" s="6"/>
      <c r="E179" s="6"/>
      <c r="F179" s="6"/>
      <c r="G179" s="6"/>
      <c r="H179" s="11">
        <f>H162</f>
        <v>0</v>
      </c>
      <c r="I179" s="6"/>
      <c r="J179" s="10"/>
      <c r="K179" s="10"/>
    </row>
    <row r="180" spans="1:11" ht="13.5" thickBot="1">
      <c r="A180" s="6"/>
      <c r="B180" s="6"/>
      <c r="C180" s="6"/>
      <c r="D180" s="6"/>
      <c r="E180" s="2"/>
      <c r="F180" s="6"/>
      <c r="G180" s="6"/>
      <c r="H180" s="23">
        <f>SUM(H178:H179)</f>
        <v>79478.219999998808</v>
      </c>
      <c r="I180" s="6"/>
      <c r="J180" s="10"/>
      <c r="K180" s="10"/>
    </row>
    <row r="181" spans="1:11" ht="13.5" thickBot="1">
      <c r="A181" s="6"/>
      <c r="B181" s="6"/>
      <c r="C181" s="7" t="s">
        <v>231</v>
      </c>
      <c r="D181" s="6"/>
      <c r="E181" s="7"/>
      <c r="F181" s="6"/>
      <c r="G181" s="6"/>
      <c r="H181" s="25">
        <f>+H175+H180</f>
        <v>240238814</v>
      </c>
      <c r="I181" s="6"/>
      <c r="J181" s="10"/>
      <c r="K181" s="10"/>
    </row>
    <row r="182" spans="1:11" ht="13.5" thickTop="1">
      <c r="A182" s="6"/>
      <c r="B182" s="6"/>
      <c r="C182" s="6"/>
      <c r="D182" s="6"/>
      <c r="E182" s="6"/>
      <c r="F182" s="6"/>
      <c r="G182" s="6"/>
      <c r="H182" s="6"/>
      <c r="I182" s="6"/>
      <c r="J182" s="10"/>
      <c r="K182" s="10"/>
    </row>
    <row r="183" spans="1:11">
      <c r="A183" s="6"/>
      <c r="B183" s="6"/>
      <c r="C183" s="6"/>
      <c r="D183" s="6"/>
      <c r="E183" s="6"/>
      <c r="F183" s="6"/>
      <c r="G183" s="6"/>
      <c r="H183" s="6"/>
      <c r="I183" s="6"/>
      <c r="J183" s="10"/>
      <c r="K183" s="10"/>
    </row>
    <row r="184" spans="1:11">
      <c r="A184" s="6"/>
      <c r="B184" s="6"/>
      <c r="C184" s="6"/>
      <c r="D184" s="6"/>
      <c r="E184" s="6"/>
      <c r="F184" s="6"/>
      <c r="G184" s="6"/>
      <c r="H184" s="6"/>
      <c r="I184" s="6"/>
      <c r="J184" s="10"/>
      <c r="K184" s="10"/>
    </row>
    <row r="185" spans="1:11">
      <c r="A185" s="6"/>
      <c r="B185" s="6"/>
      <c r="C185" s="6"/>
      <c r="D185" s="6"/>
      <c r="E185" s="6"/>
      <c r="F185" s="6"/>
      <c r="G185" s="6"/>
      <c r="H185" s="6"/>
      <c r="I185" s="6"/>
      <c r="J185" s="10"/>
      <c r="K185" s="10"/>
    </row>
    <row r="186" spans="1:11">
      <c r="A186" s="6"/>
      <c r="B186" s="6"/>
      <c r="C186" s="6"/>
      <c r="D186" s="6"/>
      <c r="E186" s="6"/>
      <c r="F186" s="6"/>
      <c r="G186" s="6"/>
      <c r="H186" s="6"/>
      <c r="I186" s="6"/>
      <c r="J186" s="10"/>
      <c r="K186" s="10"/>
    </row>
    <row r="187" spans="1:11">
      <c r="A187" s="6"/>
      <c r="B187" s="6"/>
      <c r="C187" s="6"/>
      <c r="D187" s="6"/>
      <c r="E187" s="6"/>
      <c r="F187" s="6"/>
      <c r="G187" s="6"/>
      <c r="H187" s="6"/>
      <c r="I187" s="6"/>
      <c r="J187" s="10"/>
      <c r="K187" s="10"/>
    </row>
    <row r="188" spans="1:11">
      <c r="A188" s="6"/>
      <c r="B188" s="6"/>
      <c r="C188" s="6"/>
      <c r="D188" s="6"/>
      <c r="E188" s="6"/>
      <c r="F188" s="6"/>
      <c r="G188" s="6"/>
      <c r="H188" s="6"/>
      <c r="I188" s="6"/>
      <c r="J188" s="10"/>
      <c r="K188" s="10"/>
    </row>
    <row r="189" spans="1:11">
      <c r="A189" s="6"/>
      <c r="B189" s="6"/>
      <c r="C189" s="6"/>
      <c r="D189" s="6"/>
      <c r="E189" s="6"/>
      <c r="F189" s="6"/>
      <c r="G189" s="6"/>
      <c r="H189" s="6"/>
      <c r="I189" s="6"/>
      <c r="J189" s="10"/>
      <c r="K189" s="10"/>
    </row>
    <row r="190" spans="1:11">
      <c r="A190" s="6"/>
      <c r="B190" s="7" t="s">
        <v>268</v>
      </c>
      <c r="C190" s="6"/>
      <c r="D190" s="6"/>
      <c r="E190" s="6"/>
      <c r="F190" s="6"/>
      <c r="G190" s="6"/>
      <c r="H190" s="6"/>
      <c r="I190" s="6"/>
      <c r="J190" s="10"/>
      <c r="K190" s="10"/>
    </row>
    <row r="191" spans="1:11">
      <c r="A191" s="6"/>
      <c r="B191" s="6" t="s">
        <v>269</v>
      </c>
      <c r="C191" s="6"/>
      <c r="D191" s="33" t="s">
        <v>273</v>
      </c>
      <c r="E191" s="33"/>
      <c r="F191" s="33"/>
      <c r="G191" s="33"/>
      <c r="H191" s="10">
        <f>'LBP NO. 1'!N75</f>
        <v>231613814</v>
      </c>
      <c r="I191" s="6"/>
      <c r="J191" s="10"/>
      <c r="K191" s="10"/>
    </row>
    <row r="192" spans="1:11">
      <c r="A192" s="6"/>
      <c r="B192" s="6" t="s">
        <v>270</v>
      </c>
      <c r="C192" s="6"/>
      <c r="D192" s="33" t="s">
        <v>273</v>
      </c>
      <c r="E192" s="33"/>
      <c r="F192" s="33"/>
      <c r="G192" s="33"/>
      <c r="H192" s="10">
        <f>SUM('LBP NO. 1'!N153-'LBP NO. 1'!N150)</f>
        <v>219953645.08000001</v>
      </c>
      <c r="I192" s="6"/>
      <c r="J192" s="10"/>
      <c r="K192" s="10"/>
    </row>
    <row r="193" spans="1:11">
      <c r="A193" s="6"/>
      <c r="B193" s="6"/>
      <c r="C193" s="6" t="s">
        <v>271</v>
      </c>
      <c r="D193" s="33" t="s">
        <v>273</v>
      </c>
      <c r="E193" s="33"/>
      <c r="F193" s="33"/>
      <c r="G193" s="33"/>
      <c r="H193" s="11">
        <f>H148</f>
        <v>11580690.699999999</v>
      </c>
      <c r="I193" s="6"/>
      <c r="J193" s="10"/>
      <c r="K193" s="10"/>
    </row>
    <row r="194" spans="1:11" ht="13.5" thickBot="1">
      <c r="A194" s="6"/>
      <c r="B194" s="7" t="s">
        <v>20</v>
      </c>
      <c r="C194" s="7"/>
      <c r="D194" s="33" t="s">
        <v>273</v>
      </c>
      <c r="E194" s="33"/>
      <c r="F194" s="33"/>
      <c r="G194" s="33"/>
      <c r="H194" s="32">
        <f>H191-H192-H193</f>
        <v>79478.219999987632</v>
      </c>
      <c r="I194" s="6"/>
      <c r="J194" s="10"/>
      <c r="K194" s="10"/>
    </row>
    <row r="195" spans="1:11" ht="13.5" thickTop="1">
      <c r="A195" s="6"/>
      <c r="B195" s="6"/>
      <c r="C195" s="6"/>
      <c r="D195" s="6"/>
      <c r="E195" s="6"/>
      <c r="F195" s="6"/>
      <c r="G195" s="6"/>
      <c r="H195" s="10"/>
      <c r="I195" s="6"/>
      <c r="J195" s="10"/>
      <c r="K195" s="10"/>
    </row>
    <row r="196" spans="1:11">
      <c r="A196" s="6"/>
      <c r="B196" s="6"/>
      <c r="C196" s="6"/>
      <c r="D196" s="6"/>
      <c r="E196" s="6"/>
      <c r="F196" s="6"/>
      <c r="G196" s="6"/>
      <c r="H196" s="10"/>
      <c r="I196" s="6"/>
      <c r="J196" s="10"/>
      <c r="K196" s="10"/>
    </row>
    <row r="197" spans="1:11">
      <c r="A197" s="6"/>
      <c r="B197" s="7" t="s">
        <v>272</v>
      </c>
      <c r="C197" s="6"/>
      <c r="D197" s="6"/>
      <c r="E197" s="6"/>
      <c r="F197" s="6"/>
      <c r="G197" s="6"/>
      <c r="H197" s="10"/>
      <c r="I197" s="6"/>
      <c r="J197" s="10"/>
      <c r="K197" s="10"/>
    </row>
    <row r="198" spans="1:11">
      <c r="A198" s="6"/>
      <c r="B198" s="6" t="s">
        <v>269</v>
      </c>
      <c r="C198" s="6"/>
      <c r="D198" s="33" t="s">
        <v>273</v>
      </c>
      <c r="E198" s="33"/>
      <c r="F198" s="33"/>
      <c r="G198" s="33"/>
      <c r="H198" s="10">
        <f>'LBP NO. 1'!N247</f>
        <v>8625000</v>
      </c>
      <c r="I198" s="6"/>
      <c r="J198" s="10"/>
      <c r="K198" s="10"/>
    </row>
    <row r="199" spans="1:11">
      <c r="A199" s="6"/>
      <c r="B199" s="6" t="s">
        <v>270</v>
      </c>
      <c r="C199" s="6"/>
      <c r="D199" s="33" t="s">
        <v>273</v>
      </c>
      <c r="E199" s="33"/>
      <c r="F199" s="33"/>
      <c r="G199" s="33"/>
      <c r="H199" s="10">
        <f>SUM('LBP NO. 1'!N308-'LBP NO. 1'!N307)</f>
        <v>8625000</v>
      </c>
      <c r="I199" s="6"/>
      <c r="J199" s="10"/>
      <c r="K199" s="10"/>
    </row>
    <row r="200" spans="1:11">
      <c r="A200" s="6"/>
      <c r="B200" s="6"/>
      <c r="C200" s="6" t="s">
        <v>271</v>
      </c>
      <c r="D200" s="33" t="s">
        <v>273</v>
      </c>
      <c r="E200" s="33"/>
      <c r="F200" s="33"/>
      <c r="G200" s="33"/>
      <c r="H200" s="11">
        <f>H159</f>
        <v>0</v>
      </c>
      <c r="I200" s="6"/>
      <c r="J200" s="10"/>
      <c r="K200" s="10"/>
    </row>
    <row r="201" spans="1:11" ht="13.5" thickBot="1">
      <c r="A201" s="6"/>
      <c r="B201" s="7" t="s">
        <v>20</v>
      </c>
      <c r="C201" s="7"/>
      <c r="D201" s="33" t="s">
        <v>273</v>
      </c>
      <c r="E201" s="33"/>
      <c r="F201" s="33"/>
      <c r="G201" s="33"/>
      <c r="H201" s="32">
        <f>H198-H199-H200</f>
        <v>0</v>
      </c>
      <c r="I201" s="6"/>
      <c r="J201" s="10"/>
      <c r="K201" s="10"/>
    </row>
    <row r="202" spans="1:11" ht="13.5" thickTop="1">
      <c r="A202" s="6"/>
      <c r="B202" s="6"/>
      <c r="C202" s="6"/>
      <c r="D202" s="6"/>
      <c r="E202" s="6"/>
      <c r="F202" s="6"/>
      <c r="G202" s="6"/>
      <c r="H202" s="10"/>
      <c r="I202" s="6"/>
      <c r="J202" s="10"/>
      <c r="K202" s="10"/>
    </row>
    <row r="203" spans="1:11">
      <c r="A203" s="6"/>
      <c r="B203" s="6"/>
      <c r="C203" s="6"/>
      <c r="D203" s="6"/>
      <c r="E203" s="6"/>
      <c r="F203" s="6"/>
      <c r="G203" s="6"/>
      <c r="H203" s="6"/>
      <c r="I203" s="6"/>
      <c r="J203" s="10"/>
      <c r="K203" s="10"/>
    </row>
    <row r="204" spans="1:11">
      <c r="A204" s="6"/>
      <c r="B204" s="6"/>
      <c r="C204" s="6"/>
      <c r="D204" s="6"/>
      <c r="E204" s="6"/>
      <c r="F204" s="6"/>
      <c r="G204" s="6"/>
      <c r="H204" s="6"/>
      <c r="I204" s="6"/>
      <c r="J204" s="10"/>
      <c r="K204" s="10"/>
    </row>
    <row r="205" spans="1:11">
      <c r="A205" s="6"/>
      <c r="B205" s="6"/>
      <c r="C205" s="6"/>
      <c r="D205" s="6"/>
      <c r="E205" s="6"/>
      <c r="F205" s="6"/>
      <c r="G205" s="6"/>
      <c r="H205" s="6"/>
      <c r="I205" s="6"/>
      <c r="J205" s="10"/>
      <c r="K205" s="10"/>
    </row>
    <row r="206" spans="1:11">
      <c r="A206" s="6"/>
      <c r="B206" s="6"/>
      <c r="C206" s="6"/>
      <c r="D206" s="6"/>
      <c r="E206" s="6"/>
      <c r="F206" s="6"/>
      <c r="G206" s="6"/>
      <c r="H206" s="6"/>
      <c r="I206" s="6"/>
      <c r="J206" s="10"/>
      <c r="K206" s="10"/>
    </row>
    <row r="207" spans="1:11">
      <c r="A207" s="6"/>
      <c r="B207" s="6"/>
      <c r="C207" s="6"/>
      <c r="D207" s="6"/>
      <c r="E207" s="6"/>
      <c r="F207" s="6"/>
      <c r="G207" s="6"/>
      <c r="H207" s="6"/>
      <c r="I207" s="6"/>
      <c r="J207" s="10"/>
      <c r="K207" s="10"/>
    </row>
    <row r="208" spans="1:11">
      <c r="A208" s="6"/>
      <c r="B208" s="6"/>
      <c r="C208" s="6"/>
      <c r="D208" s="6"/>
      <c r="E208" s="6"/>
      <c r="F208" s="6"/>
      <c r="G208" s="6"/>
      <c r="H208" s="6"/>
      <c r="I208" s="6"/>
      <c r="J208" s="10"/>
      <c r="K208" s="10"/>
    </row>
    <row r="209" spans="1:11">
      <c r="A209" s="6"/>
      <c r="B209" s="6"/>
      <c r="C209" s="6"/>
      <c r="D209" s="6"/>
      <c r="E209" s="6"/>
      <c r="F209" s="6"/>
      <c r="G209" s="6"/>
      <c r="H209" s="6"/>
      <c r="I209" s="6"/>
      <c r="J209" s="10"/>
      <c r="K209" s="10"/>
    </row>
    <row r="210" spans="1:11">
      <c r="A210" s="6"/>
      <c r="B210" s="6"/>
      <c r="C210" s="6"/>
      <c r="D210" s="6"/>
      <c r="E210" s="6"/>
      <c r="F210" s="6"/>
      <c r="G210" s="6"/>
      <c r="H210" s="6"/>
      <c r="I210" s="6"/>
      <c r="J210" s="10"/>
      <c r="K210" s="10"/>
    </row>
    <row r="211" spans="1:11">
      <c r="A211" s="6"/>
      <c r="B211" s="6"/>
      <c r="C211" s="6"/>
      <c r="D211" s="6"/>
      <c r="E211" s="6"/>
      <c r="F211" s="6"/>
      <c r="G211" s="6"/>
      <c r="H211" s="6"/>
      <c r="I211" s="6"/>
      <c r="J211" s="10"/>
      <c r="K211" s="10"/>
    </row>
    <row r="212" spans="1:11">
      <c r="A212" s="6"/>
      <c r="B212" s="6"/>
      <c r="C212" s="6"/>
      <c r="D212" s="6"/>
      <c r="E212" s="6"/>
      <c r="F212" s="6"/>
      <c r="G212" s="6"/>
      <c r="H212" s="6"/>
      <c r="I212" s="6"/>
      <c r="J212" s="10"/>
      <c r="K212" s="10"/>
    </row>
    <row r="213" spans="1:11">
      <c r="A213" s="22"/>
      <c r="B213" s="22"/>
      <c r="C213" s="22"/>
      <c r="D213" s="22"/>
      <c r="E213" s="22"/>
      <c r="F213" s="22"/>
      <c r="G213" s="22"/>
      <c r="H213" s="22"/>
      <c r="I213" s="22"/>
      <c r="J213" s="10"/>
      <c r="K213" s="10"/>
    </row>
    <row r="214" spans="1:11">
      <c r="A214" s="22"/>
      <c r="B214" s="22"/>
      <c r="C214" s="22"/>
      <c r="D214" s="22"/>
      <c r="E214" s="22"/>
      <c r="F214" s="22"/>
      <c r="G214" s="22"/>
      <c r="H214" s="22"/>
      <c r="I214" s="22"/>
      <c r="J214" s="10"/>
      <c r="K214" s="10"/>
    </row>
    <row r="215" spans="1:11">
      <c r="A215" s="22"/>
      <c r="B215" s="22"/>
      <c r="C215" s="22"/>
      <c r="D215" s="22"/>
      <c r="E215" s="22"/>
      <c r="F215" s="22"/>
      <c r="G215" s="22"/>
      <c r="H215" s="22"/>
      <c r="I215" s="22"/>
      <c r="J215" s="10"/>
      <c r="K215" s="10"/>
    </row>
    <row r="216" spans="1:11">
      <c r="A216" s="22"/>
      <c r="B216" s="22"/>
      <c r="C216" s="22"/>
      <c r="D216" s="22"/>
      <c r="E216" s="22"/>
      <c r="F216" s="22"/>
      <c r="G216" s="22"/>
      <c r="H216" s="22"/>
      <c r="I216" s="22"/>
      <c r="J216" s="10"/>
      <c r="K216" s="10"/>
    </row>
    <row r="217" spans="1:11">
      <c r="A217" s="22"/>
      <c r="B217" s="22"/>
      <c r="C217" s="22"/>
      <c r="D217" s="22"/>
      <c r="E217" s="22"/>
      <c r="F217" s="22"/>
      <c r="G217" s="22"/>
      <c r="H217" s="22"/>
      <c r="I217" s="22"/>
      <c r="J217" s="10"/>
      <c r="K217" s="10"/>
    </row>
    <row r="218" spans="1:11">
      <c r="A218" s="22"/>
      <c r="B218" s="22"/>
      <c r="C218" s="22"/>
      <c r="D218" s="22"/>
      <c r="E218" s="22"/>
      <c r="F218" s="22"/>
      <c r="G218" s="22"/>
      <c r="H218" s="22"/>
      <c r="I218" s="22"/>
    </row>
    <row r="219" spans="1:11">
      <c r="A219" s="22"/>
      <c r="B219" s="22"/>
      <c r="C219" s="22"/>
      <c r="D219" s="22"/>
      <c r="E219" s="22"/>
      <c r="F219" s="22"/>
      <c r="G219" s="22"/>
      <c r="H219" s="22"/>
      <c r="I219" s="22"/>
    </row>
    <row r="220" spans="1:11">
      <c r="A220" s="22"/>
      <c r="B220" s="22"/>
      <c r="C220" s="22"/>
      <c r="D220" s="22"/>
      <c r="E220" s="22"/>
      <c r="F220" s="22"/>
      <c r="G220" s="22"/>
      <c r="H220" s="22"/>
      <c r="I220" s="22"/>
    </row>
    <row r="221" spans="1:11">
      <c r="A221" s="22"/>
      <c r="B221" s="22"/>
      <c r="C221" s="22"/>
      <c r="D221" s="22"/>
      <c r="E221" s="22"/>
      <c r="F221" s="22"/>
      <c r="G221" s="22"/>
      <c r="H221" s="22"/>
      <c r="I221" s="22"/>
    </row>
    <row r="250" spans="1:14" ht="20.100000000000001" customHeight="1">
      <c r="A250" s="1489">
        <v>4</v>
      </c>
      <c r="B250" s="1489"/>
      <c r="C250" s="1489"/>
      <c r="D250" s="1489"/>
      <c r="E250" s="1489"/>
      <c r="F250" s="1489"/>
      <c r="G250" s="1489"/>
      <c r="H250" s="1489"/>
      <c r="I250" s="1489"/>
    </row>
    <row r="251" spans="1:14" ht="20.25">
      <c r="F251" s="1488"/>
      <c r="G251" s="1488"/>
      <c r="H251" s="1488"/>
      <c r="I251" s="1488"/>
      <c r="J251" s="1488"/>
      <c r="K251" s="1488"/>
      <c r="L251" s="1488"/>
      <c r="M251" s="1488"/>
      <c r="N251" s="1488"/>
    </row>
  </sheetData>
  <mergeCells count="14">
    <mergeCell ref="F251:N251"/>
    <mergeCell ref="A250:I250"/>
    <mergeCell ref="A139:I139"/>
    <mergeCell ref="A142:I142"/>
    <mergeCell ref="A3:I3"/>
    <mergeCell ref="A4:I4"/>
    <mergeCell ref="A5:I5"/>
    <mergeCell ref="A9:I9"/>
    <mergeCell ref="A135:I135"/>
    <mergeCell ref="A11:I11"/>
    <mergeCell ref="A133:I133"/>
    <mergeCell ref="A134:I134"/>
    <mergeCell ref="A63:I63"/>
    <mergeCell ref="A129:I129"/>
  </mergeCells>
  <phoneticPr fontId="8" type="noConversion"/>
  <printOptions horizontalCentered="1"/>
  <pageMargins left="1" right="0" top="1" bottom="0" header="0.3" footer="0"/>
  <pageSetup paperSize="256" orientation="portrait" r:id="rId1"/>
  <headerFooter alignWithMargins="0">
    <oddFooter xml:space="preserve">&amp;C&amp;"Times New Roman,Bold"&amp;14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3"/>
  <sheetViews>
    <sheetView topLeftCell="A19" workbookViewId="0">
      <selection activeCell="L230" sqref="L230"/>
    </sheetView>
  </sheetViews>
  <sheetFormatPr defaultRowHeight="12.75"/>
  <cols>
    <col min="1" max="1" width="3.7109375" customWidth="1"/>
    <col min="2" max="2" width="4.42578125" customWidth="1"/>
    <col min="3" max="3" width="4.28515625" customWidth="1"/>
    <col min="4" max="4" width="18.42578125" customWidth="1"/>
    <col min="8" max="8" width="8.85546875" customWidth="1"/>
    <col min="9" max="9" width="15" bestFit="1" customWidth="1"/>
    <col min="10" max="10" width="14.5703125" customWidth="1"/>
    <col min="11" max="11" width="14" bestFit="1" customWidth="1"/>
    <col min="12" max="12" width="11.28515625" bestFit="1" customWidth="1"/>
  </cols>
  <sheetData>
    <row r="1" spans="1:10" ht="15" customHeight="1">
      <c r="A1" s="1445" t="s">
        <v>883</v>
      </c>
      <c r="B1" s="1445"/>
      <c r="C1" s="1445"/>
      <c r="D1" s="1445"/>
      <c r="E1" s="1445"/>
      <c r="F1" s="1445"/>
      <c r="G1" s="1445"/>
      <c r="H1" s="1445"/>
      <c r="I1" s="1445"/>
      <c r="J1" s="1445"/>
    </row>
    <row r="2" spans="1:10" ht="15" customHeight="1">
      <c r="A2" s="1445" t="s">
        <v>178</v>
      </c>
      <c r="B2" s="1445"/>
      <c r="C2" s="1445"/>
      <c r="D2" s="1445"/>
      <c r="E2" s="1445"/>
      <c r="F2" s="1445"/>
      <c r="G2" s="1445"/>
      <c r="H2" s="1445"/>
      <c r="I2" s="1445"/>
      <c r="J2" s="1445"/>
    </row>
    <row r="3" spans="1:10" ht="15" customHeight="1">
      <c r="A3" s="1445" t="s">
        <v>179</v>
      </c>
      <c r="B3" s="1445"/>
      <c r="C3" s="1445"/>
      <c r="D3" s="1445"/>
      <c r="E3" s="1445"/>
      <c r="F3" s="1445"/>
      <c r="G3" s="1445"/>
      <c r="H3" s="1445"/>
      <c r="I3" s="1445"/>
      <c r="J3" s="1445"/>
    </row>
    <row r="4" spans="1:10" ht="15" customHeight="1">
      <c r="A4" s="6"/>
      <c r="B4" s="6"/>
      <c r="C4" s="6"/>
      <c r="D4" s="6"/>
      <c r="E4" s="6"/>
      <c r="F4" s="6"/>
      <c r="G4" s="6"/>
      <c r="H4" s="6"/>
      <c r="I4" s="6"/>
      <c r="J4" s="6"/>
    </row>
    <row r="5" spans="1:10" ht="15" customHeight="1">
      <c r="A5" s="6"/>
      <c r="B5" s="6"/>
      <c r="C5" s="6"/>
      <c r="D5" s="6"/>
      <c r="E5" s="6"/>
      <c r="F5" s="6"/>
      <c r="G5" s="6"/>
      <c r="H5" s="6"/>
      <c r="I5" s="6"/>
      <c r="J5" s="6"/>
    </row>
    <row r="6" spans="1:10" ht="15" customHeight="1">
      <c r="A6" s="6"/>
      <c r="B6" s="6"/>
      <c r="C6" s="6"/>
      <c r="D6" s="6"/>
      <c r="E6" s="6"/>
      <c r="F6" s="6"/>
      <c r="G6" s="6"/>
      <c r="H6" s="6"/>
      <c r="I6" s="6"/>
      <c r="J6" s="6"/>
    </row>
    <row r="7" spans="1:10" ht="23.25">
      <c r="A7" s="1495" t="s">
        <v>1690</v>
      </c>
      <c r="B7" s="1495"/>
      <c r="C7" s="1495"/>
      <c r="D7" s="1495"/>
      <c r="E7" s="1495"/>
      <c r="F7" s="1495"/>
      <c r="G7" s="1495"/>
      <c r="H7" s="1495"/>
      <c r="I7" s="1495"/>
      <c r="J7" s="1495"/>
    </row>
    <row r="8" spans="1:10" ht="7.5" customHeight="1">
      <c r="A8" s="6"/>
      <c r="B8" s="6"/>
      <c r="C8" s="6"/>
      <c r="D8" s="6"/>
      <c r="E8" s="6"/>
      <c r="F8" s="6"/>
      <c r="G8" s="6"/>
      <c r="H8" s="6"/>
      <c r="I8" s="6"/>
      <c r="J8" s="6"/>
    </row>
    <row r="9" spans="1:10" ht="7.5" customHeight="1">
      <c r="A9" s="6"/>
      <c r="B9" s="6"/>
      <c r="C9" s="6"/>
      <c r="D9" s="6"/>
      <c r="E9" s="6"/>
      <c r="F9" s="6"/>
      <c r="G9" s="6"/>
      <c r="H9" s="6"/>
      <c r="I9" s="6"/>
      <c r="J9" s="6"/>
    </row>
    <row r="10" spans="1:10">
      <c r="A10" s="15" t="s">
        <v>286</v>
      </c>
      <c r="B10" s="15"/>
      <c r="C10" s="15"/>
      <c r="D10" s="7"/>
      <c r="E10" s="6"/>
      <c r="F10" s="6"/>
      <c r="G10" s="6"/>
      <c r="H10" s="6"/>
      <c r="I10" s="6"/>
      <c r="J10" s="6"/>
    </row>
    <row r="11" spans="1:10">
      <c r="A11" s="8"/>
      <c r="B11" s="2" t="s">
        <v>287</v>
      </c>
      <c r="C11" s="9" t="s">
        <v>184</v>
      </c>
      <c r="D11" s="9"/>
      <c r="E11" s="6"/>
      <c r="F11" s="6"/>
      <c r="G11" s="6"/>
      <c r="H11" s="6"/>
      <c r="I11" s="6"/>
      <c r="J11" s="6"/>
    </row>
    <row r="12" spans="1:10">
      <c r="A12" s="6"/>
      <c r="B12" s="6" t="s">
        <v>288</v>
      </c>
      <c r="C12" s="6"/>
      <c r="D12" s="6"/>
      <c r="E12" s="6"/>
      <c r="F12" s="6"/>
      <c r="G12" s="6"/>
      <c r="H12" s="6"/>
      <c r="I12" s="10">
        <f>'LBP NO. 1'!N38</f>
        <v>8795000</v>
      </c>
      <c r="J12" s="6"/>
    </row>
    <row r="13" spans="1:10">
      <c r="A13" s="6"/>
      <c r="B13" s="6" t="s">
        <v>291</v>
      </c>
      <c r="C13" s="6"/>
      <c r="D13" s="6"/>
      <c r="E13" s="6"/>
      <c r="F13" s="6"/>
      <c r="G13" s="6"/>
      <c r="H13" s="6"/>
      <c r="I13" s="10">
        <f>'LBP NO. 1'!N69</f>
        <v>3575000</v>
      </c>
      <c r="J13" s="6"/>
    </row>
    <row r="14" spans="1:10">
      <c r="A14" s="6"/>
      <c r="B14" s="6" t="s">
        <v>289</v>
      </c>
      <c r="C14" s="6"/>
      <c r="D14" s="6"/>
      <c r="E14" s="6"/>
      <c r="F14" s="6"/>
      <c r="G14" s="6"/>
      <c r="H14" s="6"/>
      <c r="I14" s="11">
        <f>'LBP NO. 1'!N72</f>
        <v>219243814</v>
      </c>
      <c r="J14" s="6"/>
    </row>
    <row r="15" spans="1:10" ht="13.5" thickBot="1">
      <c r="A15" s="6"/>
      <c r="B15" s="6" t="s">
        <v>290</v>
      </c>
      <c r="C15" s="6"/>
      <c r="D15" s="7"/>
      <c r="E15" s="6"/>
      <c r="F15" s="6"/>
      <c r="G15" s="6"/>
      <c r="H15" s="6"/>
      <c r="I15" s="12">
        <f>SUM(I12:I14)</f>
        <v>231613814</v>
      </c>
      <c r="J15" s="6"/>
    </row>
    <row r="16" spans="1:10">
      <c r="A16" s="6"/>
      <c r="B16" s="6"/>
      <c r="C16" s="6"/>
      <c r="D16" s="7"/>
      <c r="E16" s="6"/>
      <c r="F16" s="6"/>
      <c r="G16" s="6"/>
      <c r="H16" s="6"/>
      <c r="I16" s="17"/>
      <c r="J16" s="6"/>
    </row>
    <row r="17" spans="1:10">
      <c r="A17" s="6"/>
      <c r="B17" s="6"/>
      <c r="C17" s="6"/>
      <c r="D17" s="7"/>
      <c r="E17" s="6"/>
      <c r="F17" s="6"/>
      <c r="G17" s="6"/>
      <c r="H17" s="6"/>
      <c r="I17" s="17"/>
      <c r="J17" s="6"/>
    </row>
    <row r="18" spans="1:10">
      <c r="A18" s="8"/>
      <c r="B18" s="8" t="s">
        <v>189</v>
      </c>
      <c r="C18" s="9"/>
      <c r="D18" s="9"/>
      <c r="E18" s="6"/>
      <c r="F18" s="6"/>
      <c r="G18" s="6"/>
      <c r="H18" s="6"/>
      <c r="I18" s="10"/>
      <c r="J18" s="6"/>
    </row>
    <row r="19" spans="1:10">
      <c r="A19" s="8"/>
      <c r="B19" s="6" t="s">
        <v>288</v>
      </c>
      <c r="C19" s="8"/>
      <c r="D19" s="9"/>
      <c r="E19" s="6"/>
      <c r="F19" s="6"/>
      <c r="G19" s="6"/>
      <c r="H19" s="6"/>
      <c r="I19" s="10">
        <f>'LBP NO. 1'!N227</f>
        <v>0</v>
      </c>
      <c r="J19" s="6"/>
    </row>
    <row r="20" spans="1:10">
      <c r="A20" s="8"/>
      <c r="B20" s="6" t="s">
        <v>291</v>
      </c>
      <c r="C20" s="8"/>
      <c r="D20" s="9"/>
      <c r="E20" s="6"/>
      <c r="F20" s="6"/>
      <c r="G20" s="6"/>
      <c r="H20" s="6"/>
      <c r="I20" s="11">
        <f>'LBP NO. 1'!N246</f>
        <v>8625000</v>
      </c>
      <c r="J20" s="6"/>
    </row>
    <row r="21" spans="1:10" ht="13.5" thickBot="1">
      <c r="A21" s="8"/>
      <c r="B21" s="8" t="s">
        <v>290</v>
      </c>
      <c r="C21" s="9"/>
      <c r="D21" s="7"/>
      <c r="E21" s="6"/>
      <c r="F21" s="6"/>
      <c r="G21" s="6"/>
      <c r="H21" s="6"/>
      <c r="I21" s="13">
        <f>SUM(I19:I20)</f>
        <v>8625000</v>
      </c>
      <c r="J21" s="6"/>
    </row>
    <row r="22" spans="1:10">
      <c r="A22" s="8"/>
      <c r="B22" s="8"/>
      <c r="C22" s="9"/>
      <c r="D22" s="7"/>
      <c r="E22" s="6"/>
      <c r="F22" s="6"/>
      <c r="G22" s="6"/>
      <c r="H22" s="6"/>
      <c r="I22" s="30"/>
      <c r="J22" s="6"/>
    </row>
    <row r="23" spans="1:10" ht="13.5" thickBot="1">
      <c r="A23" s="8"/>
      <c r="B23" s="8"/>
      <c r="C23" s="9"/>
      <c r="D23" s="7" t="s">
        <v>42</v>
      </c>
      <c r="E23" s="6"/>
      <c r="F23" s="6"/>
      <c r="G23" s="6"/>
      <c r="H23" s="6"/>
      <c r="I23" s="31">
        <f>+I15+I21</f>
        <v>240238814</v>
      </c>
      <c r="J23" s="6"/>
    </row>
    <row r="24" spans="1:10" ht="6" customHeight="1" thickTop="1">
      <c r="A24" s="6"/>
      <c r="B24" s="6"/>
      <c r="C24" s="6"/>
      <c r="D24" s="6"/>
      <c r="E24" s="6"/>
      <c r="F24" s="6"/>
      <c r="G24" s="6"/>
      <c r="H24" s="6"/>
      <c r="I24" s="10"/>
      <c r="J24" s="6"/>
    </row>
    <row r="25" spans="1:10">
      <c r="A25" s="15" t="s">
        <v>292</v>
      </c>
      <c r="B25" s="6"/>
      <c r="C25" s="2"/>
      <c r="D25" s="7"/>
      <c r="E25" s="6"/>
      <c r="F25" s="6"/>
      <c r="G25" s="6"/>
      <c r="H25" s="6"/>
      <c r="I25" s="10"/>
      <c r="J25" s="6"/>
    </row>
    <row r="26" spans="1:10">
      <c r="A26" s="14"/>
      <c r="B26" s="14"/>
      <c r="C26" s="34" t="s">
        <v>294</v>
      </c>
      <c r="D26" s="6" t="s">
        <v>293</v>
      </c>
      <c r="E26" s="6"/>
      <c r="F26" s="6"/>
      <c r="G26" s="6"/>
      <c r="H26" s="6"/>
      <c r="I26" s="10"/>
      <c r="J26" s="6"/>
    </row>
    <row r="27" spans="1:10">
      <c r="A27" s="6"/>
      <c r="B27" s="6"/>
      <c r="C27" s="7"/>
      <c r="D27" s="6" t="s">
        <v>295</v>
      </c>
      <c r="E27" s="6"/>
      <c r="F27" s="6"/>
      <c r="G27" s="6"/>
      <c r="H27" s="6"/>
      <c r="I27" s="10">
        <f>'LBP NO. 2'!M46</f>
        <v>12206941</v>
      </c>
      <c r="J27" s="6"/>
    </row>
    <row r="28" spans="1:10">
      <c r="A28" s="6"/>
      <c r="B28" s="6"/>
      <c r="C28" s="6"/>
      <c r="D28" s="6" t="s">
        <v>278</v>
      </c>
      <c r="E28" s="6"/>
      <c r="F28" s="6"/>
      <c r="G28" s="6"/>
      <c r="H28" s="6"/>
      <c r="I28" s="10">
        <f>'LBP NO. 2'!M57</f>
        <v>3137755</v>
      </c>
      <c r="J28" s="6"/>
    </row>
    <row r="29" spans="1:10">
      <c r="A29" s="6"/>
      <c r="B29" s="6"/>
      <c r="C29" s="6"/>
      <c r="D29" s="6" t="s">
        <v>296</v>
      </c>
      <c r="E29" s="6"/>
      <c r="F29" s="6"/>
      <c r="G29" s="6"/>
      <c r="H29" s="6"/>
      <c r="I29" s="11">
        <f>'LBP NO. 2'!M67</f>
        <v>9500000</v>
      </c>
      <c r="J29" s="6"/>
    </row>
    <row r="30" spans="1:10">
      <c r="A30" s="6"/>
      <c r="B30" s="6"/>
      <c r="C30" s="6"/>
      <c r="D30" s="7" t="s">
        <v>15</v>
      </c>
      <c r="E30" s="6"/>
      <c r="F30" s="6"/>
      <c r="G30" s="6"/>
      <c r="H30" s="6"/>
      <c r="I30" s="35">
        <f>SUM(I27:I29)</f>
        <v>24844696</v>
      </c>
      <c r="J30" s="6"/>
    </row>
    <row r="31" spans="1:10">
      <c r="A31" s="6"/>
      <c r="B31" s="6"/>
      <c r="C31" s="6"/>
      <c r="D31" s="7"/>
      <c r="E31" s="6"/>
      <c r="F31" s="6"/>
      <c r="G31" s="6"/>
      <c r="H31" s="6"/>
      <c r="I31" s="10"/>
      <c r="J31" s="6"/>
    </row>
    <row r="32" spans="1:10">
      <c r="A32" s="6"/>
      <c r="B32" s="6"/>
      <c r="C32" s="34" t="s">
        <v>297</v>
      </c>
      <c r="D32" s="6" t="s">
        <v>299</v>
      </c>
      <c r="E32" s="6"/>
      <c r="F32" s="6"/>
      <c r="G32" s="6"/>
      <c r="H32" s="6"/>
      <c r="I32" s="10">
        <f>'LBP NO. 2'!M117</f>
        <v>20249168</v>
      </c>
      <c r="J32" s="6"/>
    </row>
    <row r="33" spans="1:10">
      <c r="A33" s="6"/>
      <c r="B33" s="6"/>
      <c r="C33" s="6"/>
      <c r="D33" s="6" t="s">
        <v>295</v>
      </c>
      <c r="E33" s="6"/>
      <c r="F33" s="6"/>
      <c r="G33" s="6"/>
      <c r="H33" s="6"/>
      <c r="I33" s="10">
        <f>'LBP NO. 2'!M132</f>
        <v>6806400</v>
      </c>
      <c r="J33" s="6"/>
    </row>
    <row r="34" spans="1:10">
      <c r="A34" s="6"/>
      <c r="B34" s="6"/>
      <c r="C34" s="6"/>
      <c r="D34" s="6" t="s">
        <v>278</v>
      </c>
      <c r="E34" s="6"/>
      <c r="F34" s="6"/>
      <c r="G34" s="6"/>
      <c r="H34" s="6"/>
      <c r="I34" s="11">
        <f>'LBP NO. 2'!M140</f>
        <v>750000</v>
      </c>
      <c r="J34" s="6"/>
    </row>
    <row r="35" spans="1:10">
      <c r="A35" s="6"/>
      <c r="B35" s="6"/>
      <c r="C35" s="6"/>
      <c r="D35" s="6" t="s">
        <v>296</v>
      </c>
      <c r="E35" s="6"/>
      <c r="F35" s="6"/>
      <c r="G35" s="6"/>
      <c r="H35" s="6"/>
      <c r="I35" s="35">
        <f>SUM(I32:I34)</f>
        <v>27805568</v>
      </c>
      <c r="J35" s="6"/>
    </row>
    <row r="36" spans="1:10">
      <c r="A36" s="6"/>
      <c r="B36" s="6"/>
      <c r="C36" s="6"/>
      <c r="D36" s="7" t="s">
        <v>15</v>
      </c>
      <c r="E36" s="6"/>
      <c r="F36" s="6"/>
      <c r="G36" s="6"/>
      <c r="H36" s="6"/>
      <c r="I36" s="10"/>
      <c r="J36" s="6"/>
    </row>
    <row r="37" spans="1:10">
      <c r="A37" s="6"/>
      <c r="B37" s="6"/>
      <c r="C37" s="6"/>
      <c r="D37" s="6"/>
      <c r="E37" s="6"/>
      <c r="F37" s="6"/>
      <c r="G37" s="6"/>
      <c r="H37" s="6"/>
      <c r="I37" s="10"/>
      <c r="J37" s="6"/>
    </row>
    <row r="38" spans="1:10">
      <c r="A38" s="6"/>
      <c r="B38" s="6"/>
      <c r="C38" s="34" t="s">
        <v>298</v>
      </c>
      <c r="D38" s="6" t="s">
        <v>300</v>
      </c>
      <c r="E38" s="6"/>
      <c r="F38" s="6"/>
      <c r="G38" s="6"/>
      <c r="H38" s="6"/>
      <c r="I38" s="10"/>
      <c r="J38" s="6"/>
    </row>
    <row r="39" spans="1:10">
      <c r="A39" s="6"/>
      <c r="B39" s="6"/>
      <c r="C39" s="6"/>
      <c r="D39" s="6" t="s">
        <v>295</v>
      </c>
      <c r="E39" s="6"/>
      <c r="F39" s="6"/>
      <c r="G39" s="6"/>
      <c r="H39" s="6"/>
      <c r="I39" s="10">
        <f>'LBP NO. 2'!M192</f>
        <v>2040732</v>
      </c>
      <c r="J39" s="6"/>
    </row>
    <row r="40" spans="1:10">
      <c r="A40" s="6"/>
      <c r="B40" s="6"/>
      <c r="C40" s="6"/>
      <c r="D40" s="6" t="s">
        <v>278</v>
      </c>
      <c r="E40" s="6"/>
      <c r="F40" s="6"/>
      <c r="G40" s="6"/>
      <c r="H40" s="6"/>
      <c r="I40" s="10">
        <f>'LBP NO. 2'!M200</f>
        <v>526587</v>
      </c>
      <c r="J40" s="6"/>
    </row>
    <row r="41" spans="1:10">
      <c r="A41" s="6"/>
      <c r="B41" s="6"/>
      <c r="C41" s="6"/>
      <c r="D41" s="6" t="s">
        <v>296</v>
      </c>
      <c r="E41" s="6"/>
      <c r="F41" s="6"/>
      <c r="G41" s="6"/>
      <c r="H41" s="6"/>
      <c r="I41" s="11">
        <f>'LBP NO. 2'!M205</f>
        <v>55000</v>
      </c>
      <c r="J41" s="6"/>
    </row>
    <row r="42" spans="1:10">
      <c r="A42" s="6"/>
      <c r="B42" s="6"/>
      <c r="C42" s="6"/>
      <c r="D42" s="7" t="s">
        <v>15</v>
      </c>
      <c r="E42" s="6"/>
      <c r="F42" s="6"/>
      <c r="G42" s="6"/>
      <c r="H42" s="6"/>
      <c r="I42" s="35">
        <f>SUM(I39:I41)</f>
        <v>2622319</v>
      </c>
      <c r="J42" s="6"/>
    </row>
    <row r="43" spans="1:10">
      <c r="A43" s="6"/>
      <c r="B43" s="6"/>
      <c r="C43" s="6"/>
      <c r="D43" s="6"/>
      <c r="E43" s="6"/>
      <c r="F43" s="6"/>
      <c r="G43" s="6"/>
      <c r="H43" s="6"/>
      <c r="I43" s="10"/>
      <c r="J43" s="6"/>
    </row>
    <row r="44" spans="1:10">
      <c r="A44" s="6"/>
      <c r="B44" s="6"/>
      <c r="C44" s="34" t="s">
        <v>301</v>
      </c>
      <c r="D44" s="6" t="s">
        <v>312</v>
      </c>
      <c r="E44" s="6"/>
      <c r="F44" s="6"/>
      <c r="G44" s="6"/>
      <c r="H44" s="6"/>
      <c r="I44" s="16"/>
      <c r="J44" s="6"/>
    </row>
    <row r="45" spans="1:10">
      <c r="A45" s="6"/>
      <c r="B45" s="6"/>
      <c r="C45" s="6"/>
      <c r="D45" s="6" t="s">
        <v>295</v>
      </c>
      <c r="E45" s="6"/>
      <c r="F45" s="6"/>
      <c r="G45" s="6"/>
      <c r="H45" s="6"/>
      <c r="I45" s="10">
        <f>'LBP NO. 2'!M261</f>
        <v>2060770</v>
      </c>
      <c r="J45" s="6"/>
    </row>
    <row r="46" spans="1:10">
      <c r="A46" s="6"/>
      <c r="B46" s="6"/>
      <c r="C46" s="6"/>
      <c r="D46" s="6" t="s">
        <v>278</v>
      </c>
      <c r="E46" s="6"/>
      <c r="F46" s="6"/>
      <c r="G46" s="6"/>
      <c r="H46" s="6"/>
      <c r="I46" s="10">
        <f>'LBP NO. 2'!M270</f>
        <v>219250</v>
      </c>
      <c r="J46" s="6"/>
    </row>
    <row r="47" spans="1:10">
      <c r="A47" s="6"/>
      <c r="B47" s="6"/>
      <c r="C47" s="6"/>
      <c r="D47" s="6" t="s">
        <v>296</v>
      </c>
      <c r="E47" s="6"/>
      <c r="F47" s="6"/>
      <c r="G47" s="6"/>
      <c r="H47" s="6"/>
      <c r="I47" s="11">
        <f>'LBP NO. 2'!M275</f>
        <v>70000</v>
      </c>
      <c r="J47" s="6"/>
    </row>
    <row r="48" spans="1:10">
      <c r="A48" s="6"/>
      <c r="B48" s="6"/>
      <c r="C48" s="6"/>
      <c r="D48" s="7" t="s">
        <v>15</v>
      </c>
      <c r="E48" s="6"/>
      <c r="F48" s="6"/>
      <c r="G48" s="6"/>
      <c r="H48" s="6"/>
      <c r="I48" s="35">
        <f>SUM(I45:I47)</f>
        <v>2350020</v>
      </c>
      <c r="J48" s="6"/>
    </row>
    <row r="49" spans="1:11">
      <c r="A49" s="6"/>
      <c r="B49" s="6"/>
      <c r="C49" s="6"/>
      <c r="D49" s="6"/>
      <c r="E49" s="6"/>
      <c r="F49" s="6"/>
      <c r="G49" s="6"/>
      <c r="H49" s="6"/>
      <c r="I49" s="16"/>
      <c r="J49" s="6"/>
    </row>
    <row r="50" spans="1:11">
      <c r="A50" s="6"/>
      <c r="B50" s="6"/>
      <c r="C50" s="34" t="s">
        <v>302</v>
      </c>
      <c r="D50" s="6" t="s">
        <v>313</v>
      </c>
      <c r="E50" s="6"/>
      <c r="F50" s="6"/>
      <c r="G50" s="6"/>
      <c r="H50" s="6"/>
      <c r="I50" s="10">
        <f>'LBP NO. 2'!M329</f>
        <v>2214520</v>
      </c>
      <c r="J50" s="6"/>
    </row>
    <row r="51" spans="1:11">
      <c r="A51" s="6"/>
      <c r="B51" s="6"/>
      <c r="C51" s="6"/>
      <c r="D51" s="6" t="s">
        <v>295</v>
      </c>
      <c r="E51" s="6"/>
      <c r="F51" s="6"/>
      <c r="H51" s="6"/>
      <c r="I51" s="10">
        <f>'LBP NO. 2'!M337</f>
        <v>328000</v>
      </c>
      <c r="J51" s="6"/>
      <c r="K51" s="29"/>
    </row>
    <row r="52" spans="1:11" ht="14.25" customHeight="1">
      <c r="A52" s="6"/>
      <c r="B52" s="6"/>
      <c r="C52" s="6"/>
      <c r="D52" s="6" t="s">
        <v>278</v>
      </c>
      <c r="E52" s="6"/>
      <c r="F52" s="6"/>
      <c r="G52" s="7"/>
      <c r="H52" s="6"/>
      <c r="I52" s="11">
        <f>'LBP NO. 2'!M342</f>
        <v>0</v>
      </c>
      <c r="J52" s="6"/>
    </row>
    <row r="53" spans="1:11" ht="14.25" customHeight="1">
      <c r="A53" s="6"/>
      <c r="B53" s="6"/>
      <c r="C53" s="6"/>
      <c r="D53" s="6" t="s">
        <v>296</v>
      </c>
      <c r="E53" s="6"/>
      <c r="F53" s="6"/>
      <c r="G53" s="7"/>
      <c r="H53" s="6"/>
      <c r="I53" s="35">
        <f>SUM(I50:I52)</f>
        <v>2542520</v>
      </c>
      <c r="J53" s="6"/>
    </row>
    <row r="54" spans="1:11" ht="14.25" customHeight="1">
      <c r="A54" s="6"/>
      <c r="B54" s="6"/>
      <c r="C54" s="6"/>
      <c r="D54" s="7" t="s">
        <v>15</v>
      </c>
      <c r="E54" s="6"/>
      <c r="F54" s="6"/>
      <c r="G54" s="7"/>
      <c r="H54" s="6"/>
      <c r="I54" s="10"/>
      <c r="J54" s="6"/>
    </row>
    <row r="55" spans="1:11" ht="14.25" customHeight="1">
      <c r="A55" s="6"/>
      <c r="B55" s="6"/>
      <c r="C55" s="6"/>
      <c r="D55" s="6"/>
      <c r="E55" s="6"/>
      <c r="F55" s="6"/>
      <c r="G55" s="7"/>
      <c r="H55" s="6"/>
      <c r="I55" s="17"/>
      <c r="J55" s="6"/>
    </row>
    <row r="56" spans="1:11">
      <c r="A56" s="6"/>
      <c r="B56" s="6"/>
      <c r="C56" s="34" t="s">
        <v>303</v>
      </c>
      <c r="D56" s="6" t="s">
        <v>314</v>
      </c>
      <c r="E56" s="6"/>
      <c r="F56" s="6"/>
      <c r="G56" s="6"/>
      <c r="H56" s="6"/>
      <c r="I56" s="10"/>
      <c r="J56" s="6"/>
    </row>
    <row r="57" spans="1:11">
      <c r="A57" s="6"/>
      <c r="B57" s="6"/>
      <c r="C57" s="6"/>
      <c r="D57" s="6" t="s">
        <v>295</v>
      </c>
      <c r="E57" s="6"/>
      <c r="F57" s="6"/>
      <c r="G57" s="6"/>
      <c r="H57" s="6"/>
      <c r="I57" s="10">
        <f>'LBP NO. 2'!M398</f>
        <v>3252594</v>
      </c>
      <c r="J57" s="6"/>
    </row>
    <row r="58" spans="1:11">
      <c r="A58" s="6"/>
      <c r="B58" s="6"/>
      <c r="C58" s="6"/>
      <c r="D58" s="6" t="s">
        <v>278</v>
      </c>
      <c r="E58" s="6"/>
      <c r="F58" s="6"/>
      <c r="G58" s="6"/>
      <c r="H58" s="6"/>
      <c r="I58" s="10">
        <f>'LBP NO. 2'!M406</f>
        <v>573815</v>
      </c>
      <c r="J58" s="6"/>
    </row>
    <row r="59" spans="1:11">
      <c r="A59" s="6"/>
      <c r="B59" s="6"/>
      <c r="C59" s="6"/>
      <c r="D59" s="6" t="s">
        <v>296</v>
      </c>
      <c r="E59" s="6"/>
      <c r="F59" s="6"/>
      <c r="G59" s="6"/>
      <c r="H59" s="6"/>
      <c r="I59" s="11">
        <f>'LBP NO. 2'!M412</f>
        <v>180000</v>
      </c>
      <c r="J59" s="6"/>
    </row>
    <row r="60" spans="1:11">
      <c r="A60" s="6"/>
      <c r="B60" s="6"/>
      <c r="C60" s="6"/>
      <c r="D60" s="7" t="s">
        <v>15</v>
      </c>
      <c r="E60" s="6"/>
      <c r="F60" s="6"/>
      <c r="G60" s="6"/>
      <c r="H60" s="6"/>
      <c r="I60" s="35">
        <f>SUM(I57:I59)</f>
        <v>4006409</v>
      </c>
      <c r="J60" s="6"/>
    </row>
    <row r="61" spans="1:11">
      <c r="A61" s="6"/>
      <c r="B61" s="6"/>
      <c r="C61" s="6"/>
      <c r="D61" s="6"/>
      <c r="E61" s="6"/>
      <c r="F61" s="6"/>
      <c r="G61" s="6"/>
      <c r="H61" s="6"/>
      <c r="I61" s="10"/>
      <c r="J61" s="6"/>
    </row>
    <row r="62" spans="1:11">
      <c r="A62" s="6"/>
      <c r="B62" s="6"/>
      <c r="C62" s="34" t="s">
        <v>304</v>
      </c>
      <c r="D62" s="6" t="s">
        <v>315</v>
      </c>
      <c r="E62" s="6"/>
      <c r="F62" s="6"/>
      <c r="G62" s="6"/>
      <c r="H62" s="6"/>
      <c r="I62" s="10"/>
      <c r="J62" s="6"/>
    </row>
    <row r="63" spans="1:11">
      <c r="A63" s="6"/>
      <c r="B63" s="6"/>
      <c r="C63" s="6"/>
      <c r="D63" s="6" t="s">
        <v>295</v>
      </c>
      <c r="E63" s="6"/>
      <c r="F63" s="6"/>
      <c r="G63" s="6"/>
      <c r="H63" s="6"/>
      <c r="I63" s="10">
        <f>'LBP NO. 2'!M466</f>
        <v>5135657</v>
      </c>
      <c r="J63" s="6"/>
    </row>
    <row r="64" spans="1:11">
      <c r="A64" s="6"/>
      <c r="B64" s="6"/>
      <c r="C64" s="6"/>
      <c r="D64" s="6" t="s">
        <v>278</v>
      </c>
      <c r="E64" s="6"/>
      <c r="F64" s="6"/>
      <c r="G64" s="6"/>
      <c r="H64" s="6"/>
      <c r="I64" s="10">
        <f>'LBP NO. 2'!M477</f>
        <v>1076000</v>
      </c>
      <c r="J64" s="6"/>
    </row>
    <row r="65" spans="1:10">
      <c r="A65" s="6"/>
      <c r="B65" s="6"/>
      <c r="C65" s="6"/>
      <c r="D65" s="6" t="s">
        <v>296</v>
      </c>
      <c r="E65" s="6"/>
      <c r="F65" s="6"/>
      <c r="G65" s="6"/>
      <c r="H65" s="6"/>
      <c r="I65" s="11">
        <f>'LBP NO. 2'!M483</f>
        <v>430000</v>
      </c>
      <c r="J65" s="6"/>
    </row>
    <row r="66" spans="1:10">
      <c r="A66" s="6"/>
      <c r="B66" s="6"/>
      <c r="C66" s="6"/>
      <c r="D66" s="7" t="s">
        <v>15</v>
      </c>
      <c r="E66" s="6"/>
      <c r="F66" s="6"/>
      <c r="G66" s="6"/>
      <c r="H66" s="6"/>
      <c r="I66" s="35">
        <f>SUM(I63:I65)</f>
        <v>6641657</v>
      </c>
      <c r="J66" s="6"/>
    </row>
    <row r="67" spans="1:10">
      <c r="A67" s="6"/>
      <c r="B67" s="6"/>
      <c r="C67" s="6"/>
      <c r="D67" s="7"/>
      <c r="E67" s="6"/>
      <c r="F67" s="6"/>
      <c r="G67" s="6"/>
      <c r="H67" s="6"/>
      <c r="I67" s="35"/>
      <c r="J67" s="6"/>
    </row>
    <row r="68" spans="1:10">
      <c r="A68" s="6"/>
      <c r="B68" s="6"/>
      <c r="C68" s="6"/>
      <c r="D68" s="6"/>
      <c r="E68" s="6"/>
      <c r="F68" s="6"/>
      <c r="G68" s="6"/>
      <c r="H68" s="6"/>
      <c r="I68" s="10"/>
      <c r="J68" s="6"/>
    </row>
    <row r="69" spans="1:10">
      <c r="A69" s="6"/>
      <c r="B69" s="6"/>
      <c r="C69" s="6"/>
      <c r="D69" s="6"/>
      <c r="E69" s="6"/>
      <c r="F69" s="6"/>
      <c r="G69" s="6"/>
      <c r="H69" s="6"/>
      <c r="I69" s="10"/>
      <c r="J69" s="6"/>
    </row>
    <row r="70" spans="1:10">
      <c r="A70" s="6"/>
      <c r="B70" s="6"/>
      <c r="C70" s="6"/>
      <c r="D70" s="6"/>
      <c r="E70" s="6"/>
      <c r="F70" s="6"/>
      <c r="G70" s="6"/>
      <c r="H70" s="6"/>
      <c r="I70" s="10"/>
      <c r="J70" s="6"/>
    </row>
    <row r="71" spans="1:10">
      <c r="A71" s="6"/>
      <c r="B71" s="6"/>
      <c r="C71" s="34" t="s">
        <v>305</v>
      </c>
      <c r="D71" s="6" t="s">
        <v>316</v>
      </c>
      <c r="E71" s="6"/>
      <c r="F71" s="6"/>
      <c r="G71" s="6"/>
      <c r="H71" s="6"/>
      <c r="I71" s="10"/>
      <c r="J71" s="6"/>
    </row>
    <row r="72" spans="1:10">
      <c r="A72" s="6"/>
      <c r="B72" s="6"/>
      <c r="C72" s="6"/>
      <c r="D72" s="6" t="s">
        <v>295</v>
      </c>
      <c r="E72" s="6"/>
      <c r="F72" s="6"/>
      <c r="G72" s="6"/>
      <c r="H72" s="6"/>
      <c r="I72" s="10">
        <f>'LBP NO. 2'!M533</f>
        <v>2883492</v>
      </c>
      <c r="J72" s="6"/>
    </row>
    <row r="73" spans="1:10">
      <c r="A73" s="6"/>
      <c r="B73" s="6"/>
      <c r="C73" s="6"/>
      <c r="D73" s="6" t="s">
        <v>278</v>
      </c>
      <c r="E73" s="6"/>
      <c r="F73" s="6"/>
      <c r="G73" s="6"/>
      <c r="H73" s="6"/>
      <c r="I73" s="10">
        <f>'LBP NO. 2'!M542</f>
        <v>443500</v>
      </c>
      <c r="J73" s="6"/>
    </row>
    <row r="74" spans="1:10">
      <c r="A74" s="6"/>
      <c r="B74" s="6"/>
      <c r="C74" s="6"/>
      <c r="D74" s="6" t="s">
        <v>296</v>
      </c>
      <c r="E74" s="6"/>
      <c r="F74" s="6"/>
      <c r="G74" s="6"/>
      <c r="H74" s="6"/>
      <c r="I74" s="11">
        <f>'LBP NO. 2'!M548</f>
        <v>65000</v>
      </c>
      <c r="J74" s="6"/>
    </row>
    <row r="75" spans="1:10">
      <c r="A75" s="6"/>
      <c r="B75" s="6"/>
      <c r="C75" s="6"/>
      <c r="D75" s="7" t="s">
        <v>15</v>
      </c>
      <c r="E75" s="6"/>
      <c r="F75" s="6"/>
      <c r="G75" s="6"/>
      <c r="H75" s="6"/>
      <c r="I75" s="35">
        <f>SUM(I72:I74)</f>
        <v>3391992</v>
      </c>
      <c r="J75" s="6"/>
    </row>
    <row r="76" spans="1:10">
      <c r="A76" s="6"/>
      <c r="B76" s="6"/>
      <c r="C76" s="6"/>
      <c r="D76" s="6"/>
      <c r="E76" s="6"/>
      <c r="F76" s="6"/>
      <c r="G76" s="6"/>
      <c r="H76" s="6"/>
      <c r="I76" s="10"/>
      <c r="J76" s="6"/>
    </row>
    <row r="77" spans="1:10">
      <c r="A77" s="6"/>
      <c r="B77" s="6"/>
      <c r="C77" s="34" t="s">
        <v>306</v>
      </c>
      <c r="D77" s="6" t="s">
        <v>317</v>
      </c>
      <c r="E77" s="6"/>
      <c r="F77" s="6"/>
      <c r="G77" s="6"/>
      <c r="H77" s="6"/>
      <c r="I77" s="10"/>
      <c r="J77" s="6"/>
    </row>
    <row r="78" spans="1:10">
      <c r="A78" s="6"/>
      <c r="B78" s="6"/>
      <c r="C78" s="6"/>
      <c r="D78" s="6" t="s">
        <v>295</v>
      </c>
      <c r="E78" s="6"/>
      <c r="F78" s="6"/>
      <c r="G78" s="6"/>
      <c r="H78" s="6"/>
      <c r="I78" s="10">
        <f>'LBP NO. 2'!M602</f>
        <v>2220700</v>
      </c>
      <c r="J78" s="6"/>
    </row>
    <row r="79" spans="1:10">
      <c r="A79" s="6"/>
      <c r="B79" s="6"/>
      <c r="C79" s="6"/>
      <c r="D79" s="6" t="s">
        <v>278</v>
      </c>
      <c r="E79" s="6"/>
      <c r="F79" s="6"/>
      <c r="G79" s="6"/>
      <c r="H79" s="6"/>
      <c r="I79" s="10">
        <f>'LBP NO. 2'!M611</f>
        <v>234000</v>
      </c>
      <c r="J79" s="6"/>
    </row>
    <row r="80" spans="1:10">
      <c r="A80" s="6"/>
      <c r="B80" s="6"/>
      <c r="C80" s="6"/>
      <c r="D80" s="6" t="s">
        <v>296</v>
      </c>
      <c r="E80" s="6"/>
      <c r="F80" s="6"/>
      <c r="G80" s="6"/>
      <c r="H80" s="6"/>
      <c r="I80" s="11">
        <f>'LBP NO. 2'!M617</f>
        <v>220000</v>
      </c>
      <c r="J80" s="6"/>
    </row>
    <row r="81" spans="1:11">
      <c r="A81" s="6"/>
      <c r="B81" s="6"/>
      <c r="C81" s="6"/>
      <c r="D81" s="7" t="s">
        <v>15</v>
      </c>
      <c r="E81" s="6"/>
      <c r="F81" s="6"/>
      <c r="G81" s="6"/>
      <c r="H81" s="6"/>
      <c r="I81" s="35">
        <f>SUM(I78:I80)</f>
        <v>2674700</v>
      </c>
      <c r="J81" s="6"/>
    </row>
    <row r="82" spans="1:11">
      <c r="A82" s="6"/>
      <c r="B82" s="6"/>
      <c r="C82" s="6"/>
      <c r="D82" s="6"/>
      <c r="E82" s="6"/>
      <c r="F82" s="6"/>
      <c r="G82" s="6"/>
      <c r="H82" s="6"/>
      <c r="I82" s="10"/>
      <c r="J82" s="6"/>
    </row>
    <row r="83" spans="1:11">
      <c r="A83" s="6"/>
      <c r="B83" s="6"/>
      <c r="C83" s="34" t="s">
        <v>307</v>
      </c>
      <c r="D83" s="6" t="s">
        <v>318</v>
      </c>
      <c r="E83" s="6"/>
      <c r="F83" s="6"/>
      <c r="G83" s="6"/>
      <c r="H83" s="6"/>
      <c r="I83" s="10"/>
      <c r="J83" s="6"/>
    </row>
    <row r="84" spans="1:11">
      <c r="A84" s="6"/>
      <c r="B84" s="6"/>
      <c r="C84" s="6"/>
      <c r="D84" s="6" t="s">
        <v>295</v>
      </c>
      <c r="E84" s="6"/>
      <c r="F84" s="6"/>
      <c r="G84" s="6"/>
      <c r="H84" s="6"/>
      <c r="I84" s="10">
        <f>'LBP NO. 2'!M672</f>
        <v>4633994.8</v>
      </c>
      <c r="J84" s="6"/>
    </row>
    <row r="85" spans="1:11">
      <c r="A85" s="6"/>
      <c r="B85" s="6"/>
      <c r="C85" s="6"/>
      <c r="D85" s="6" t="s">
        <v>278</v>
      </c>
      <c r="E85" s="6"/>
      <c r="F85" s="6"/>
      <c r="G85" s="6"/>
      <c r="H85" s="6"/>
      <c r="I85" s="10">
        <f>'LBP NO. 2'!M683</f>
        <v>8503040</v>
      </c>
      <c r="J85" s="6"/>
    </row>
    <row r="86" spans="1:11">
      <c r="A86" s="6"/>
      <c r="B86" s="6"/>
      <c r="C86" s="6"/>
      <c r="D86" s="6" t="s">
        <v>296</v>
      </c>
      <c r="E86" s="6"/>
      <c r="F86" s="6"/>
      <c r="G86" s="6"/>
      <c r="H86" s="6"/>
      <c r="I86" s="11">
        <f>'LBP NO. 2'!M689</f>
        <v>675000</v>
      </c>
      <c r="J86" s="6"/>
    </row>
    <row r="87" spans="1:11">
      <c r="A87" s="6"/>
      <c r="B87" s="6"/>
      <c r="C87" s="6"/>
      <c r="D87" s="7" t="s">
        <v>15</v>
      </c>
      <c r="E87" s="6"/>
      <c r="F87" s="6"/>
      <c r="G87" s="6"/>
      <c r="H87" s="6"/>
      <c r="I87" s="35">
        <f>SUM(I84:I86)</f>
        <v>13812034.800000001</v>
      </c>
      <c r="J87" s="6"/>
    </row>
    <row r="88" spans="1:11">
      <c r="A88" s="6"/>
      <c r="B88" s="6"/>
      <c r="C88" s="6"/>
      <c r="D88" s="6"/>
      <c r="E88" s="6"/>
      <c r="F88" s="6"/>
      <c r="G88" s="6"/>
      <c r="H88" s="6"/>
      <c r="I88" s="10"/>
      <c r="J88" s="6"/>
    </row>
    <row r="89" spans="1:11">
      <c r="A89" s="6"/>
      <c r="B89" s="6"/>
      <c r="C89" s="34" t="s">
        <v>308</v>
      </c>
      <c r="D89" s="6" t="s">
        <v>319</v>
      </c>
      <c r="E89" s="6"/>
      <c r="F89" s="6"/>
      <c r="G89" s="7"/>
      <c r="H89" s="6"/>
      <c r="I89" s="17"/>
      <c r="J89" s="6"/>
      <c r="K89" s="29"/>
    </row>
    <row r="90" spans="1:11" ht="13.5" customHeight="1">
      <c r="A90" s="6"/>
      <c r="B90" s="6"/>
      <c r="C90" s="6"/>
      <c r="D90" s="6" t="s">
        <v>295</v>
      </c>
      <c r="E90" s="6"/>
      <c r="F90" s="6"/>
      <c r="G90" s="7"/>
      <c r="H90" s="6"/>
      <c r="I90" s="10">
        <f>'LBP NO. 2'!M739</f>
        <v>5666060</v>
      </c>
      <c r="J90" s="6"/>
    </row>
    <row r="91" spans="1:11">
      <c r="A91" s="6"/>
      <c r="B91" s="6"/>
      <c r="C91" s="6"/>
      <c r="D91" s="6" t="s">
        <v>278</v>
      </c>
      <c r="E91" s="6"/>
      <c r="F91" s="6"/>
      <c r="G91" s="6"/>
      <c r="H91" s="6"/>
      <c r="I91" s="10">
        <f>'LBP NO. 2'!M750</f>
        <v>6276932.2000000002</v>
      </c>
      <c r="J91" s="6"/>
    </row>
    <row r="92" spans="1:11">
      <c r="A92" s="6"/>
      <c r="B92" s="6"/>
      <c r="C92" s="6"/>
      <c r="D92" s="6" t="s">
        <v>296</v>
      </c>
      <c r="E92" s="6"/>
      <c r="F92" s="6"/>
      <c r="G92" s="6"/>
      <c r="H92" s="6"/>
      <c r="I92" s="11">
        <f>'LBP NO. 2'!M756</f>
        <v>120000</v>
      </c>
      <c r="J92" s="6"/>
    </row>
    <row r="93" spans="1:11">
      <c r="A93" s="6"/>
      <c r="B93" s="6"/>
      <c r="C93" s="6"/>
      <c r="D93" s="7" t="s">
        <v>15</v>
      </c>
      <c r="E93" s="6"/>
      <c r="F93" s="6"/>
      <c r="G93" s="6"/>
      <c r="H93" s="6"/>
      <c r="I93" s="35">
        <f>SUM(I90:I92)</f>
        <v>12062992.199999999</v>
      </c>
      <c r="J93" s="6"/>
    </row>
    <row r="94" spans="1:11">
      <c r="A94" s="6"/>
      <c r="B94" s="6"/>
      <c r="C94" s="6"/>
      <c r="D94" s="6"/>
      <c r="E94" s="6"/>
      <c r="F94" s="6"/>
      <c r="G94" s="6"/>
      <c r="H94" s="6"/>
      <c r="I94" s="10"/>
      <c r="J94" s="6"/>
    </row>
    <row r="95" spans="1:11">
      <c r="A95" s="6"/>
      <c r="B95" s="6"/>
      <c r="C95" s="34" t="s">
        <v>309</v>
      </c>
      <c r="D95" s="6" t="s">
        <v>320</v>
      </c>
      <c r="E95" s="6"/>
      <c r="F95" s="6"/>
      <c r="G95" s="6"/>
      <c r="H95" s="6"/>
      <c r="I95" s="10"/>
      <c r="J95" s="6"/>
    </row>
    <row r="96" spans="1:11">
      <c r="A96" s="6"/>
      <c r="B96" s="6"/>
      <c r="C96" s="6"/>
      <c r="D96" s="6" t="s">
        <v>295</v>
      </c>
      <c r="E96" s="6"/>
      <c r="F96" s="6"/>
      <c r="G96" s="6"/>
      <c r="H96" s="6"/>
      <c r="I96" s="10">
        <f>'LBP NO. 2'!M809</f>
        <v>10228228</v>
      </c>
      <c r="J96" s="6"/>
    </row>
    <row r="97" spans="1:10">
      <c r="A97" s="6"/>
      <c r="B97" s="6"/>
      <c r="C97" s="6"/>
      <c r="D97" s="6" t="s">
        <v>278</v>
      </c>
      <c r="E97" s="6"/>
      <c r="F97" s="6"/>
      <c r="G97" s="6"/>
      <c r="H97" s="6"/>
      <c r="I97" s="10">
        <f>'LBP NO. 2'!M820</f>
        <v>9181557</v>
      </c>
      <c r="J97" s="6"/>
    </row>
    <row r="98" spans="1:10">
      <c r="A98" s="6"/>
      <c r="B98" s="6"/>
      <c r="C98" s="6"/>
      <c r="D98" s="6" t="s">
        <v>296</v>
      </c>
      <c r="E98" s="6"/>
      <c r="F98" s="6"/>
      <c r="G98" s="6"/>
      <c r="H98" s="6"/>
      <c r="I98" s="11">
        <f>'LBP NO. 2'!M825</f>
        <v>500000</v>
      </c>
      <c r="J98" s="6"/>
    </row>
    <row r="99" spans="1:10">
      <c r="A99" s="6"/>
      <c r="B99" s="6"/>
      <c r="C99" s="6"/>
      <c r="D99" s="7" t="s">
        <v>15</v>
      </c>
      <c r="E99" s="6"/>
      <c r="F99" s="6"/>
      <c r="G99" s="6"/>
      <c r="H99" s="6"/>
      <c r="I99" s="35">
        <f>SUM(I96:I98)</f>
        <v>19909785</v>
      </c>
      <c r="J99" s="6"/>
    </row>
    <row r="100" spans="1:10">
      <c r="A100" s="6"/>
      <c r="B100" s="6"/>
      <c r="C100" s="6"/>
      <c r="D100" s="6"/>
      <c r="E100" s="6"/>
      <c r="F100" s="6"/>
      <c r="G100" s="6"/>
      <c r="H100" s="6"/>
      <c r="I100" s="10"/>
      <c r="J100" s="6"/>
    </row>
    <row r="101" spans="1:10">
      <c r="A101" s="6"/>
      <c r="B101" s="6"/>
      <c r="C101" s="34" t="s">
        <v>310</v>
      </c>
      <c r="D101" s="6" t="s">
        <v>321</v>
      </c>
      <c r="E101" s="6"/>
      <c r="F101" s="6"/>
      <c r="G101" s="6"/>
      <c r="H101" s="6"/>
      <c r="I101" s="10"/>
      <c r="J101" s="6"/>
    </row>
    <row r="102" spans="1:10">
      <c r="A102" s="6"/>
      <c r="B102" s="6"/>
      <c r="C102" s="6"/>
      <c r="D102" s="6" t="s">
        <v>295</v>
      </c>
      <c r="E102" s="6"/>
      <c r="F102" s="6"/>
      <c r="G102" s="6"/>
      <c r="H102" s="6"/>
      <c r="I102" s="10">
        <f>'LBP NO. 2'!M873</f>
        <v>3104717</v>
      </c>
      <c r="J102" s="6"/>
    </row>
    <row r="103" spans="1:10">
      <c r="A103" s="6"/>
      <c r="B103" s="6"/>
      <c r="C103" s="6"/>
      <c r="D103" s="6" t="s">
        <v>278</v>
      </c>
      <c r="E103" s="6"/>
      <c r="F103" s="6"/>
      <c r="G103" s="6"/>
      <c r="H103" s="6"/>
      <c r="I103" s="10">
        <f>'LBP NO. 2'!M881</f>
        <v>1747889</v>
      </c>
      <c r="J103" s="6"/>
    </row>
    <row r="104" spans="1:10">
      <c r="A104" s="6"/>
      <c r="B104" s="6"/>
      <c r="C104" s="6"/>
      <c r="D104" s="6" t="s">
        <v>296</v>
      </c>
      <c r="E104" s="6"/>
      <c r="F104" s="6"/>
      <c r="G104" s="6"/>
      <c r="H104" s="6"/>
      <c r="I104" s="11">
        <f>'LBP NO. 2'!M886</f>
        <v>90000</v>
      </c>
      <c r="J104" s="6"/>
    </row>
    <row r="105" spans="1:10">
      <c r="A105" s="6"/>
      <c r="B105" s="6"/>
      <c r="C105" s="6"/>
      <c r="D105" s="7" t="s">
        <v>15</v>
      </c>
      <c r="E105" s="6"/>
      <c r="F105" s="6"/>
      <c r="G105" s="6"/>
      <c r="H105" s="6"/>
      <c r="I105" s="35">
        <f>SUM(I102:I104)</f>
        <v>4942606</v>
      </c>
      <c r="J105" s="6"/>
    </row>
    <row r="106" spans="1:10">
      <c r="A106" s="6"/>
      <c r="B106" s="6"/>
      <c r="C106" s="6"/>
      <c r="D106" s="6"/>
      <c r="E106" s="6"/>
      <c r="F106" s="6"/>
      <c r="G106" s="6"/>
      <c r="H106" s="6"/>
      <c r="I106" s="10"/>
      <c r="J106" s="6"/>
    </row>
    <row r="107" spans="1:10">
      <c r="A107" s="6"/>
      <c r="B107" s="6"/>
      <c r="C107" s="34" t="s">
        <v>311</v>
      </c>
      <c r="D107" s="6" t="s">
        <v>323</v>
      </c>
      <c r="E107" s="6"/>
      <c r="F107" s="6"/>
      <c r="G107" s="6"/>
      <c r="H107" s="6"/>
      <c r="I107" s="10"/>
      <c r="J107" s="6"/>
    </row>
    <row r="108" spans="1:10">
      <c r="A108" s="6"/>
      <c r="B108" s="6"/>
      <c r="C108" s="6"/>
      <c r="D108" s="6" t="s">
        <v>295</v>
      </c>
      <c r="E108" s="6"/>
      <c r="F108" s="6"/>
      <c r="G108" s="6"/>
      <c r="H108" s="6"/>
      <c r="I108" s="10">
        <f>'LBP NO. 2'!M939</f>
        <v>1038056</v>
      </c>
      <c r="J108" s="6"/>
    </row>
    <row r="109" spans="1:10">
      <c r="A109" s="6"/>
      <c r="B109" s="6"/>
      <c r="C109" s="6"/>
      <c r="D109" s="6" t="s">
        <v>278</v>
      </c>
      <c r="E109" s="6"/>
      <c r="F109" s="6"/>
      <c r="G109" s="6"/>
      <c r="H109" s="6"/>
      <c r="I109" s="10">
        <f>'LBP NO. 2'!M947</f>
        <v>339000</v>
      </c>
      <c r="J109" s="6"/>
    </row>
    <row r="110" spans="1:10">
      <c r="A110" s="6"/>
      <c r="B110" s="6"/>
      <c r="C110" s="6"/>
      <c r="D110" s="6" t="s">
        <v>296</v>
      </c>
      <c r="E110" s="6"/>
      <c r="F110" s="6"/>
      <c r="G110" s="6"/>
      <c r="H110" s="6"/>
      <c r="I110" s="11">
        <f>'LBP NO. 2'!M952</f>
        <v>250000</v>
      </c>
      <c r="J110" s="6"/>
    </row>
    <row r="111" spans="1:10">
      <c r="A111" s="6"/>
      <c r="B111" s="6"/>
      <c r="C111" s="6"/>
      <c r="D111" s="7" t="s">
        <v>15</v>
      </c>
      <c r="E111" s="6"/>
      <c r="F111" s="6"/>
      <c r="G111" s="6"/>
      <c r="H111" s="6"/>
      <c r="I111" s="35">
        <f>SUM(I108:I110)</f>
        <v>1627056</v>
      </c>
      <c r="J111" s="6"/>
    </row>
    <row r="112" spans="1:10">
      <c r="A112" s="6"/>
      <c r="B112" s="6"/>
      <c r="C112" s="6"/>
      <c r="D112" s="6"/>
      <c r="E112" s="6"/>
      <c r="F112" s="6"/>
      <c r="G112" s="6"/>
      <c r="H112" s="6"/>
      <c r="I112" s="10"/>
      <c r="J112" s="6"/>
    </row>
    <row r="113" spans="1:11">
      <c r="A113" s="6"/>
      <c r="B113" s="6"/>
      <c r="C113" s="34" t="s">
        <v>322</v>
      </c>
      <c r="D113" s="6" t="s">
        <v>324</v>
      </c>
      <c r="E113" s="6"/>
      <c r="F113" s="6"/>
      <c r="G113" s="6"/>
      <c r="H113" s="6"/>
      <c r="I113" s="10"/>
      <c r="J113" s="6"/>
    </row>
    <row r="114" spans="1:11">
      <c r="A114" s="6"/>
      <c r="B114" s="6"/>
      <c r="C114" s="6"/>
      <c r="D114" s="6" t="s">
        <v>325</v>
      </c>
      <c r="E114" s="6"/>
      <c r="H114" s="6"/>
      <c r="I114" s="10">
        <f>'LBP NO. 2a'!K52</f>
        <v>8450651</v>
      </c>
      <c r="J114" s="6"/>
    </row>
    <row r="115" spans="1:11">
      <c r="A115" s="6"/>
      <c r="B115" s="6"/>
      <c r="C115" s="6"/>
      <c r="D115" s="6" t="s">
        <v>326</v>
      </c>
      <c r="E115" s="6"/>
      <c r="F115" s="6"/>
      <c r="G115" s="18"/>
      <c r="H115" s="18"/>
      <c r="I115" s="10">
        <f>SUM('LBP NO. 2a'!K135+'LBP NO. 2a'!K199)-I116</f>
        <v>82268639.079999998</v>
      </c>
      <c r="J115" s="6"/>
    </row>
    <row r="116" spans="1:11">
      <c r="A116" s="6"/>
      <c r="B116" s="6"/>
      <c r="C116" s="6"/>
      <c r="D116" s="6" t="s">
        <v>327</v>
      </c>
      <c r="E116" s="6"/>
      <c r="F116" s="6"/>
      <c r="G116" s="18"/>
      <c r="H116" s="18"/>
      <c r="I116" s="11">
        <f>'LBP NO. 2a'!K96</f>
        <v>11580690.699999999</v>
      </c>
      <c r="J116" s="6"/>
    </row>
    <row r="117" spans="1:11">
      <c r="A117" s="6"/>
      <c r="B117" s="6"/>
      <c r="C117" s="6"/>
      <c r="D117" s="6"/>
      <c r="E117" s="6"/>
      <c r="F117" s="6"/>
      <c r="G117" s="18"/>
      <c r="H117" s="18"/>
      <c r="I117" s="35">
        <f>SUM(I114:I116)</f>
        <v>102299980.78</v>
      </c>
      <c r="J117" s="6"/>
    </row>
    <row r="118" spans="1:11">
      <c r="A118" s="6"/>
      <c r="B118" s="6"/>
      <c r="C118" s="6"/>
      <c r="D118" s="7" t="s">
        <v>15</v>
      </c>
      <c r="E118" s="6"/>
      <c r="F118" s="6"/>
      <c r="G118" s="18"/>
      <c r="H118" s="18"/>
      <c r="I118" s="35"/>
      <c r="J118" s="6"/>
    </row>
    <row r="119" spans="1:11">
      <c r="A119" s="6"/>
      <c r="B119" s="6"/>
      <c r="C119" s="6"/>
      <c r="D119" s="7"/>
      <c r="E119" s="6"/>
      <c r="F119" s="6"/>
      <c r="G119" s="18"/>
      <c r="H119" s="18"/>
      <c r="I119" s="35"/>
      <c r="J119" s="6"/>
    </row>
    <row r="120" spans="1:11">
      <c r="A120" s="6"/>
      <c r="B120" s="6"/>
      <c r="C120" s="6"/>
      <c r="D120" s="7" t="s">
        <v>328</v>
      </c>
      <c r="E120" s="6"/>
      <c r="F120" s="6"/>
      <c r="G120" s="18"/>
      <c r="H120" s="18"/>
      <c r="I120" s="35">
        <f>SUM(I117+I111+I105+I99+I93+I87+I81+I75+I66+I60+I53+I48+I42+I35+I30)</f>
        <v>231534335.78</v>
      </c>
      <c r="J120" s="6"/>
    </row>
    <row r="121" spans="1:11" ht="13.5" thickBot="1">
      <c r="A121" s="6"/>
      <c r="B121" s="6"/>
      <c r="C121" s="6"/>
      <c r="D121" s="7" t="s">
        <v>329</v>
      </c>
      <c r="E121" s="6"/>
      <c r="F121" s="6"/>
      <c r="G121" s="18"/>
      <c r="H121" s="18"/>
      <c r="I121" s="31">
        <f>I15-I120</f>
        <v>79478.219999998808</v>
      </c>
      <c r="J121" s="6"/>
    </row>
    <row r="122" spans="1:11" ht="13.5" thickTop="1">
      <c r="A122" s="6"/>
      <c r="B122" s="6"/>
      <c r="C122" s="6"/>
      <c r="D122" s="6"/>
      <c r="E122" s="19"/>
      <c r="H122" s="18"/>
      <c r="I122" s="17"/>
      <c r="J122" s="6"/>
      <c r="K122" s="29"/>
    </row>
    <row r="123" spans="1:11">
      <c r="A123" s="6"/>
      <c r="B123" s="6"/>
      <c r="C123" s="6"/>
      <c r="D123" s="6"/>
      <c r="E123" s="19"/>
      <c r="H123" s="18"/>
      <c r="I123" s="17"/>
      <c r="J123" s="6"/>
    </row>
    <row r="124" spans="1:11">
      <c r="A124" s="6"/>
      <c r="B124" s="6"/>
      <c r="C124" s="6"/>
      <c r="D124" s="6"/>
      <c r="E124" s="19"/>
      <c r="H124" s="18"/>
      <c r="I124" s="17"/>
      <c r="J124" s="6"/>
    </row>
    <row r="125" spans="1:11">
      <c r="A125" s="6"/>
      <c r="B125" s="6"/>
      <c r="C125" s="6"/>
      <c r="D125" s="6"/>
      <c r="E125" s="19"/>
      <c r="H125" s="18"/>
      <c r="I125" s="17"/>
      <c r="J125" s="6"/>
    </row>
    <row r="126" spans="1:11">
      <c r="A126" s="6"/>
      <c r="B126" s="6"/>
      <c r="C126" s="6"/>
      <c r="D126" s="6"/>
      <c r="E126" s="19"/>
      <c r="H126" s="18"/>
      <c r="I126" s="17"/>
      <c r="J126" s="6"/>
    </row>
    <row r="127" spans="1:11">
      <c r="A127" s="6"/>
      <c r="B127" s="6"/>
      <c r="C127" s="6"/>
      <c r="D127" s="6"/>
      <c r="E127" s="19"/>
      <c r="H127" s="18"/>
      <c r="I127" s="17"/>
      <c r="J127" s="6"/>
    </row>
    <row r="128" spans="1:11">
      <c r="A128" s="6"/>
      <c r="B128" s="6"/>
      <c r="C128" s="6"/>
      <c r="D128" s="6"/>
      <c r="E128" s="19"/>
      <c r="H128" s="18"/>
      <c r="I128" s="17"/>
      <c r="J128" s="6"/>
    </row>
    <row r="129" spans="1:10">
      <c r="A129" s="6"/>
      <c r="B129" s="6"/>
      <c r="C129" s="6"/>
      <c r="D129" s="6"/>
      <c r="E129" s="19"/>
      <c r="H129" s="18"/>
      <c r="I129" s="17"/>
      <c r="J129" s="6"/>
    </row>
    <row r="130" spans="1:10">
      <c r="A130" s="6"/>
      <c r="B130" s="6"/>
      <c r="C130" s="6"/>
      <c r="D130" s="6"/>
      <c r="E130" s="19"/>
      <c r="H130" s="18"/>
      <c r="I130" s="17"/>
      <c r="J130" s="6"/>
    </row>
    <row r="131" spans="1:10">
      <c r="A131" s="6"/>
      <c r="B131" s="6"/>
      <c r="C131" s="6"/>
      <c r="D131" s="6"/>
      <c r="E131" s="19"/>
      <c r="H131" s="18"/>
      <c r="I131" s="17"/>
      <c r="J131" s="6"/>
    </row>
    <row r="132" spans="1:10">
      <c r="A132" s="6"/>
      <c r="B132" s="6"/>
      <c r="C132" s="6"/>
      <c r="D132" s="6"/>
      <c r="E132" s="19"/>
      <c r="H132" s="18"/>
      <c r="I132" s="17"/>
      <c r="J132" s="6"/>
    </row>
    <row r="133" spans="1:10">
      <c r="A133" s="6"/>
      <c r="B133" s="6"/>
      <c r="C133" s="6"/>
      <c r="D133" s="6"/>
      <c r="E133" s="19"/>
      <c r="H133" s="18"/>
      <c r="I133" s="17"/>
      <c r="J133" s="6"/>
    </row>
    <row r="134" spans="1:10">
      <c r="A134" s="6"/>
      <c r="B134" s="6"/>
      <c r="C134" s="6"/>
      <c r="D134" s="6"/>
      <c r="E134" s="19"/>
      <c r="H134" s="18"/>
      <c r="I134" s="17"/>
      <c r="J134" s="6"/>
    </row>
    <row r="135" spans="1:10">
      <c r="A135" s="6"/>
      <c r="B135" s="6"/>
      <c r="C135" s="6"/>
      <c r="D135" s="6"/>
      <c r="E135" s="19"/>
      <c r="H135" s="18"/>
      <c r="I135" s="17"/>
      <c r="J135" s="6"/>
    </row>
    <row r="136" spans="1:10">
      <c r="A136" s="6"/>
      <c r="B136" s="6"/>
      <c r="C136" s="6"/>
      <c r="D136" s="6"/>
      <c r="E136" s="19"/>
      <c r="H136" s="18"/>
      <c r="I136" s="17"/>
      <c r="J136" s="6"/>
    </row>
    <row r="137" spans="1:10">
      <c r="A137" s="6"/>
      <c r="B137" s="6"/>
      <c r="C137" s="6"/>
      <c r="D137" s="6"/>
      <c r="E137" s="19"/>
      <c r="H137" s="18"/>
      <c r="I137" s="17"/>
      <c r="J137" s="6"/>
    </row>
    <row r="138" spans="1:10">
      <c r="A138" s="6"/>
      <c r="B138" s="6"/>
      <c r="C138" s="6"/>
      <c r="D138" s="6"/>
      <c r="E138" s="19"/>
      <c r="H138" s="18"/>
      <c r="I138" s="17"/>
      <c r="J138" s="6"/>
    </row>
    <row r="139" spans="1:10">
      <c r="A139" s="6"/>
      <c r="B139" s="6"/>
      <c r="C139" s="6"/>
      <c r="D139" s="6"/>
      <c r="E139" s="19"/>
      <c r="H139" s="18"/>
      <c r="I139" s="17"/>
      <c r="J139" s="6"/>
    </row>
    <row r="140" spans="1:10">
      <c r="A140" s="6"/>
      <c r="B140" s="6"/>
      <c r="C140" s="6"/>
      <c r="D140" s="6"/>
      <c r="E140" s="19"/>
      <c r="H140" s="18"/>
      <c r="I140" s="17"/>
      <c r="J140" s="6"/>
    </row>
    <row r="141" spans="1:10">
      <c r="A141" s="6"/>
      <c r="B141" s="6"/>
      <c r="C141" s="6"/>
      <c r="D141" s="6"/>
      <c r="E141" s="19"/>
      <c r="H141" s="18"/>
      <c r="I141" s="17"/>
      <c r="J141" s="6"/>
    </row>
    <row r="142" spans="1:10">
      <c r="A142" s="6"/>
      <c r="B142" s="2" t="s">
        <v>330</v>
      </c>
      <c r="C142" s="9" t="s">
        <v>331</v>
      </c>
      <c r="D142" s="9"/>
      <c r="E142" s="19"/>
      <c r="H142" s="18"/>
      <c r="I142" s="17"/>
      <c r="J142" s="6"/>
    </row>
    <row r="143" spans="1:10">
      <c r="A143" s="6"/>
      <c r="B143" s="6"/>
      <c r="C143" s="6"/>
      <c r="D143" s="6" t="s">
        <v>295</v>
      </c>
      <c r="E143" s="19"/>
      <c r="H143" s="18"/>
      <c r="I143" s="17">
        <f>'LBP NO. 2'!M1012</f>
        <v>7209000</v>
      </c>
      <c r="J143" s="6"/>
    </row>
    <row r="144" spans="1:10">
      <c r="A144" s="6"/>
      <c r="B144" s="6"/>
      <c r="C144" s="6"/>
      <c r="D144" s="6" t="s">
        <v>278</v>
      </c>
      <c r="E144" s="19"/>
      <c r="H144" s="18"/>
      <c r="I144" s="17">
        <f>'LBP NO. 2'!M1024</f>
        <v>1156000</v>
      </c>
      <c r="J144" s="6"/>
    </row>
    <row r="145" spans="1:10">
      <c r="A145" s="6"/>
      <c r="B145" s="6"/>
      <c r="C145" s="6"/>
      <c r="D145" s="6" t="s">
        <v>296</v>
      </c>
      <c r="E145" s="19"/>
      <c r="H145" s="18"/>
      <c r="I145" s="17">
        <f>'LBP NO. 2'!M1031</f>
        <v>260000</v>
      </c>
      <c r="J145" s="6"/>
    </row>
    <row r="146" spans="1:10">
      <c r="A146" s="6"/>
      <c r="B146" s="6"/>
      <c r="C146" s="6"/>
      <c r="D146" s="6" t="s">
        <v>327</v>
      </c>
      <c r="E146" s="19"/>
      <c r="H146" s="18"/>
      <c r="I146" s="36">
        <f>'LBP NO. 1'!N307</f>
        <v>0</v>
      </c>
      <c r="J146" s="6"/>
    </row>
    <row r="147" spans="1:10">
      <c r="A147" s="6"/>
      <c r="B147" s="6"/>
      <c r="C147" s="6"/>
      <c r="D147" s="7" t="s">
        <v>332</v>
      </c>
      <c r="E147" s="19"/>
      <c r="H147" s="18"/>
      <c r="I147" s="17">
        <f>SUM(I143:I146)</f>
        <v>8625000</v>
      </c>
      <c r="J147" s="6"/>
    </row>
    <row r="148" spans="1:10" ht="13.5" thickBot="1">
      <c r="A148" s="6"/>
      <c r="B148" s="6"/>
      <c r="C148" s="6"/>
      <c r="D148" s="7" t="s">
        <v>329</v>
      </c>
      <c r="E148" s="19"/>
      <c r="H148" s="18"/>
      <c r="I148" s="37">
        <f>I21-I147</f>
        <v>0</v>
      </c>
      <c r="J148" s="6"/>
    </row>
    <row r="149" spans="1:10" ht="13.5" thickTop="1">
      <c r="A149" s="6"/>
      <c r="B149" s="6"/>
      <c r="C149" s="6"/>
      <c r="D149" s="6"/>
      <c r="E149" s="19"/>
      <c r="H149" s="18"/>
      <c r="I149" s="17"/>
      <c r="J149" s="6"/>
    </row>
    <row r="150" spans="1:10">
      <c r="A150" s="6"/>
      <c r="B150" s="6"/>
      <c r="C150" s="6"/>
      <c r="D150" s="6"/>
      <c r="E150" s="6"/>
      <c r="F150" s="6"/>
      <c r="G150" s="19"/>
      <c r="H150" s="18"/>
      <c r="I150" s="17"/>
      <c r="J150" s="6"/>
    </row>
    <row r="151" spans="1:10">
      <c r="A151" s="15" t="s">
        <v>333</v>
      </c>
      <c r="B151" s="22"/>
      <c r="C151" s="22"/>
      <c r="D151" s="22"/>
      <c r="E151" s="22"/>
      <c r="F151" s="22"/>
      <c r="G151" s="22"/>
      <c r="H151" s="22"/>
      <c r="I151" s="22"/>
      <c r="J151" s="22"/>
    </row>
    <row r="153" spans="1:10">
      <c r="D153" s="6" t="s">
        <v>290</v>
      </c>
    </row>
    <row r="154" spans="1:10">
      <c r="D154" s="6" t="s">
        <v>334</v>
      </c>
      <c r="I154" s="29">
        <f>I15</f>
        <v>231613814</v>
      </c>
    </row>
    <row r="155" spans="1:10">
      <c r="D155" s="6" t="s">
        <v>335</v>
      </c>
      <c r="I155" s="38">
        <f>I21</f>
        <v>8625000</v>
      </c>
    </row>
    <row r="156" spans="1:10" ht="13.5" thickBot="1">
      <c r="D156" s="7" t="s">
        <v>336</v>
      </c>
      <c r="I156" s="39">
        <f>SUM(I154:I155)</f>
        <v>240238814</v>
      </c>
    </row>
    <row r="157" spans="1:10" ht="13.5" thickTop="1"/>
    <row r="159" spans="1:10">
      <c r="D159" s="6" t="s">
        <v>337</v>
      </c>
    </row>
    <row r="160" spans="1:10">
      <c r="D160" s="6" t="s">
        <v>334</v>
      </c>
      <c r="I160" s="29">
        <f>I120</f>
        <v>231534335.78</v>
      </c>
    </row>
    <row r="161" spans="1:9">
      <c r="D161" s="6" t="s">
        <v>335</v>
      </c>
      <c r="I161" s="38">
        <f>I147</f>
        <v>8625000</v>
      </c>
    </row>
    <row r="162" spans="1:9" ht="13.5" thickBot="1">
      <c r="D162" s="7" t="s">
        <v>338</v>
      </c>
      <c r="I162" s="39">
        <f>SUM(I160:I161)</f>
        <v>240159335.78</v>
      </c>
    </row>
    <row r="163" spans="1:9" ht="13.5" thickTop="1"/>
    <row r="165" spans="1:9">
      <c r="D165" s="6" t="s">
        <v>339</v>
      </c>
      <c r="I165" s="29"/>
    </row>
    <row r="166" spans="1:9">
      <c r="D166" s="6" t="s">
        <v>334</v>
      </c>
      <c r="I166" s="48">
        <f>I121</f>
        <v>79478.219999998808</v>
      </c>
    </row>
    <row r="167" spans="1:9">
      <c r="D167" s="6" t="s">
        <v>335</v>
      </c>
      <c r="I167" s="49">
        <f>I148</f>
        <v>0</v>
      </c>
    </row>
    <row r="168" spans="1:9">
      <c r="E168" s="7" t="s">
        <v>15</v>
      </c>
      <c r="I168" s="24">
        <f>I166+I167</f>
        <v>79478.219999998808</v>
      </c>
    </row>
    <row r="170" spans="1:9" ht="13.5" thickBot="1">
      <c r="E170" s="7" t="s">
        <v>42</v>
      </c>
      <c r="I170" s="25">
        <f>I168+I162</f>
        <v>240238814</v>
      </c>
    </row>
    <row r="171" spans="1:9" ht="13.5" thickTop="1"/>
    <row r="173" spans="1:9">
      <c r="A173" s="15" t="s">
        <v>340</v>
      </c>
    </row>
    <row r="175" spans="1:9">
      <c r="A175" s="40" t="s">
        <v>341</v>
      </c>
      <c r="B175" s="6" t="s">
        <v>349</v>
      </c>
      <c r="H175" s="6" t="s">
        <v>866</v>
      </c>
    </row>
    <row r="176" spans="1:9">
      <c r="A176" s="40"/>
      <c r="B176" s="6"/>
      <c r="H176" s="6" t="s">
        <v>867</v>
      </c>
    </row>
    <row r="177" spans="1:8">
      <c r="A177" s="40"/>
      <c r="B177" s="6"/>
      <c r="H177" s="6"/>
    </row>
    <row r="178" spans="1:8">
      <c r="A178" s="40" t="s">
        <v>342</v>
      </c>
      <c r="B178" s="6" t="s">
        <v>350</v>
      </c>
      <c r="H178" s="6" t="s">
        <v>868</v>
      </c>
    </row>
    <row r="179" spans="1:8">
      <c r="H179" s="6" t="s">
        <v>869</v>
      </c>
    </row>
    <row r="180" spans="1:8">
      <c r="H180" s="6"/>
    </row>
    <row r="181" spans="1:8">
      <c r="A181" s="40" t="s">
        <v>343</v>
      </c>
      <c r="B181" s="6" t="s">
        <v>865</v>
      </c>
      <c r="H181" s="6" t="s">
        <v>868</v>
      </c>
    </row>
    <row r="182" spans="1:8">
      <c r="H182" s="6" t="s">
        <v>875</v>
      </c>
    </row>
    <row r="183" spans="1:8">
      <c r="H183" s="6"/>
    </row>
    <row r="184" spans="1:8">
      <c r="A184" s="40" t="s">
        <v>344</v>
      </c>
      <c r="B184" s="6" t="s">
        <v>351</v>
      </c>
      <c r="H184" s="6" t="s">
        <v>356</v>
      </c>
    </row>
    <row r="185" spans="1:8">
      <c r="A185" s="40"/>
      <c r="B185" s="6"/>
      <c r="H185" s="6"/>
    </row>
    <row r="186" spans="1:8">
      <c r="A186" s="105" t="s">
        <v>345</v>
      </c>
      <c r="B186" s="104" t="s">
        <v>920</v>
      </c>
      <c r="H186" s="104" t="s">
        <v>921</v>
      </c>
    </row>
    <row r="187" spans="1:8">
      <c r="A187" s="40"/>
      <c r="B187" s="6"/>
      <c r="H187" s="6"/>
    </row>
    <row r="188" spans="1:8">
      <c r="A188" s="105" t="s">
        <v>346</v>
      </c>
      <c r="B188" s="6" t="s">
        <v>352</v>
      </c>
      <c r="H188" s="6" t="s">
        <v>870</v>
      </c>
    </row>
    <row r="189" spans="1:8">
      <c r="A189" s="40"/>
      <c r="B189" s="6"/>
      <c r="H189" s="6" t="s">
        <v>871</v>
      </c>
    </row>
    <row r="191" spans="1:8">
      <c r="A191" s="105" t="s">
        <v>347</v>
      </c>
      <c r="B191" s="6" t="s">
        <v>353</v>
      </c>
      <c r="H191" s="6" t="s">
        <v>872</v>
      </c>
    </row>
    <row r="192" spans="1:8">
      <c r="A192" s="40"/>
      <c r="B192" s="6"/>
      <c r="H192" s="6"/>
    </row>
    <row r="193" spans="1:9">
      <c r="A193" s="105" t="s">
        <v>348</v>
      </c>
      <c r="B193" s="6" t="s">
        <v>354</v>
      </c>
      <c r="H193" s="6" t="s">
        <v>873</v>
      </c>
    </row>
    <row r="194" spans="1:9">
      <c r="H194" s="6" t="s">
        <v>357</v>
      </c>
    </row>
    <row r="195" spans="1:9">
      <c r="H195" s="6"/>
    </row>
    <row r="196" spans="1:9">
      <c r="A196" s="105" t="s">
        <v>922</v>
      </c>
      <c r="B196" s="6" t="s">
        <v>355</v>
      </c>
      <c r="H196" s="6" t="s">
        <v>874</v>
      </c>
    </row>
    <row r="197" spans="1:9">
      <c r="A197" s="40"/>
      <c r="B197" s="6"/>
      <c r="H197" s="6"/>
    </row>
    <row r="201" spans="1:9">
      <c r="A201" s="1496" t="s">
        <v>1691</v>
      </c>
      <c r="B201" s="1496"/>
      <c r="C201" s="1496"/>
      <c r="D201" s="1496"/>
      <c r="E201" s="1496"/>
      <c r="F201" s="1496"/>
      <c r="G201" s="1496"/>
      <c r="H201" s="1496"/>
      <c r="I201" s="1496"/>
    </row>
    <row r="202" spans="1:9">
      <c r="A202" s="1496" t="s">
        <v>358</v>
      </c>
      <c r="B202" s="1496"/>
      <c r="C202" s="1496"/>
      <c r="D202" s="1496"/>
      <c r="E202" s="1496"/>
      <c r="F202" s="1496"/>
      <c r="G202" s="1496"/>
      <c r="H202" s="1496"/>
      <c r="I202" s="1496"/>
    </row>
    <row r="203" spans="1:9">
      <c r="A203" s="1496" t="s">
        <v>178</v>
      </c>
      <c r="B203" s="1496"/>
      <c r="C203" s="1496"/>
      <c r="D203" s="1496"/>
      <c r="E203" s="1496"/>
      <c r="F203" s="1496"/>
      <c r="G203" s="1496"/>
      <c r="H203" s="1496"/>
      <c r="I203" s="1496"/>
    </row>
    <row r="204" spans="1:9">
      <c r="A204" s="1496" t="s">
        <v>0</v>
      </c>
      <c r="B204" s="1496"/>
      <c r="C204" s="1496"/>
      <c r="D204" s="1496"/>
      <c r="E204" s="1496"/>
      <c r="F204" s="1496"/>
      <c r="G204" s="1496"/>
      <c r="H204" s="1496"/>
      <c r="I204" s="1496"/>
    </row>
    <row r="206" spans="1:9">
      <c r="I206" s="41"/>
    </row>
    <row r="207" spans="1:9">
      <c r="I207" s="41"/>
    </row>
    <row r="208" spans="1:9">
      <c r="A208" s="6" t="s">
        <v>359</v>
      </c>
      <c r="I208" s="41">
        <f>I15</f>
        <v>231613814</v>
      </c>
    </row>
    <row r="209" spans="1:13">
      <c r="I209" s="41"/>
    </row>
    <row r="210" spans="1:13">
      <c r="A210" s="6" t="s">
        <v>360</v>
      </c>
      <c r="I210" s="42">
        <f>I120</f>
        <v>231534335.78</v>
      </c>
    </row>
    <row r="211" spans="1:13">
      <c r="I211" s="41"/>
    </row>
    <row r="212" spans="1:13" ht="13.5" thickBot="1">
      <c r="B212" s="6" t="s">
        <v>20</v>
      </c>
      <c r="I212" s="43">
        <f>I208-I210</f>
        <v>79478.219999998808</v>
      </c>
    </row>
    <row r="213" spans="1:13" ht="13.5" thickTop="1">
      <c r="I213" s="41"/>
    </row>
    <row r="214" spans="1:13">
      <c r="I214" s="41"/>
    </row>
    <row r="215" spans="1:13">
      <c r="I215" s="41"/>
    </row>
    <row r="216" spans="1:13">
      <c r="A216" s="104" t="s">
        <v>1671</v>
      </c>
      <c r="I216" s="41">
        <f>SUM('LBP NO. 1'!J38+'LBP NO. 1'!J69+'LBP NO. 1'!J72)</f>
        <v>163017880.28999999</v>
      </c>
    </row>
    <row r="217" spans="1:13">
      <c r="I217" s="44" t="s">
        <v>361</v>
      </c>
    </row>
    <row r="218" spans="1:13">
      <c r="A218" s="104" t="s">
        <v>1672</v>
      </c>
      <c r="I218" s="41">
        <f>I216*0.45</f>
        <v>73358046.130500004</v>
      </c>
    </row>
    <row r="219" spans="1:13">
      <c r="A219" s="104" t="s">
        <v>1673</v>
      </c>
      <c r="I219" s="42">
        <f>I230</f>
        <v>73335629.799999997</v>
      </c>
      <c r="K219" s="21"/>
      <c r="M219" s="6" t="s">
        <v>427</v>
      </c>
    </row>
    <row r="220" spans="1:13" ht="13.5" thickBot="1">
      <c r="B220" s="7" t="s">
        <v>362</v>
      </c>
      <c r="I220" s="46">
        <f>I218-I219</f>
        <v>22416.330500006676</v>
      </c>
    </row>
    <row r="221" spans="1:13" ht="13.5" thickTop="1">
      <c r="I221" s="41"/>
    </row>
    <row r="222" spans="1:13">
      <c r="I222" s="41"/>
    </row>
    <row r="223" spans="1:13">
      <c r="I223" s="41"/>
    </row>
    <row r="224" spans="1:13">
      <c r="A224" s="7" t="s">
        <v>363</v>
      </c>
      <c r="I224" s="41"/>
    </row>
    <row r="225" spans="1:10">
      <c r="I225" s="41"/>
    </row>
    <row r="226" spans="1:10">
      <c r="A226" s="6" t="s">
        <v>364</v>
      </c>
      <c r="I226" s="41">
        <f>'PROPOSED BUDGET'!H46</f>
        <v>76935629.799999997</v>
      </c>
    </row>
    <row r="227" spans="1:10">
      <c r="A227" s="6" t="s">
        <v>422</v>
      </c>
      <c r="C227" s="6" t="s">
        <v>372</v>
      </c>
      <c r="F227" s="6"/>
      <c r="H227" s="29"/>
      <c r="I227" s="50">
        <f>'LBP NO. 1'!N115</f>
        <v>3600000</v>
      </c>
    </row>
    <row r="228" spans="1:10">
      <c r="A228" s="6"/>
      <c r="C228" s="104" t="s">
        <v>549</v>
      </c>
      <c r="F228" s="6"/>
      <c r="H228" s="29"/>
      <c r="I228" s="50">
        <f>'LBP NO. 1'!N117</f>
        <v>0</v>
      </c>
    </row>
    <row r="229" spans="1:10">
      <c r="C229" s="52"/>
      <c r="D229" s="52"/>
      <c r="E229" s="52"/>
      <c r="F229" s="52"/>
      <c r="G229" s="52"/>
      <c r="H229" s="52"/>
    </row>
    <row r="230" spans="1:10" ht="13.5" thickBot="1">
      <c r="A230" s="6" t="s">
        <v>365</v>
      </c>
      <c r="C230" s="52"/>
      <c r="D230" s="52"/>
      <c r="E230" s="52"/>
      <c r="F230" s="52"/>
      <c r="G230" s="52"/>
      <c r="H230" s="52"/>
      <c r="I230" s="45">
        <f>I226-I227-I228</f>
        <v>73335629.799999997</v>
      </c>
    </row>
    <row r="231" spans="1:10" ht="13.5" thickTop="1">
      <c r="C231" s="52"/>
      <c r="D231" s="52"/>
      <c r="E231" s="52"/>
      <c r="F231" s="52"/>
      <c r="G231" s="52"/>
      <c r="H231" s="52"/>
      <c r="I231" s="41"/>
    </row>
    <row r="232" spans="1:10">
      <c r="C232" s="52"/>
      <c r="D232" s="52"/>
      <c r="E232" s="52"/>
      <c r="F232" s="52"/>
      <c r="G232" s="52"/>
      <c r="H232" s="52"/>
      <c r="I232" s="41"/>
    </row>
    <row r="233" spans="1:10">
      <c r="A233" s="1496" t="s">
        <v>1691</v>
      </c>
      <c r="B233" s="1496"/>
      <c r="C233" s="1496"/>
      <c r="D233" s="1496"/>
      <c r="E233" s="1496"/>
      <c r="F233" s="1496"/>
      <c r="G233" s="1496"/>
      <c r="H233" s="1496"/>
      <c r="I233" s="1496"/>
      <c r="J233" s="1496"/>
    </row>
    <row r="234" spans="1:10">
      <c r="A234" s="1496" t="s">
        <v>358</v>
      </c>
      <c r="B234" s="1496"/>
      <c r="C234" s="1496"/>
      <c r="D234" s="1496"/>
      <c r="E234" s="1496"/>
      <c r="F234" s="1496"/>
      <c r="G234" s="1496"/>
      <c r="H234" s="1496"/>
      <c r="I234" s="1496"/>
      <c r="J234" s="1496"/>
    </row>
    <row r="235" spans="1:10">
      <c r="A235" s="1496" t="s">
        <v>178</v>
      </c>
      <c r="B235" s="1496"/>
      <c r="C235" s="1496"/>
      <c r="D235" s="1496"/>
      <c r="E235" s="1496"/>
      <c r="F235" s="1496"/>
      <c r="G235" s="1496"/>
      <c r="H235" s="1496"/>
      <c r="I235" s="1496"/>
      <c r="J235" s="1496"/>
    </row>
    <row r="236" spans="1:10">
      <c r="A236" s="1496" t="s">
        <v>10</v>
      </c>
      <c r="B236" s="1496"/>
      <c r="C236" s="1496"/>
      <c r="D236" s="1496"/>
      <c r="E236" s="1496"/>
      <c r="F236" s="1496"/>
      <c r="G236" s="1496"/>
      <c r="H236" s="1496"/>
      <c r="I236" s="1496"/>
      <c r="J236" s="1496"/>
    </row>
    <row r="237" spans="1:10">
      <c r="I237" s="41"/>
    </row>
    <row r="239" spans="1:10">
      <c r="A239" s="7" t="s">
        <v>366</v>
      </c>
    </row>
    <row r="241" spans="2:9">
      <c r="B241" s="104" t="s">
        <v>526</v>
      </c>
      <c r="I241" s="53">
        <f>'LBP NO. 2'!M990</f>
        <v>3940171</v>
      </c>
    </row>
    <row r="242" spans="2:9">
      <c r="B242" s="6" t="s">
        <v>528</v>
      </c>
      <c r="I242" s="53">
        <f>'LBP NO. 2'!M993</f>
        <v>576000</v>
      </c>
    </row>
    <row r="243" spans="2:9">
      <c r="B243" s="6" t="s">
        <v>539</v>
      </c>
      <c r="I243" s="53">
        <f>'LBP NO. 2'!M994</f>
        <v>144000</v>
      </c>
    </row>
    <row r="244" spans="2:9">
      <c r="B244" s="104" t="s">
        <v>938</v>
      </c>
      <c r="I244" s="53">
        <f>'LBP NO. 2'!M995</f>
        <v>19800</v>
      </c>
    </row>
    <row r="245" spans="2:9">
      <c r="B245" s="104" t="s">
        <v>795</v>
      </c>
      <c r="I245" s="53">
        <f>'LBP NO. 2'!M996</f>
        <v>120000</v>
      </c>
    </row>
    <row r="246" spans="2:9">
      <c r="B246" s="6" t="s">
        <v>541</v>
      </c>
      <c r="I246" s="53">
        <f>'LBP NO. 2'!M997</f>
        <v>15000</v>
      </c>
    </row>
    <row r="247" spans="2:9">
      <c r="B247" s="6" t="s">
        <v>543</v>
      </c>
      <c r="I247" s="53">
        <f>'LBP NO. 2'!M1000</f>
        <v>21336</v>
      </c>
    </row>
    <row r="248" spans="2:9">
      <c r="B248" s="6" t="s">
        <v>367</v>
      </c>
      <c r="I248" s="53">
        <f>'LBP NO. 2'!M1001</f>
        <v>100000</v>
      </c>
    </row>
    <row r="249" spans="2:9">
      <c r="B249" s="6" t="s">
        <v>368</v>
      </c>
      <c r="I249" s="53">
        <f>'LBP NO. 2'!M1002</f>
        <v>120000</v>
      </c>
    </row>
    <row r="250" spans="2:9">
      <c r="B250" s="6" t="s">
        <v>805</v>
      </c>
      <c r="I250" s="53">
        <f>'LBP NO. 2'!M1003</f>
        <v>328301</v>
      </c>
    </row>
    <row r="251" spans="2:9">
      <c r="B251" s="104" t="s">
        <v>1513</v>
      </c>
      <c r="I251" s="53">
        <f>'LBP NO. 2'!M999</f>
        <v>220000</v>
      </c>
    </row>
    <row r="252" spans="2:9">
      <c r="B252" s="6" t="s">
        <v>545</v>
      </c>
      <c r="I252" s="53">
        <f>'LBP NO. 2'!M1004</f>
        <v>328392</v>
      </c>
    </row>
    <row r="253" spans="2:9">
      <c r="B253" s="6" t="s">
        <v>658</v>
      </c>
      <c r="I253" s="53">
        <f>'LBP NO. 2'!M1005</f>
        <v>474000</v>
      </c>
    </row>
    <row r="254" spans="2:9">
      <c r="B254" s="6" t="s">
        <v>369</v>
      </c>
      <c r="I254" s="53">
        <f>'LBP NO. 2'!M1006</f>
        <v>43200</v>
      </c>
    </row>
    <row r="255" spans="2:9">
      <c r="B255" s="6" t="s">
        <v>370</v>
      </c>
      <c r="I255" s="53">
        <f>'LBP NO. 2'!M1007</f>
        <v>80000</v>
      </c>
    </row>
    <row r="256" spans="2:9">
      <c r="B256" s="6" t="s">
        <v>654</v>
      </c>
      <c r="I256" s="53">
        <f>'LBP NO. 2'!M1008</f>
        <v>28800</v>
      </c>
    </row>
    <row r="257" spans="1:10">
      <c r="B257" s="104" t="s">
        <v>549</v>
      </c>
      <c r="I257" s="611">
        <f>'LBP NO. 2'!M1010</f>
        <v>410000</v>
      </c>
    </row>
    <row r="258" spans="1:10">
      <c r="B258" s="104" t="s">
        <v>1514</v>
      </c>
      <c r="I258" s="54">
        <f>'LBP NO. 2'!M1011</f>
        <v>240000</v>
      </c>
    </row>
    <row r="259" spans="1:10">
      <c r="A259" s="7" t="s">
        <v>371</v>
      </c>
      <c r="I259" s="41">
        <f>SUM(I241:I258)</f>
        <v>7209000</v>
      </c>
    </row>
    <row r="260" spans="1:10">
      <c r="I260" s="41"/>
    </row>
    <row r="261" spans="1:10">
      <c r="A261" s="7" t="s">
        <v>373</v>
      </c>
      <c r="I261" s="41"/>
    </row>
    <row r="262" spans="1:10">
      <c r="I262" s="41"/>
    </row>
    <row r="263" spans="1:10">
      <c r="B263" s="6" t="s">
        <v>374</v>
      </c>
      <c r="I263" s="41">
        <f>'LBP NO. 2'!M1014</f>
        <v>44000</v>
      </c>
    </row>
    <row r="264" spans="1:10">
      <c r="B264" s="6" t="s">
        <v>429</v>
      </c>
      <c r="I264" s="41">
        <f>'LBP NO. 2'!M1015</f>
        <v>40000</v>
      </c>
    </row>
    <row r="265" spans="1:10">
      <c r="B265" s="6" t="s">
        <v>378</v>
      </c>
      <c r="I265" s="41">
        <f>'LBP NO. 2'!M1016</f>
        <v>450000</v>
      </c>
      <c r="J265" s="28"/>
    </row>
    <row r="266" spans="1:10">
      <c r="B266" s="6" t="s">
        <v>557</v>
      </c>
      <c r="C266" s="6"/>
      <c r="I266" s="41">
        <f>'LBP NO. 2'!M1018</f>
        <v>36000</v>
      </c>
    </row>
    <row r="267" spans="1:10">
      <c r="B267" s="104" t="s">
        <v>955</v>
      </c>
      <c r="C267" s="6"/>
      <c r="I267" s="41">
        <f>'LBP NO. 2'!M1020</f>
        <v>276000</v>
      </c>
    </row>
    <row r="268" spans="1:10">
      <c r="B268" s="6" t="s">
        <v>931</v>
      </c>
      <c r="C268" s="6"/>
      <c r="I268" s="41">
        <f>'LBP NO. 2'!M1021</f>
        <v>40000</v>
      </c>
    </row>
    <row r="269" spans="1:10">
      <c r="B269" s="6" t="s">
        <v>375</v>
      </c>
      <c r="C269" s="6"/>
      <c r="I269" s="41">
        <f>'LBP NO. 2'!M1022</f>
        <v>270000</v>
      </c>
    </row>
    <row r="270" spans="1:10">
      <c r="A270" s="7" t="s">
        <v>276</v>
      </c>
      <c r="B270" s="6"/>
      <c r="I270" s="41">
        <f>SUM(I263:I269)</f>
        <v>1156000</v>
      </c>
    </row>
    <row r="271" spans="1:10">
      <c r="I271" s="41"/>
    </row>
    <row r="272" spans="1:10">
      <c r="A272" s="7" t="s">
        <v>379</v>
      </c>
      <c r="I272" s="41">
        <f>'LBP NO. 2'!M1031</f>
        <v>260000</v>
      </c>
      <c r="J272" s="41">
        <f>SUM(I272+I270+I259)</f>
        <v>8625000</v>
      </c>
    </row>
    <row r="273" spans="1:10">
      <c r="I273" s="41"/>
    </row>
    <row r="274" spans="1:10">
      <c r="F274" s="7" t="s">
        <v>380</v>
      </c>
      <c r="I274" s="41"/>
      <c r="J274" s="41">
        <f>J272</f>
        <v>8625000</v>
      </c>
    </row>
    <row r="275" spans="1:10" ht="13.5" thickBot="1">
      <c r="F275" s="7" t="s">
        <v>42</v>
      </c>
      <c r="I275" s="41"/>
      <c r="J275" s="46">
        <f>J274</f>
        <v>8625000</v>
      </c>
    </row>
    <row r="276" spans="1:10" ht="13.5" thickTop="1">
      <c r="I276" s="41"/>
      <c r="J276" s="41"/>
    </row>
    <row r="277" spans="1:10">
      <c r="A277" s="7" t="s">
        <v>10</v>
      </c>
      <c r="I277" s="41"/>
      <c r="J277" s="41"/>
    </row>
    <row r="278" spans="1:10">
      <c r="I278" s="41"/>
      <c r="J278" s="41"/>
    </row>
    <row r="279" spans="1:10">
      <c r="A279" s="6" t="s">
        <v>269</v>
      </c>
      <c r="I279" s="41"/>
      <c r="J279" s="41">
        <f>I21</f>
        <v>8625000</v>
      </c>
    </row>
    <row r="280" spans="1:10">
      <c r="A280" s="6" t="s">
        <v>360</v>
      </c>
      <c r="I280" s="41"/>
      <c r="J280" s="42">
        <f>I147</f>
        <v>8625000</v>
      </c>
    </row>
    <row r="281" spans="1:10" ht="13.5" thickBot="1">
      <c r="A281" s="7" t="s">
        <v>20</v>
      </c>
      <c r="I281" s="41"/>
      <c r="J281" s="102">
        <f>J279-J280</f>
        <v>0</v>
      </c>
    </row>
    <row r="282" spans="1:10" ht="13.5" thickTop="1">
      <c r="I282" s="41"/>
    </row>
    <row r="283" spans="1:10">
      <c r="I283" s="41"/>
    </row>
  </sheetData>
  <mergeCells count="12">
    <mergeCell ref="A236:J236"/>
    <mergeCell ref="A201:I201"/>
    <mergeCell ref="A202:I202"/>
    <mergeCell ref="A203:I203"/>
    <mergeCell ref="A204:I204"/>
    <mergeCell ref="A233:J233"/>
    <mergeCell ref="A235:J235"/>
    <mergeCell ref="A1:J1"/>
    <mergeCell ref="A2:J2"/>
    <mergeCell ref="A3:J3"/>
    <mergeCell ref="A7:J7"/>
    <mergeCell ref="A234:J234"/>
  </mergeCells>
  <printOptions horizontalCentered="1"/>
  <pageMargins left="0.5" right="0.5" top="0.75" bottom="0.5" header="0.3" footer="0.5"/>
  <pageSetup paperSize="256" scale="95" orientation="portrait" r:id="rId1"/>
  <headerFooter alignWithMargins="0">
    <oddFooter xml:space="preserve">&amp;C&amp;12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4"/>
  <sheetViews>
    <sheetView tabSelected="1" workbookViewId="0">
      <selection activeCell="S13" sqref="S13"/>
    </sheetView>
  </sheetViews>
  <sheetFormatPr defaultRowHeight="12.75"/>
  <cols>
    <col min="1" max="1" width="2.7109375" style="104" customWidth="1"/>
    <col min="2" max="2" width="2.140625" style="104" customWidth="1"/>
    <col min="3" max="5" width="1.7109375" style="104" customWidth="1"/>
    <col min="6" max="6" width="33.85546875" style="104" customWidth="1"/>
    <col min="7" max="7" width="4" style="861" hidden="1" customWidth="1"/>
    <col min="8" max="8" width="12.28515625" style="104" customWidth="1"/>
    <col min="9" max="9" width="12" style="1" customWidth="1"/>
    <col min="10" max="10" width="14.7109375" style="104" customWidth="1"/>
    <col min="11" max="11" width="14.5703125" style="104" hidden="1" customWidth="1"/>
    <col min="12" max="12" width="14.7109375" style="739" hidden="1" customWidth="1"/>
    <col min="13" max="13" width="14.5703125" style="739" customWidth="1"/>
    <col min="14" max="14" width="15.5703125" style="104" customWidth="1"/>
    <col min="15" max="15" width="2.7109375" style="104" customWidth="1"/>
    <col min="16" max="16" width="9.140625" style="104"/>
    <col min="17" max="17" width="10.28515625" style="104" customWidth="1"/>
    <col min="18" max="16384" width="9.140625" style="104"/>
  </cols>
  <sheetData>
    <row r="1" spans="1:14" ht="18" customHeight="1">
      <c r="A1" s="1259" t="s">
        <v>883</v>
      </c>
      <c r="B1" s="1259"/>
      <c r="C1" s="1259"/>
      <c r="D1" s="1259"/>
      <c r="E1" s="1259"/>
      <c r="F1" s="1259"/>
      <c r="G1" s="1259"/>
      <c r="H1" s="1259"/>
      <c r="I1" s="1259"/>
      <c r="J1" s="1259"/>
      <c r="K1" s="1259"/>
      <c r="L1" s="1259"/>
      <c r="M1" s="1259"/>
      <c r="N1" s="1259"/>
    </row>
    <row r="2" spans="1:14" ht="18" customHeight="1">
      <c r="A2" s="1259" t="s">
        <v>178</v>
      </c>
      <c r="B2" s="1259"/>
      <c r="C2" s="1259"/>
      <c r="D2" s="1259"/>
      <c r="E2" s="1259"/>
      <c r="F2" s="1259"/>
      <c r="G2" s="1259"/>
      <c r="H2" s="1259"/>
      <c r="I2" s="1259"/>
      <c r="J2" s="1259"/>
      <c r="K2" s="1259"/>
      <c r="L2" s="1259"/>
      <c r="M2" s="1259"/>
      <c r="N2" s="1259"/>
    </row>
    <row r="3" spans="1:14" ht="18" customHeight="1">
      <c r="A3" s="1259" t="s">
        <v>1742</v>
      </c>
      <c r="B3" s="1259"/>
      <c r="C3" s="1259"/>
      <c r="D3" s="1259"/>
      <c r="E3" s="1259"/>
      <c r="F3" s="1259"/>
      <c r="G3" s="1259"/>
      <c r="H3" s="1259"/>
      <c r="I3" s="1259"/>
      <c r="J3" s="1259"/>
      <c r="K3" s="1259"/>
      <c r="L3" s="1259"/>
      <c r="M3" s="1259"/>
      <c r="N3" s="1259"/>
    </row>
    <row r="4" spans="1:14" ht="18" customHeight="1">
      <c r="A4" s="1259"/>
      <c r="B4" s="1259"/>
      <c r="C4" s="1259"/>
      <c r="D4" s="1259"/>
      <c r="E4" s="1259"/>
      <c r="F4" s="1259"/>
      <c r="G4" s="1259"/>
      <c r="H4" s="1259"/>
      <c r="I4" s="1259"/>
      <c r="J4" s="1259"/>
      <c r="K4" s="1259"/>
      <c r="L4" s="1259"/>
      <c r="M4" s="1259"/>
      <c r="N4" s="1259"/>
    </row>
    <row r="5" spans="1:14" ht="18" customHeight="1">
      <c r="A5" s="1113"/>
      <c r="B5" s="1113"/>
      <c r="C5" s="1113"/>
      <c r="D5" s="1113"/>
      <c r="E5" s="1113"/>
      <c r="F5" s="1113"/>
      <c r="G5" s="1145"/>
      <c r="H5" s="1113"/>
      <c r="I5" s="1160"/>
      <c r="J5" s="1113"/>
      <c r="K5" s="1113"/>
      <c r="L5" s="1146"/>
      <c r="M5" s="1146"/>
      <c r="N5" s="1113"/>
    </row>
    <row r="6" spans="1:14" ht="18" customHeight="1">
      <c r="A6" s="1232" t="s">
        <v>1743</v>
      </c>
      <c r="B6" s="1232"/>
      <c r="C6" s="1232"/>
      <c r="D6" s="1232"/>
      <c r="E6" s="1232"/>
      <c r="F6" s="1232"/>
      <c r="G6" s="1232"/>
      <c r="H6" s="1232"/>
      <c r="I6" s="1232"/>
      <c r="J6" s="1232"/>
      <c r="K6" s="1232"/>
      <c r="L6" s="1232"/>
      <c r="M6" s="1232"/>
      <c r="N6" s="1232"/>
    </row>
    <row r="7" spans="1:14" ht="12" customHeight="1">
      <c r="A7" s="1234" t="s">
        <v>1744</v>
      </c>
      <c r="B7" s="1234"/>
      <c r="C7" s="1234"/>
      <c r="D7" s="1234"/>
      <c r="E7" s="1234"/>
      <c r="F7" s="1234"/>
      <c r="G7" s="1234"/>
      <c r="H7" s="1234"/>
      <c r="I7" s="1234"/>
      <c r="J7" s="1234"/>
      <c r="K7" s="1234"/>
      <c r="L7" s="1234"/>
      <c r="M7" s="1234"/>
      <c r="N7" s="1234"/>
    </row>
    <row r="8" spans="1:14" ht="18" customHeight="1">
      <c r="A8" s="1113" t="s">
        <v>1773</v>
      </c>
      <c r="B8" s="1113"/>
      <c r="C8" s="1113"/>
      <c r="D8" s="1113"/>
      <c r="E8" s="1113"/>
      <c r="F8" s="1113"/>
      <c r="G8" s="1145"/>
      <c r="H8" s="1113"/>
      <c r="I8" s="1160"/>
      <c r="J8" s="1113"/>
      <c r="K8" s="1113"/>
      <c r="L8" s="1146"/>
      <c r="M8" s="1146"/>
      <c r="N8" s="1113"/>
    </row>
    <row r="9" spans="1:14" ht="18" customHeight="1">
      <c r="A9" s="1113" t="s">
        <v>1776</v>
      </c>
      <c r="B9" s="1113"/>
      <c r="C9" s="1113"/>
      <c r="D9" s="1113"/>
      <c r="E9" s="1113"/>
      <c r="F9" s="1113"/>
      <c r="G9" s="1145"/>
      <c r="H9" s="1113"/>
      <c r="I9" s="1160"/>
      <c r="J9" s="1113"/>
      <c r="K9" s="1113"/>
      <c r="L9" s="1146"/>
      <c r="M9" s="1146"/>
      <c r="N9" s="1113"/>
    </row>
    <row r="10" spans="1:14" ht="8.1" customHeight="1">
      <c r="A10" s="1161" t="s">
        <v>1774</v>
      </c>
      <c r="B10" s="1113"/>
      <c r="C10" s="1113"/>
      <c r="D10" s="1113"/>
      <c r="E10" s="1113"/>
      <c r="F10" s="1113"/>
      <c r="G10" s="1145"/>
      <c r="H10" s="1113"/>
      <c r="I10" s="1160"/>
      <c r="J10" s="1113"/>
      <c r="K10" s="1113"/>
      <c r="L10" s="1146"/>
      <c r="M10" s="1146"/>
      <c r="N10" s="1113"/>
    </row>
    <row r="11" spans="1:14" ht="18" customHeight="1">
      <c r="A11" s="1113"/>
      <c r="B11" s="1113"/>
      <c r="C11" s="1113"/>
      <c r="D11" s="1113"/>
      <c r="E11" s="1113"/>
      <c r="F11" s="1113" t="s">
        <v>1775</v>
      </c>
      <c r="G11" s="1145"/>
      <c r="H11" s="1113"/>
      <c r="I11" s="1160"/>
      <c r="J11" s="1113"/>
      <c r="K11" s="1113"/>
      <c r="L11" s="1146"/>
      <c r="M11" s="1146"/>
      <c r="N11" s="1113"/>
    </row>
    <row r="12" spans="1:14" ht="12" customHeight="1" thickBot="1">
      <c r="A12" s="19"/>
      <c r="B12" s="618"/>
      <c r="C12" s="618"/>
      <c r="D12" s="618"/>
      <c r="E12" s="618"/>
      <c r="F12" s="618"/>
      <c r="G12" s="1103"/>
      <c r="H12" s="618"/>
      <c r="I12" s="619"/>
      <c r="J12" s="618"/>
      <c r="K12" s="618"/>
      <c r="L12" s="620"/>
      <c r="M12" s="620"/>
      <c r="N12" s="621"/>
    </row>
    <row r="13" spans="1:14" s="1" customFormat="1" ht="12" customHeight="1">
      <c r="A13" s="623"/>
      <c r="B13" s="624"/>
      <c r="C13" s="624"/>
      <c r="D13" s="624"/>
      <c r="E13" s="624"/>
      <c r="F13" s="624"/>
      <c r="G13" s="625"/>
      <c r="H13" s="626"/>
      <c r="I13" s="626"/>
      <c r="J13" s="626"/>
      <c r="K13" s="1246"/>
      <c r="L13" s="1247"/>
      <c r="M13" s="1248"/>
      <c r="N13" s="627"/>
    </row>
    <row r="14" spans="1:14" s="1" customFormat="1" ht="18" customHeight="1">
      <c r="A14" s="1249" t="s">
        <v>3</v>
      </c>
      <c r="B14" s="1238"/>
      <c r="C14" s="1238"/>
      <c r="D14" s="1238"/>
      <c r="E14" s="1238"/>
      <c r="F14" s="1238"/>
      <c r="G14" s="628"/>
      <c r="H14" s="628" t="s">
        <v>1</v>
      </c>
      <c r="I14" s="629" t="s">
        <v>2</v>
      </c>
      <c r="J14" s="628" t="s">
        <v>6</v>
      </c>
      <c r="K14" s="1237" t="s">
        <v>630</v>
      </c>
      <c r="L14" s="1238"/>
      <c r="M14" s="1239"/>
      <c r="N14" s="630" t="s">
        <v>7</v>
      </c>
    </row>
    <row r="15" spans="1:14" s="1" customFormat="1" ht="18" customHeight="1">
      <c r="A15" s="631"/>
      <c r="B15" s="619"/>
      <c r="C15" s="619"/>
      <c r="D15" s="619"/>
      <c r="E15" s="619"/>
      <c r="F15" s="619"/>
      <c r="G15" s="632"/>
      <c r="H15" s="628" t="s">
        <v>4</v>
      </c>
      <c r="I15" s="629" t="s">
        <v>5</v>
      </c>
      <c r="J15" s="633">
        <v>2020</v>
      </c>
      <c r="K15" s="628" t="s">
        <v>571</v>
      </c>
      <c r="L15" s="634" t="s">
        <v>574</v>
      </c>
      <c r="M15" s="628">
        <v>2021</v>
      </c>
      <c r="N15" s="635">
        <v>2022</v>
      </c>
    </row>
    <row r="16" spans="1:14" s="1" customFormat="1" ht="18" customHeight="1">
      <c r="A16" s="631"/>
      <c r="B16" s="619"/>
      <c r="C16" s="619"/>
      <c r="D16" s="619"/>
      <c r="E16" s="619"/>
      <c r="F16" s="619"/>
      <c r="G16" s="632"/>
      <c r="H16" s="628"/>
      <c r="I16" s="628"/>
      <c r="J16" s="628" t="s">
        <v>571</v>
      </c>
      <c r="K16" s="628">
        <v>2021</v>
      </c>
      <c r="L16" s="628">
        <v>2021</v>
      </c>
      <c r="M16" s="634" t="s">
        <v>574</v>
      </c>
      <c r="N16" s="630" t="s">
        <v>576</v>
      </c>
    </row>
    <row r="17" spans="1:18" s="1" customFormat="1" ht="12" customHeight="1" thickBot="1">
      <c r="A17" s="1250"/>
      <c r="B17" s="1251"/>
      <c r="C17" s="1251"/>
      <c r="D17" s="1251"/>
      <c r="E17" s="1251"/>
      <c r="F17" s="1251"/>
      <c r="G17" s="636"/>
      <c r="H17" s="636"/>
      <c r="I17" s="636"/>
      <c r="J17" s="636"/>
      <c r="K17" s="636"/>
      <c r="L17" s="637"/>
      <c r="M17" s="637"/>
      <c r="N17" s="638"/>
    </row>
    <row r="18" spans="1:18" ht="18" customHeight="1">
      <c r="A18" s="639" t="s">
        <v>483</v>
      </c>
      <c r="B18" s="640" t="s">
        <v>484</v>
      </c>
      <c r="C18" s="640"/>
      <c r="D18" s="640"/>
      <c r="E18" s="640"/>
      <c r="F18" s="640"/>
      <c r="G18" s="641"/>
      <c r="H18" s="642"/>
      <c r="I18" s="643"/>
      <c r="J18" s="644"/>
      <c r="K18" s="644"/>
      <c r="L18" s="645"/>
      <c r="M18" s="644"/>
      <c r="N18" s="644"/>
    </row>
    <row r="19" spans="1:18" ht="18" customHeight="1">
      <c r="A19" s="646"/>
      <c r="B19" s="647" t="s">
        <v>671</v>
      </c>
      <c r="C19" s="647"/>
      <c r="D19" s="648"/>
      <c r="E19" s="648"/>
      <c r="F19" s="648"/>
      <c r="G19" s="649"/>
      <c r="H19" s="650"/>
      <c r="I19" s="651"/>
      <c r="J19" s="677"/>
      <c r="K19" s="880"/>
      <c r="L19" s="653">
        <v>0</v>
      </c>
      <c r="M19" s="653">
        <v>14086609.630000001</v>
      </c>
      <c r="N19" s="654">
        <v>0</v>
      </c>
      <c r="Q19" s="1011"/>
      <c r="R19" s="1"/>
    </row>
    <row r="20" spans="1:18" ht="18" customHeight="1" thickBot="1">
      <c r="A20" s="655"/>
      <c r="B20" s="656" t="s">
        <v>806</v>
      </c>
      <c r="C20" s="656"/>
      <c r="D20" s="656"/>
      <c r="E20" s="656"/>
      <c r="F20" s="656"/>
      <c r="G20" s="657"/>
      <c r="H20" s="658"/>
      <c r="I20" s="659"/>
      <c r="J20" s="660"/>
      <c r="K20" s="661"/>
      <c r="L20" s="662"/>
      <c r="M20" s="663"/>
      <c r="N20" s="664"/>
      <c r="Q20" s="1011"/>
      <c r="R20" s="1"/>
    </row>
    <row r="21" spans="1:18" s="7" customFormat="1" ht="18" customHeight="1" thickBot="1">
      <c r="A21" s="665"/>
      <c r="B21" s="666" t="s">
        <v>672</v>
      </c>
      <c r="C21" s="666"/>
      <c r="D21" s="666"/>
      <c r="E21" s="666"/>
      <c r="F21" s="666"/>
      <c r="G21" s="667"/>
      <c r="H21" s="668"/>
      <c r="I21" s="669"/>
      <c r="J21" s="670">
        <f>SUM(J19:J20)</f>
        <v>0</v>
      </c>
      <c r="K21" s="670">
        <f>SUM(K19:K20)</f>
        <v>0</v>
      </c>
      <c r="L21" s="670">
        <f>SUM(L19:L20)</f>
        <v>0</v>
      </c>
      <c r="M21" s="671">
        <f>SUM(M19:M20)</f>
        <v>14086609.630000001</v>
      </c>
      <c r="N21" s="671">
        <f>SUM(N19:N20)</f>
        <v>0</v>
      </c>
    </row>
    <row r="22" spans="1:18" ht="18" customHeight="1">
      <c r="A22" s="672" t="s">
        <v>485</v>
      </c>
      <c r="B22" s="673" t="s">
        <v>486</v>
      </c>
      <c r="C22" s="673"/>
      <c r="D22" s="673"/>
      <c r="E22" s="673"/>
      <c r="F22" s="673"/>
      <c r="G22" s="674"/>
      <c r="H22" s="675"/>
      <c r="I22" s="676"/>
      <c r="J22" s="677"/>
      <c r="K22" s="678"/>
      <c r="L22" s="679"/>
      <c r="M22" s="678"/>
      <c r="N22" s="678"/>
    </row>
    <row r="23" spans="1:18" ht="18" customHeight="1">
      <c r="A23" s="680"/>
      <c r="B23" s="681" t="s">
        <v>518</v>
      </c>
      <c r="C23" s="681"/>
      <c r="D23" s="681"/>
      <c r="E23" s="681"/>
      <c r="F23" s="681"/>
      <c r="G23" s="682"/>
      <c r="H23" s="650"/>
      <c r="I23" s="651"/>
      <c r="J23" s="652"/>
      <c r="K23" s="683"/>
      <c r="L23" s="684"/>
      <c r="M23" s="683"/>
      <c r="N23" s="683"/>
    </row>
    <row r="24" spans="1:18" ht="18" customHeight="1">
      <c r="A24" s="646"/>
      <c r="B24" s="648"/>
      <c r="C24" s="648" t="s">
        <v>185</v>
      </c>
      <c r="D24" s="648"/>
      <c r="E24" s="648"/>
      <c r="F24" s="648"/>
      <c r="G24" s="682"/>
      <c r="H24" s="650"/>
      <c r="I24" s="651"/>
      <c r="J24" s="652"/>
      <c r="K24" s="683"/>
      <c r="L24" s="684"/>
      <c r="M24" s="683"/>
      <c r="N24" s="683"/>
    </row>
    <row r="25" spans="1:18" ht="18" customHeight="1">
      <c r="A25" s="646"/>
      <c r="B25" s="648"/>
      <c r="C25" s="648"/>
      <c r="D25" s="648" t="s">
        <v>487</v>
      </c>
      <c r="E25" s="648"/>
      <c r="F25" s="648"/>
      <c r="G25" s="649"/>
      <c r="H25" s="650"/>
      <c r="I25" s="651"/>
      <c r="J25" s="652"/>
      <c r="K25" s="683"/>
      <c r="L25" s="684"/>
      <c r="M25" s="683"/>
      <c r="N25" s="683"/>
    </row>
    <row r="26" spans="1:18" ht="18" customHeight="1">
      <c r="A26" s="646"/>
      <c r="B26" s="648"/>
      <c r="C26" s="648"/>
      <c r="D26" s="648"/>
      <c r="E26" s="648" t="s">
        <v>43</v>
      </c>
      <c r="F26" s="648"/>
      <c r="G26" s="685" t="s">
        <v>767</v>
      </c>
      <c r="H26" s="650" t="s">
        <v>721</v>
      </c>
      <c r="I26" s="651" t="s">
        <v>742</v>
      </c>
      <c r="J26" s="652">
        <v>1646308.3</v>
      </c>
      <c r="K26" s="683">
        <v>1432592.26</v>
      </c>
      <c r="L26" s="684">
        <f>2600000-K26</f>
        <v>1167407.74</v>
      </c>
      <c r="M26" s="683">
        <f>L26+K26</f>
        <v>2600000</v>
      </c>
      <c r="N26" s="683">
        <v>2600000</v>
      </c>
    </row>
    <row r="27" spans="1:18" ht="18" customHeight="1">
      <c r="A27" s="646"/>
      <c r="B27" s="648"/>
      <c r="C27" s="648"/>
      <c r="D27" s="648"/>
      <c r="E27" s="648" t="s">
        <v>529</v>
      </c>
      <c r="F27" s="648"/>
      <c r="G27" s="685" t="s">
        <v>768</v>
      </c>
      <c r="H27" s="650" t="s">
        <v>721</v>
      </c>
      <c r="I27" s="651" t="s">
        <v>742</v>
      </c>
      <c r="J27" s="652">
        <v>762679.81</v>
      </c>
      <c r="K27" s="683">
        <v>1199853.77</v>
      </c>
      <c r="L27" s="684">
        <v>200000</v>
      </c>
      <c r="M27" s="683">
        <f>L27+K27</f>
        <v>1399853.77</v>
      </c>
      <c r="N27" s="683">
        <v>950000</v>
      </c>
    </row>
    <row r="28" spans="1:18" ht="18" customHeight="1">
      <c r="A28" s="646"/>
      <c r="B28" s="648"/>
      <c r="C28" s="648"/>
      <c r="D28" s="648"/>
      <c r="E28" s="648" t="s">
        <v>530</v>
      </c>
      <c r="F28" s="648"/>
      <c r="G28" s="685" t="s">
        <v>755</v>
      </c>
      <c r="H28" s="650" t="s">
        <v>722</v>
      </c>
      <c r="I28" s="651" t="s">
        <v>742</v>
      </c>
      <c r="J28" s="652">
        <v>378783.52</v>
      </c>
      <c r="K28" s="683">
        <v>20885.66</v>
      </c>
      <c r="L28" s="684">
        <f>510000-K28</f>
        <v>489114.34</v>
      </c>
      <c r="M28" s="683">
        <f>L28+K28</f>
        <v>510000</v>
      </c>
      <c r="N28" s="683">
        <v>510000</v>
      </c>
    </row>
    <row r="29" spans="1:18" ht="18" customHeight="1">
      <c r="A29" s="646"/>
      <c r="B29" s="648"/>
      <c r="C29" s="648"/>
      <c r="D29" s="648" t="s">
        <v>1665</v>
      </c>
      <c r="E29" s="648"/>
      <c r="F29" s="648"/>
      <c r="G29" s="649"/>
      <c r="H29" s="650" t="s">
        <v>747</v>
      </c>
      <c r="I29" s="651" t="s">
        <v>742</v>
      </c>
      <c r="J29" s="652">
        <v>0</v>
      </c>
      <c r="K29" s="683">
        <v>0</v>
      </c>
      <c r="L29" s="683">
        <v>0</v>
      </c>
      <c r="M29" s="683">
        <v>0</v>
      </c>
      <c r="N29" s="683">
        <v>3400000</v>
      </c>
    </row>
    <row r="30" spans="1:18" ht="18" customHeight="1">
      <c r="A30" s="646"/>
      <c r="B30" s="648"/>
      <c r="C30" s="648"/>
      <c r="D30" s="648"/>
      <c r="E30" s="648" t="s">
        <v>580</v>
      </c>
      <c r="F30" s="648"/>
      <c r="G30" s="685" t="s">
        <v>769</v>
      </c>
      <c r="H30" s="650" t="s">
        <v>726</v>
      </c>
      <c r="I30" s="651" t="s">
        <v>742</v>
      </c>
      <c r="J30" s="652">
        <v>0</v>
      </c>
      <c r="K30" s="683">
        <v>0</v>
      </c>
      <c r="L30" s="683">
        <v>0</v>
      </c>
      <c r="M30" s="683">
        <v>0</v>
      </c>
      <c r="N30" s="683">
        <v>60000</v>
      </c>
    </row>
    <row r="31" spans="1:18" ht="18" customHeight="1">
      <c r="A31" s="646"/>
      <c r="B31" s="648"/>
      <c r="C31" s="648"/>
      <c r="D31" s="648" t="s">
        <v>1666</v>
      </c>
      <c r="E31" s="648"/>
      <c r="F31" s="648"/>
      <c r="G31" s="649"/>
      <c r="H31" s="650"/>
      <c r="I31" s="651"/>
      <c r="J31" s="652"/>
      <c r="K31" s="683"/>
      <c r="L31" s="684"/>
      <c r="M31" s="683"/>
      <c r="N31" s="683"/>
    </row>
    <row r="32" spans="1:18" ht="18" customHeight="1">
      <c r="A32" s="646"/>
      <c r="B32" s="648"/>
      <c r="C32" s="648"/>
      <c r="D32" s="648"/>
      <c r="E32" s="648" t="s">
        <v>531</v>
      </c>
      <c r="F32" s="648"/>
      <c r="G32" s="649"/>
      <c r="H32" s="650" t="s">
        <v>724</v>
      </c>
      <c r="I32" s="651" t="s">
        <v>742</v>
      </c>
      <c r="J32" s="652">
        <v>47717.5</v>
      </c>
      <c r="K32" s="683">
        <v>206870.5</v>
      </c>
      <c r="L32" s="684">
        <v>20000</v>
      </c>
      <c r="M32" s="683">
        <f>L32+K32</f>
        <v>226870.5</v>
      </c>
      <c r="N32" s="683">
        <v>200000</v>
      </c>
    </row>
    <row r="33" spans="1:14" ht="18" customHeight="1">
      <c r="A33" s="646"/>
      <c r="B33" s="648"/>
      <c r="C33" s="648"/>
      <c r="D33" s="648"/>
      <c r="E33" s="648" t="s">
        <v>532</v>
      </c>
      <c r="F33" s="648"/>
      <c r="G33" s="685" t="s">
        <v>770</v>
      </c>
      <c r="H33" s="650" t="s">
        <v>725</v>
      </c>
      <c r="I33" s="651" t="s">
        <v>742</v>
      </c>
      <c r="J33" s="652">
        <v>100875</v>
      </c>
      <c r="K33" s="683">
        <v>67680</v>
      </c>
      <c r="L33" s="684">
        <f>125000-K33</f>
        <v>57320</v>
      </c>
      <c r="M33" s="683">
        <f>L33+K33</f>
        <v>125000</v>
      </c>
      <c r="N33" s="683">
        <v>125000</v>
      </c>
    </row>
    <row r="34" spans="1:14" ht="18" customHeight="1">
      <c r="A34" s="646"/>
      <c r="B34" s="648"/>
      <c r="C34" s="648"/>
      <c r="D34" s="648"/>
      <c r="E34" s="648" t="s">
        <v>533</v>
      </c>
      <c r="F34" s="648"/>
      <c r="G34" s="685" t="s">
        <v>771</v>
      </c>
      <c r="H34" s="650"/>
      <c r="I34" s="651"/>
      <c r="J34" s="652">
        <v>218439</v>
      </c>
      <c r="K34" s="683">
        <v>176730</v>
      </c>
      <c r="L34" s="684">
        <f>280000-K34</f>
        <v>103270</v>
      </c>
      <c r="M34" s="683">
        <f>L34+K34</f>
        <v>280000</v>
      </c>
      <c r="N34" s="683">
        <v>280000</v>
      </c>
    </row>
    <row r="35" spans="1:14" ht="18" customHeight="1">
      <c r="A35" s="646"/>
      <c r="B35" s="648"/>
      <c r="C35" s="648"/>
      <c r="D35" s="648"/>
      <c r="E35" s="648" t="s">
        <v>534</v>
      </c>
      <c r="F35" s="648"/>
      <c r="G35" s="649"/>
      <c r="H35" s="650"/>
      <c r="I35" s="651"/>
      <c r="J35" s="652"/>
      <c r="K35" s="683"/>
      <c r="L35" s="684"/>
      <c r="M35" s="683"/>
      <c r="N35" s="683"/>
    </row>
    <row r="36" spans="1:14" ht="18" customHeight="1">
      <c r="A36" s="646"/>
      <c r="B36" s="648"/>
      <c r="C36" s="648"/>
      <c r="D36" s="648"/>
      <c r="E36" s="648"/>
      <c r="F36" s="648" t="s">
        <v>535</v>
      </c>
      <c r="G36" s="685" t="s">
        <v>772</v>
      </c>
      <c r="H36" s="650" t="s">
        <v>726</v>
      </c>
      <c r="I36" s="651" t="s">
        <v>742</v>
      </c>
      <c r="J36" s="652">
        <v>11648.4</v>
      </c>
      <c r="K36" s="683">
        <v>9640.5</v>
      </c>
      <c r="L36" s="684">
        <f>20000-K36</f>
        <v>10359.5</v>
      </c>
      <c r="M36" s="683">
        <f>L36+K36</f>
        <v>20000</v>
      </c>
      <c r="N36" s="683">
        <v>30000</v>
      </c>
    </row>
    <row r="37" spans="1:14" ht="18" customHeight="1" thickBot="1">
      <c r="A37" s="655"/>
      <c r="B37" s="656"/>
      <c r="C37" s="656"/>
      <c r="D37" s="656"/>
      <c r="E37" s="656" t="s">
        <v>536</v>
      </c>
      <c r="F37" s="656"/>
      <c r="G37" s="686" t="s">
        <v>773</v>
      </c>
      <c r="H37" s="658" t="s">
        <v>727</v>
      </c>
      <c r="I37" s="659" t="s">
        <v>742</v>
      </c>
      <c r="J37" s="687">
        <v>612101.81000000006</v>
      </c>
      <c r="K37" s="688">
        <v>520643.13</v>
      </c>
      <c r="L37" s="689">
        <f>640000-K37</f>
        <v>119356.87</v>
      </c>
      <c r="M37" s="688">
        <f>L37+K37</f>
        <v>640000</v>
      </c>
      <c r="N37" s="688">
        <v>640000</v>
      </c>
    </row>
    <row r="38" spans="1:14" s="7" customFormat="1" ht="18" customHeight="1" thickBot="1">
      <c r="A38" s="700"/>
      <c r="B38" s="666"/>
      <c r="C38" s="666" t="s">
        <v>488</v>
      </c>
      <c r="D38" s="666"/>
      <c r="E38" s="666"/>
      <c r="F38" s="666"/>
      <c r="G38" s="667"/>
      <c r="H38" s="668"/>
      <c r="I38" s="669"/>
      <c r="J38" s="690">
        <f>SUM(J26:J37)</f>
        <v>3778553.3400000003</v>
      </c>
      <c r="K38" s="690">
        <f>SUM(K26:K37)</f>
        <v>3634895.8200000003</v>
      </c>
      <c r="L38" s="691">
        <f>SUM(L26:L37)</f>
        <v>2166828.4500000002</v>
      </c>
      <c r="M38" s="690">
        <f>SUM(M26:M37)</f>
        <v>5801724.2699999996</v>
      </c>
      <c r="N38" s="701">
        <f>SUM(N26:N37)</f>
        <v>8795000</v>
      </c>
    </row>
    <row r="39" spans="1:14" ht="18" customHeight="1">
      <c r="A39" s="692"/>
      <c r="B39" s="693"/>
      <c r="C39" s="693" t="s">
        <v>186</v>
      </c>
      <c r="D39" s="693"/>
      <c r="E39" s="693"/>
      <c r="F39" s="693"/>
      <c r="G39" s="694"/>
      <c r="H39" s="675"/>
      <c r="I39" s="676"/>
      <c r="J39" s="677"/>
      <c r="K39" s="678"/>
      <c r="L39" s="679"/>
      <c r="M39" s="678"/>
      <c r="N39" s="678"/>
    </row>
    <row r="40" spans="1:14" ht="18" customHeight="1">
      <c r="A40" s="646"/>
      <c r="B40" s="648"/>
      <c r="C40" s="648"/>
      <c r="D40" s="648" t="s">
        <v>489</v>
      </c>
      <c r="E40" s="648"/>
      <c r="F40" s="648"/>
      <c r="G40" s="649"/>
      <c r="H40" s="650"/>
      <c r="I40" s="651"/>
      <c r="J40" s="652"/>
      <c r="K40" s="683"/>
      <c r="L40" s="684"/>
      <c r="M40" s="683"/>
      <c r="N40" s="683"/>
    </row>
    <row r="41" spans="1:14" ht="18" customHeight="1">
      <c r="A41" s="646"/>
      <c r="B41" s="648"/>
      <c r="C41" s="648"/>
      <c r="D41" s="648"/>
      <c r="E41" s="648" t="s">
        <v>490</v>
      </c>
      <c r="F41" s="648"/>
      <c r="G41" s="649"/>
      <c r="H41" s="650"/>
      <c r="I41" s="651"/>
      <c r="J41" s="652"/>
      <c r="K41" s="683"/>
      <c r="L41" s="684"/>
      <c r="M41" s="683"/>
      <c r="N41" s="683"/>
    </row>
    <row r="42" spans="1:14" ht="18" customHeight="1">
      <c r="A42" s="646"/>
      <c r="B42" s="648"/>
      <c r="C42" s="648"/>
      <c r="D42" s="648"/>
      <c r="E42" s="648"/>
      <c r="F42" s="648" t="s">
        <v>491</v>
      </c>
      <c r="G42" s="685" t="s">
        <v>774</v>
      </c>
      <c r="H42" s="650" t="s">
        <v>728</v>
      </c>
      <c r="I42" s="651" t="s">
        <v>742</v>
      </c>
      <c r="J42" s="652">
        <v>398582.5</v>
      </c>
      <c r="K42" s="683">
        <v>212225</v>
      </c>
      <c r="L42" s="684">
        <f>500000-K42</f>
        <v>287775</v>
      </c>
      <c r="M42" s="683">
        <f>L42+K42</f>
        <v>500000</v>
      </c>
      <c r="N42" s="683">
        <v>450000</v>
      </c>
    </row>
    <row r="43" spans="1:14" ht="18" customHeight="1">
      <c r="A43" s="646"/>
      <c r="B43" s="648"/>
      <c r="C43" s="648"/>
      <c r="D43" s="648"/>
      <c r="E43" s="648"/>
      <c r="F43" s="648" t="s">
        <v>492</v>
      </c>
      <c r="G43" s="685" t="s">
        <v>775</v>
      </c>
      <c r="H43" s="650" t="s">
        <v>728</v>
      </c>
      <c r="I43" s="651" t="s">
        <v>742</v>
      </c>
      <c r="J43" s="652">
        <v>12140</v>
      </c>
      <c r="K43" s="683">
        <v>7200</v>
      </c>
      <c r="L43" s="684">
        <f>25000-K43</f>
        <v>17800</v>
      </c>
      <c r="M43" s="683">
        <f>L43+K43</f>
        <v>25000</v>
      </c>
      <c r="N43" s="683">
        <v>25000</v>
      </c>
    </row>
    <row r="44" spans="1:14" ht="18" customHeight="1">
      <c r="A44" s="646"/>
      <c r="B44" s="648"/>
      <c r="C44" s="648"/>
      <c r="D44" s="648"/>
      <c r="E44" s="648"/>
      <c r="F44" s="648" t="s">
        <v>493</v>
      </c>
      <c r="G44" s="685" t="s">
        <v>776</v>
      </c>
      <c r="H44" s="650" t="s">
        <v>728</v>
      </c>
      <c r="I44" s="651" t="s">
        <v>742</v>
      </c>
      <c r="J44" s="652">
        <v>9565</v>
      </c>
      <c r="K44" s="683">
        <v>11375</v>
      </c>
      <c r="L44" s="684">
        <f>17000-K44</f>
        <v>5625</v>
      </c>
      <c r="M44" s="683">
        <f>L44+K44</f>
        <v>17000</v>
      </c>
      <c r="N44" s="683">
        <v>20000</v>
      </c>
    </row>
    <row r="45" spans="1:14" ht="18" customHeight="1">
      <c r="A45" s="646"/>
      <c r="B45" s="648"/>
      <c r="C45" s="648"/>
      <c r="D45" s="648"/>
      <c r="E45" s="648" t="s">
        <v>494</v>
      </c>
      <c r="F45" s="648"/>
      <c r="G45" s="685" t="s">
        <v>756</v>
      </c>
      <c r="H45" s="650" t="s">
        <v>729</v>
      </c>
      <c r="I45" s="651" t="s">
        <v>742</v>
      </c>
      <c r="J45" s="652">
        <v>106860</v>
      </c>
      <c r="K45" s="683">
        <v>45930</v>
      </c>
      <c r="L45" s="684">
        <f>100000-K45</f>
        <v>54070</v>
      </c>
      <c r="M45" s="683">
        <f>L45+K45</f>
        <v>100000</v>
      </c>
      <c r="N45" s="683">
        <v>100000</v>
      </c>
    </row>
    <row r="46" spans="1:14" ht="18" customHeight="1">
      <c r="A46" s="646"/>
      <c r="B46" s="648"/>
      <c r="C46" s="648"/>
      <c r="D46" s="648"/>
      <c r="E46" s="648" t="s">
        <v>495</v>
      </c>
      <c r="F46" s="648"/>
      <c r="G46" s="649"/>
      <c r="H46" s="650"/>
      <c r="I46" s="651"/>
      <c r="J46" s="652"/>
      <c r="K46" s="683"/>
      <c r="L46" s="684"/>
      <c r="M46" s="683"/>
      <c r="N46" s="683"/>
    </row>
    <row r="47" spans="1:14" ht="18" customHeight="1">
      <c r="A47" s="646"/>
      <c r="B47" s="648"/>
      <c r="C47" s="648"/>
      <c r="D47" s="648"/>
      <c r="E47" s="648"/>
      <c r="F47" s="648" t="s">
        <v>496</v>
      </c>
      <c r="G47" s="685" t="s">
        <v>777</v>
      </c>
      <c r="H47" s="650" t="s">
        <v>730</v>
      </c>
      <c r="I47" s="651" t="s">
        <v>742</v>
      </c>
      <c r="J47" s="652">
        <v>134325</v>
      </c>
      <c r="K47" s="683">
        <v>70250</v>
      </c>
      <c r="L47" s="684">
        <f>125000-K47</f>
        <v>54750</v>
      </c>
      <c r="M47" s="683">
        <f>L47+K47</f>
        <v>125000</v>
      </c>
      <c r="N47" s="683">
        <v>125000</v>
      </c>
    </row>
    <row r="48" spans="1:14" ht="18" customHeight="1">
      <c r="A48" s="646"/>
      <c r="B48" s="648"/>
      <c r="C48" s="648"/>
      <c r="D48" s="648"/>
      <c r="E48" s="648"/>
      <c r="F48" s="648" t="s">
        <v>497</v>
      </c>
      <c r="G48" s="685" t="s">
        <v>778</v>
      </c>
      <c r="H48" s="650" t="s">
        <v>730</v>
      </c>
      <c r="I48" s="651" t="s">
        <v>742</v>
      </c>
      <c r="J48" s="652">
        <v>441670</v>
      </c>
      <c r="K48" s="683">
        <v>118225</v>
      </c>
      <c r="L48" s="684">
        <v>211775</v>
      </c>
      <c r="M48" s="683">
        <f>L48+K48</f>
        <v>330000</v>
      </c>
      <c r="N48" s="683">
        <v>300000</v>
      </c>
    </row>
    <row r="49" spans="1:16" ht="18" customHeight="1">
      <c r="A49" s="646"/>
      <c r="B49" s="648"/>
      <c r="C49" s="648"/>
      <c r="D49" s="648"/>
      <c r="E49" s="648"/>
      <c r="F49" s="648" t="s">
        <v>498</v>
      </c>
      <c r="G49" s="685" t="s">
        <v>779</v>
      </c>
      <c r="H49" s="650" t="s">
        <v>730</v>
      </c>
      <c r="I49" s="651" t="s">
        <v>742</v>
      </c>
      <c r="J49" s="652">
        <v>332623</v>
      </c>
      <c r="K49" s="683">
        <v>240105</v>
      </c>
      <c r="L49" s="684">
        <f>300000-K49</f>
        <v>59895</v>
      </c>
      <c r="M49" s="683">
        <f>L49+K49</f>
        <v>300000</v>
      </c>
      <c r="N49" s="683">
        <v>250000</v>
      </c>
    </row>
    <row r="50" spans="1:16" ht="18" customHeight="1">
      <c r="A50" s="646"/>
      <c r="B50" s="648"/>
      <c r="C50" s="648"/>
      <c r="D50" s="648"/>
      <c r="E50" s="648" t="s">
        <v>499</v>
      </c>
      <c r="F50" s="648"/>
      <c r="G50" s="649"/>
      <c r="H50" s="650"/>
      <c r="I50" s="651"/>
      <c r="J50" s="652"/>
      <c r="K50" s="683"/>
      <c r="L50" s="684"/>
      <c r="M50" s="683"/>
      <c r="N50" s="683"/>
    </row>
    <row r="51" spans="1:16" ht="18" customHeight="1">
      <c r="A51" s="646"/>
      <c r="B51" s="648"/>
      <c r="C51" s="648"/>
      <c r="D51" s="648"/>
      <c r="E51" s="648"/>
      <c r="F51" s="648" t="s">
        <v>500</v>
      </c>
      <c r="G51" s="685" t="s">
        <v>780</v>
      </c>
      <c r="H51" s="650" t="s">
        <v>731</v>
      </c>
      <c r="I51" s="651" t="s">
        <v>742</v>
      </c>
      <c r="J51" s="652">
        <v>221901</v>
      </c>
      <c r="K51" s="683">
        <v>236696</v>
      </c>
      <c r="L51" s="684">
        <f>320000-K51</f>
        <v>83304</v>
      </c>
      <c r="M51" s="683">
        <f>L51+K51</f>
        <v>320000</v>
      </c>
      <c r="N51" s="683">
        <v>320000</v>
      </c>
    </row>
    <row r="52" spans="1:16" ht="18" customHeight="1">
      <c r="A52" s="646"/>
      <c r="B52" s="648"/>
      <c r="C52" s="648"/>
      <c r="D52" s="648"/>
      <c r="E52" s="648"/>
      <c r="F52" s="648" t="s">
        <v>501</v>
      </c>
      <c r="G52" s="685" t="s">
        <v>781</v>
      </c>
      <c r="H52" s="650" t="s">
        <v>731</v>
      </c>
      <c r="I52" s="651" t="s">
        <v>742</v>
      </c>
      <c r="J52" s="652">
        <v>466410.96</v>
      </c>
      <c r="K52" s="683">
        <v>299007.21999999997</v>
      </c>
      <c r="L52" s="684">
        <v>50000</v>
      </c>
      <c r="M52" s="683">
        <f>L52+K52</f>
        <v>349007.22</v>
      </c>
      <c r="N52" s="683">
        <v>300000</v>
      </c>
    </row>
    <row r="53" spans="1:16" ht="18" customHeight="1">
      <c r="A53" s="646"/>
      <c r="B53" s="648"/>
      <c r="C53" s="648"/>
      <c r="D53" s="648"/>
      <c r="E53" s="648"/>
      <c r="F53" s="648" t="s">
        <v>502</v>
      </c>
      <c r="G53" s="685" t="s">
        <v>782</v>
      </c>
      <c r="H53" s="650" t="s">
        <v>731</v>
      </c>
      <c r="I53" s="651" t="s">
        <v>742</v>
      </c>
      <c r="J53" s="652">
        <v>50700</v>
      </c>
      <c r="K53" s="683">
        <v>36500</v>
      </c>
      <c r="L53" s="684">
        <f>60000-K53</f>
        <v>23500</v>
      </c>
      <c r="M53" s="683">
        <f>L53+K53</f>
        <v>60000</v>
      </c>
      <c r="N53" s="683">
        <v>0</v>
      </c>
    </row>
    <row r="54" spans="1:16" ht="18" customHeight="1">
      <c r="A54" s="646"/>
      <c r="B54" s="648"/>
      <c r="C54" s="648"/>
      <c r="D54" s="648"/>
      <c r="E54" s="648"/>
      <c r="F54" s="648" t="s">
        <v>503</v>
      </c>
      <c r="G54" s="685" t="s">
        <v>783</v>
      </c>
      <c r="H54" s="650" t="s">
        <v>731</v>
      </c>
      <c r="I54" s="651" t="s">
        <v>742</v>
      </c>
      <c r="J54" s="652">
        <v>113014</v>
      </c>
      <c r="K54" s="683">
        <v>49862</v>
      </c>
      <c r="L54" s="684">
        <f>50000-K54</f>
        <v>138</v>
      </c>
      <c r="M54" s="683">
        <f>L54+K54</f>
        <v>50000</v>
      </c>
      <c r="N54" s="683">
        <v>70000</v>
      </c>
    </row>
    <row r="55" spans="1:16" ht="18" customHeight="1">
      <c r="A55" s="646"/>
      <c r="B55" s="648"/>
      <c r="C55" s="648"/>
      <c r="D55" s="648"/>
      <c r="E55" s="648" t="s">
        <v>504</v>
      </c>
      <c r="F55" s="648"/>
      <c r="G55" s="685" t="s">
        <v>784</v>
      </c>
      <c r="H55" s="650" t="s">
        <v>732</v>
      </c>
      <c r="I55" s="651" t="s">
        <v>742</v>
      </c>
      <c r="J55" s="652">
        <v>213750</v>
      </c>
      <c r="K55" s="683">
        <v>194631</v>
      </c>
      <c r="L55" s="684">
        <f>250000-K55</f>
        <v>55369</v>
      </c>
      <c r="M55" s="683">
        <f>L55+K55</f>
        <v>250000</v>
      </c>
      <c r="N55" s="683">
        <v>250000</v>
      </c>
      <c r="P55" s="695"/>
    </row>
    <row r="56" spans="1:16" ht="18" customHeight="1">
      <c r="A56" s="646"/>
      <c r="B56" s="648"/>
      <c r="C56" s="648"/>
      <c r="D56" s="648"/>
      <c r="E56" s="648" t="s">
        <v>505</v>
      </c>
      <c r="F56" s="648"/>
      <c r="G56" s="649"/>
      <c r="H56" s="650"/>
      <c r="I56" s="651"/>
      <c r="J56" s="652"/>
      <c r="K56" s="683"/>
      <c r="L56" s="684"/>
      <c r="M56" s="683"/>
      <c r="N56" s="683"/>
      <c r="P56" s="696"/>
    </row>
    <row r="57" spans="1:16" ht="18" customHeight="1">
      <c r="A57" s="646"/>
      <c r="B57" s="648"/>
      <c r="C57" s="648"/>
      <c r="D57" s="648"/>
      <c r="E57" s="648"/>
      <c r="F57" s="648" t="s">
        <v>506</v>
      </c>
      <c r="G57" s="685" t="s">
        <v>785</v>
      </c>
      <c r="H57" s="650" t="s">
        <v>733</v>
      </c>
      <c r="I57" s="651" t="s">
        <v>742</v>
      </c>
      <c r="J57" s="652">
        <v>18900</v>
      </c>
      <c r="K57" s="683">
        <v>21200</v>
      </c>
      <c r="L57" s="684">
        <f>55000-K57</f>
        <v>33800</v>
      </c>
      <c r="M57" s="683">
        <f>L57+K57</f>
        <v>55000</v>
      </c>
      <c r="N57" s="683">
        <v>55000</v>
      </c>
      <c r="P57" s="696"/>
    </row>
    <row r="58" spans="1:16" ht="18" customHeight="1">
      <c r="A58" s="646"/>
      <c r="B58" s="648"/>
      <c r="C58" s="648"/>
      <c r="D58" s="648"/>
      <c r="E58" s="648"/>
      <c r="F58" s="648" t="s">
        <v>507</v>
      </c>
      <c r="G58" s="685" t="s">
        <v>786</v>
      </c>
      <c r="H58" s="650" t="s">
        <v>734</v>
      </c>
      <c r="I58" s="651" t="s">
        <v>742</v>
      </c>
      <c r="J58" s="652">
        <v>56000</v>
      </c>
      <c r="K58" s="683">
        <v>53000</v>
      </c>
      <c r="L58" s="684">
        <v>10000</v>
      </c>
      <c r="M58" s="683">
        <f>L58+K58</f>
        <v>63000</v>
      </c>
      <c r="N58" s="683">
        <v>0</v>
      </c>
    </row>
    <row r="59" spans="1:16" ht="18" customHeight="1">
      <c r="A59" s="646"/>
      <c r="B59" s="648"/>
      <c r="C59" s="648"/>
      <c r="D59" s="648"/>
      <c r="E59" s="648"/>
      <c r="F59" s="648" t="s">
        <v>508</v>
      </c>
      <c r="G59" s="685" t="s">
        <v>787</v>
      </c>
      <c r="H59" s="650" t="s">
        <v>734</v>
      </c>
      <c r="I59" s="651" t="s">
        <v>742</v>
      </c>
      <c r="J59" s="652">
        <v>40600</v>
      </c>
      <c r="K59" s="683">
        <v>21600</v>
      </c>
      <c r="L59" s="684">
        <f>45000-K59</f>
        <v>23400</v>
      </c>
      <c r="M59" s="683">
        <f>L59+K59</f>
        <v>45000</v>
      </c>
      <c r="N59" s="683">
        <v>0</v>
      </c>
    </row>
    <row r="60" spans="1:16" ht="18" customHeight="1">
      <c r="A60" s="646"/>
      <c r="B60" s="648"/>
      <c r="C60" s="648"/>
      <c r="D60" s="648" t="s">
        <v>509</v>
      </c>
      <c r="E60" s="648"/>
      <c r="F60" s="648"/>
      <c r="G60" s="649"/>
      <c r="H60" s="650"/>
      <c r="I60" s="651"/>
      <c r="J60" s="652"/>
      <c r="K60" s="683"/>
      <c r="L60" s="684"/>
      <c r="M60" s="683"/>
      <c r="N60" s="683"/>
    </row>
    <row r="61" spans="1:16" ht="18" customHeight="1">
      <c r="A61" s="646"/>
      <c r="B61" s="648"/>
      <c r="C61" s="648"/>
      <c r="D61" s="648"/>
      <c r="E61" s="648" t="s">
        <v>510</v>
      </c>
      <c r="F61" s="648"/>
      <c r="G61" s="649"/>
      <c r="H61" s="650"/>
      <c r="I61" s="651"/>
      <c r="J61" s="652"/>
      <c r="K61" s="683"/>
      <c r="L61" s="684"/>
      <c r="M61" s="683"/>
      <c r="N61" s="683"/>
    </row>
    <row r="62" spans="1:16" ht="18" customHeight="1">
      <c r="A62" s="646"/>
      <c r="B62" s="648"/>
      <c r="C62" s="648"/>
      <c r="D62" s="648"/>
      <c r="E62" s="648"/>
      <c r="F62" s="648" t="s">
        <v>511</v>
      </c>
      <c r="G62" s="685" t="s">
        <v>788</v>
      </c>
      <c r="H62" s="650" t="s">
        <v>735</v>
      </c>
      <c r="I62" s="651" t="s">
        <v>742</v>
      </c>
      <c r="J62" s="652">
        <v>131361.82</v>
      </c>
      <c r="K62" s="683">
        <v>30846</v>
      </c>
      <c r="L62" s="684">
        <f>155000-K62</f>
        <v>124154</v>
      </c>
      <c r="M62" s="683">
        <f t="shared" ref="M62:M68" si="0">L62+K62</f>
        <v>155000</v>
      </c>
      <c r="N62" s="683">
        <v>100000</v>
      </c>
    </row>
    <row r="63" spans="1:16" ht="18" customHeight="1">
      <c r="A63" s="646"/>
      <c r="B63" s="648"/>
      <c r="C63" s="648"/>
      <c r="D63" s="648"/>
      <c r="E63" s="648" t="s">
        <v>512</v>
      </c>
      <c r="F63" s="648"/>
      <c r="G63" s="685" t="s">
        <v>789</v>
      </c>
      <c r="H63" s="650" t="s">
        <v>736</v>
      </c>
      <c r="I63" s="651" t="s">
        <v>742</v>
      </c>
      <c r="J63" s="652">
        <v>145700</v>
      </c>
      <c r="K63" s="683">
        <v>74210</v>
      </c>
      <c r="L63" s="684">
        <f>160000-K63</f>
        <v>85790</v>
      </c>
      <c r="M63" s="683">
        <f t="shared" si="0"/>
        <v>160000</v>
      </c>
      <c r="N63" s="683">
        <v>160000</v>
      </c>
    </row>
    <row r="64" spans="1:16" ht="18" customHeight="1">
      <c r="A64" s="646"/>
      <c r="B64" s="648"/>
      <c r="C64" s="648"/>
      <c r="D64" s="648"/>
      <c r="E64" s="648" t="s">
        <v>513</v>
      </c>
      <c r="F64" s="648"/>
      <c r="G64" s="685" t="s">
        <v>759</v>
      </c>
      <c r="H64" s="650" t="s">
        <v>737</v>
      </c>
      <c r="I64" s="651" t="s">
        <v>742</v>
      </c>
      <c r="J64" s="652">
        <v>411987</v>
      </c>
      <c r="K64" s="683">
        <v>593929</v>
      </c>
      <c r="L64" s="684">
        <v>100000</v>
      </c>
      <c r="M64" s="683">
        <f t="shared" si="0"/>
        <v>693929</v>
      </c>
      <c r="N64" s="683">
        <v>300000</v>
      </c>
    </row>
    <row r="65" spans="1:14" ht="18" customHeight="1">
      <c r="A65" s="646"/>
      <c r="B65" s="648"/>
      <c r="C65" s="648"/>
      <c r="D65" s="648"/>
      <c r="E65" s="648" t="s">
        <v>514</v>
      </c>
      <c r="F65" s="648"/>
      <c r="G65" s="685" t="s">
        <v>790</v>
      </c>
      <c r="H65" s="650" t="s">
        <v>738</v>
      </c>
      <c r="I65" s="651" t="s">
        <v>742</v>
      </c>
      <c r="J65" s="652">
        <v>374892.86</v>
      </c>
      <c r="K65" s="683">
        <v>33171.53</v>
      </c>
      <c r="L65" s="684">
        <f>150000-K65</f>
        <v>116828.47</v>
      </c>
      <c r="M65" s="683">
        <f t="shared" si="0"/>
        <v>150000</v>
      </c>
      <c r="N65" s="683">
        <v>150000</v>
      </c>
    </row>
    <row r="66" spans="1:14" ht="18" customHeight="1">
      <c r="A66" s="646"/>
      <c r="B66" s="648"/>
      <c r="C66" s="648"/>
      <c r="D66" s="648"/>
      <c r="E66" s="648" t="s">
        <v>515</v>
      </c>
      <c r="F66" s="648"/>
      <c r="G66" s="685" t="s">
        <v>785</v>
      </c>
      <c r="H66" s="650" t="s">
        <v>733</v>
      </c>
      <c r="I66" s="651" t="s">
        <v>742</v>
      </c>
      <c r="J66" s="652">
        <v>470597.81</v>
      </c>
      <c r="K66" s="683">
        <v>329243</v>
      </c>
      <c r="L66" s="684">
        <f>560000-K66</f>
        <v>230757</v>
      </c>
      <c r="M66" s="683">
        <f t="shared" si="0"/>
        <v>560000</v>
      </c>
      <c r="N66" s="683">
        <v>500000</v>
      </c>
    </row>
    <row r="67" spans="1:14" ht="18" customHeight="1">
      <c r="A67" s="646"/>
      <c r="B67" s="648"/>
      <c r="C67" s="648"/>
      <c r="D67" s="648"/>
      <c r="E67" s="648" t="s">
        <v>516</v>
      </c>
      <c r="F67" s="648"/>
      <c r="G67" s="697" t="s">
        <v>755</v>
      </c>
      <c r="H67" s="650" t="s">
        <v>723</v>
      </c>
      <c r="I67" s="651" t="s">
        <v>742</v>
      </c>
      <c r="J67" s="652">
        <v>49750</v>
      </c>
      <c r="K67" s="683">
        <v>113930</v>
      </c>
      <c r="L67" s="684">
        <v>10000</v>
      </c>
      <c r="M67" s="683">
        <f t="shared" si="0"/>
        <v>123930</v>
      </c>
      <c r="N67" s="683">
        <v>100000</v>
      </c>
    </row>
    <row r="68" spans="1:14" ht="18" customHeight="1" thickBot="1">
      <c r="A68" s="655"/>
      <c r="B68" s="656"/>
      <c r="C68" s="656"/>
      <c r="D68" s="656"/>
      <c r="E68" s="656" t="s">
        <v>593</v>
      </c>
      <c r="F68" s="656"/>
      <c r="G68" s="686" t="s">
        <v>791</v>
      </c>
      <c r="H68" s="658" t="s">
        <v>739</v>
      </c>
      <c r="I68" s="659" t="s">
        <v>742</v>
      </c>
      <c r="J68" s="687">
        <v>0</v>
      </c>
      <c r="K68" s="688">
        <v>0</v>
      </c>
      <c r="L68" s="688">
        <v>0</v>
      </c>
      <c r="M68" s="688">
        <f t="shared" si="0"/>
        <v>0</v>
      </c>
      <c r="N68" s="688"/>
    </row>
    <row r="69" spans="1:14" s="7" customFormat="1" ht="18" customHeight="1" thickBot="1">
      <c r="A69" s="698"/>
      <c r="B69" s="666"/>
      <c r="C69" s="666" t="s">
        <v>8</v>
      </c>
      <c r="D69" s="666"/>
      <c r="E69" s="666"/>
      <c r="F69" s="666"/>
      <c r="G69" s="667"/>
      <c r="H69" s="668"/>
      <c r="I69" s="669"/>
      <c r="J69" s="690">
        <f>SUM(J40:J68)</f>
        <v>4201330.9499999993</v>
      </c>
      <c r="K69" s="690">
        <f>SUM(K40:K68)</f>
        <v>2793135.7499999995</v>
      </c>
      <c r="L69" s="691">
        <f>SUM(L40:L68)</f>
        <v>1638730.47</v>
      </c>
      <c r="M69" s="690">
        <f>SUM(M40:M68)</f>
        <v>4431866.22</v>
      </c>
      <c r="N69" s="690">
        <f>SUM(N40:N68)</f>
        <v>3575000</v>
      </c>
    </row>
    <row r="70" spans="1:14" ht="18" customHeight="1">
      <c r="A70" s="692"/>
      <c r="B70" s="693" t="s">
        <v>517</v>
      </c>
      <c r="C70" s="693"/>
      <c r="D70" s="693"/>
      <c r="E70" s="693"/>
      <c r="F70" s="693"/>
      <c r="G70" s="694"/>
      <c r="H70" s="675"/>
      <c r="I70" s="676"/>
      <c r="J70" s="677">
        <f>SUM(J69+J38)</f>
        <v>7979884.2899999991</v>
      </c>
      <c r="K70" s="677">
        <f>SUM(K69+K38)</f>
        <v>6428031.5700000003</v>
      </c>
      <c r="L70" s="699">
        <f>SUM(L69+L38)</f>
        <v>3805558.92</v>
      </c>
      <c r="M70" s="677">
        <f>SUM(M69+M38)</f>
        <v>10233590.489999998</v>
      </c>
      <c r="N70" s="677">
        <f>SUM(N69+N38)</f>
        <v>12370000</v>
      </c>
    </row>
    <row r="71" spans="1:14" ht="18" customHeight="1">
      <c r="A71" s="646"/>
      <c r="B71" s="681" t="s">
        <v>519</v>
      </c>
      <c r="C71" s="648"/>
      <c r="D71" s="648"/>
      <c r="E71" s="648"/>
      <c r="F71" s="648"/>
      <c r="G71" s="649"/>
      <c r="H71" s="650"/>
      <c r="I71" s="651"/>
      <c r="J71" s="652"/>
      <c r="K71" s="683"/>
      <c r="L71" s="684"/>
      <c r="M71" s="683"/>
      <c r="N71" s="683"/>
    </row>
    <row r="72" spans="1:14" ht="18" customHeight="1">
      <c r="A72" s="646"/>
      <c r="B72" s="648"/>
      <c r="C72" s="648" t="s">
        <v>520</v>
      </c>
      <c r="D72" s="648"/>
      <c r="E72" s="648"/>
      <c r="F72" s="648"/>
      <c r="G72" s="685" t="s">
        <v>792</v>
      </c>
      <c r="H72" s="650" t="s">
        <v>740</v>
      </c>
      <c r="I72" s="651" t="s">
        <v>742</v>
      </c>
      <c r="J72" s="652">
        <v>155037996</v>
      </c>
      <c r="K72" s="683">
        <v>83082348</v>
      </c>
      <c r="L72" s="684">
        <f>166164696-K72</f>
        <v>83082348</v>
      </c>
      <c r="M72" s="683">
        <f>L72+K72</f>
        <v>166164696</v>
      </c>
      <c r="N72" s="683">
        <v>219243814</v>
      </c>
    </row>
    <row r="73" spans="1:14" ht="18" customHeight="1" thickBot="1">
      <c r="A73" s="655"/>
      <c r="B73" s="656"/>
      <c r="C73" s="656" t="s">
        <v>521</v>
      </c>
      <c r="D73" s="656"/>
      <c r="E73" s="656"/>
      <c r="F73" s="656"/>
      <c r="G73" s="686" t="s">
        <v>793</v>
      </c>
      <c r="H73" s="658" t="s">
        <v>741</v>
      </c>
      <c r="I73" s="659" t="s">
        <v>794</v>
      </c>
      <c r="J73" s="687">
        <v>0</v>
      </c>
      <c r="K73" s="688">
        <v>0</v>
      </c>
      <c r="L73" s="688">
        <v>0</v>
      </c>
      <c r="M73" s="688">
        <f>L73+K73</f>
        <v>0</v>
      </c>
      <c r="N73" s="688">
        <v>0</v>
      </c>
    </row>
    <row r="74" spans="1:14" ht="18" customHeight="1" thickBot="1">
      <c r="A74" s="700"/>
      <c r="B74" s="666" t="s">
        <v>522</v>
      </c>
      <c r="C74" s="666"/>
      <c r="D74" s="666"/>
      <c r="E74" s="666"/>
      <c r="F74" s="666"/>
      <c r="G74" s="667"/>
      <c r="H74" s="668"/>
      <c r="I74" s="669"/>
      <c r="J74" s="690">
        <f>SUM(J72:J73)</f>
        <v>155037996</v>
      </c>
      <c r="K74" s="690">
        <f>SUM(K72:K73)</f>
        <v>83082348</v>
      </c>
      <c r="L74" s="691">
        <f>SUM(L72:L73)</f>
        <v>83082348</v>
      </c>
      <c r="M74" s="690">
        <f>SUM(M72:M73)</f>
        <v>166164696</v>
      </c>
      <c r="N74" s="701">
        <f>SUM(N72:N73)</f>
        <v>219243814</v>
      </c>
    </row>
    <row r="75" spans="1:14" s="7" customFormat="1" ht="18" customHeight="1" thickBot="1">
      <c r="A75" s="700" t="s">
        <v>9</v>
      </c>
      <c r="B75" s="666"/>
      <c r="C75" s="666"/>
      <c r="D75" s="666"/>
      <c r="E75" s="666"/>
      <c r="F75" s="666"/>
      <c r="G75" s="667"/>
      <c r="H75" s="668"/>
      <c r="I75" s="669"/>
      <c r="J75" s="690">
        <f>SUM(J74+J69+J38+J21)</f>
        <v>163017880.28999999</v>
      </c>
      <c r="K75" s="690">
        <f t="shared" ref="K75:N75" si="1">SUM(K74+K69+K38+K21)</f>
        <v>89510379.569999993</v>
      </c>
      <c r="L75" s="690">
        <f t="shared" si="1"/>
        <v>86887906.920000002</v>
      </c>
      <c r="M75" s="690">
        <f>SUM(M74+M69+M38+M21)</f>
        <v>190484896.12</v>
      </c>
      <c r="N75" s="690">
        <f t="shared" si="1"/>
        <v>231613814</v>
      </c>
    </row>
    <row r="76" spans="1:14" s="7" customFormat="1" ht="9" customHeight="1">
      <c r="A76" s="702"/>
      <c r="B76" s="702"/>
      <c r="C76" s="702"/>
      <c r="D76" s="702"/>
      <c r="E76" s="702"/>
      <c r="F76" s="702"/>
      <c r="G76" s="852"/>
      <c r="H76" s="860"/>
      <c r="I76" s="703"/>
      <c r="J76" s="704"/>
      <c r="K76" s="704"/>
      <c r="L76" s="705"/>
      <c r="M76" s="705"/>
      <c r="N76" s="704"/>
    </row>
    <row r="77" spans="1:14" s="7" customFormat="1" ht="18" customHeight="1">
      <c r="A77" s="1236" t="s">
        <v>1758</v>
      </c>
      <c r="B77" s="1236"/>
      <c r="C77" s="1236"/>
      <c r="D77" s="1236"/>
      <c r="E77" s="1236"/>
      <c r="F77" s="1236"/>
      <c r="G77" s="1236"/>
      <c r="H77" s="1236"/>
      <c r="I77" s="1236"/>
      <c r="J77" s="1236"/>
      <c r="K77" s="1236"/>
      <c r="L77" s="1236"/>
      <c r="M77" s="1236"/>
      <c r="N77" s="1236"/>
    </row>
    <row r="78" spans="1:14" s="7" customFormat="1" ht="18" customHeight="1">
      <c r="A78" s="702"/>
      <c r="B78" s="702"/>
      <c r="C78" s="702"/>
      <c r="D78" s="702"/>
      <c r="E78" s="702"/>
      <c r="F78" s="702"/>
      <c r="G78" s="852"/>
      <c r="H78" s="860"/>
      <c r="I78" s="703"/>
      <c r="J78" s="704"/>
      <c r="K78" s="704"/>
      <c r="L78" s="705"/>
      <c r="M78" s="705"/>
      <c r="N78" s="704"/>
    </row>
    <row r="79" spans="1:14" s="706" customFormat="1" ht="20.100000000000001" hidden="1" customHeight="1">
      <c r="A79" s="1244" t="s">
        <v>636</v>
      </c>
      <c r="B79" s="1244"/>
      <c r="C79" s="1244"/>
      <c r="D79" s="1244"/>
      <c r="E79" s="1244"/>
      <c r="F79" s="1244"/>
      <c r="G79" s="1244"/>
      <c r="H79" s="1244"/>
      <c r="I79" s="1244"/>
      <c r="J79" s="1244"/>
      <c r="K79" s="1244"/>
      <c r="L79" s="1244"/>
      <c r="M79" s="1244"/>
      <c r="N79" s="1244"/>
    </row>
    <row r="80" spans="1:14" s="7" customFormat="1" ht="18" hidden="1" customHeight="1">
      <c r="A80" s="19"/>
      <c r="B80" s="618"/>
      <c r="C80" s="618"/>
      <c r="D80" s="618"/>
      <c r="E80" s="618"/>
      <c r="F80" s="618"/>
      <c r="G80" s="855"/>
      <c r="H80" s="618"/>
      <c r="I80" s="619"/>
      <c r="J80" s="618"/>
      <c r="K80" s="618"/>
      <c r="L80" s="620"/>
      <c r="M80" s="620"/>
      <c r="N80" s="621"/>
    </row>
    <row r="81" spans="1:14" s="7" customFormat="1" ht="18" hidden="1" customHeight="1">
      <c r="A81" s="1245" t="s">
        <v>575</v>
      </c>
      <c r="B81" s="1245"/>
      <c r="C81" s="1245"/>
      <c r="D81" s="1245"/>
      <c r="E81" s="1245"/>
      <c r="F81" s="1245"/>
      <c r="G81" s="1245"/>
      <c r="H81" s="1245"/>
      <c r="I81" s="1245"/>
      <c r="J81" s="1245"/>
      <c r="K81" s="1245"/>
      <c r="L81" s="1245"/>
      <c r="M81" s="1245"/>
      <c r="N81" s="1245"/>
    </row>
    <row r="82" spans="1:14" s="7" customFormat="1" ht="18" hidden="1" customHeight="1">
      <c r="A82" s="1245" t="s">
        <v>358</v>
      </c>
      <c r="B82" s="1245"/>
      <c r="C82" s="1245"/>
      <c r="D82" s="1245"/>
      <c r="E82" s="1245"/>
      <c r="F82" s="1245"/>
      <c r="G82" s="1245"/>
      <c r="H82" s="1245"/>
      <c r="I82" s="1245"/>
      <c r="J82" s="1245"/>
      <c r="K82" s="1245"/>
      <c r="L82" s="1245"/>
      <c r="M82" s="1245"/>
      <c r="N82" s="1245"/>
    </row>
    <row r="83" spans="1:14" s="7" customFormat="1" ht="11.25" hidden="1" customHeight="1">
      <c r="A83" s="851"/>
      <c r="B83" s="851"/>
      <c r="C83" s="851"/>
      <c r="D83" s="851"/>
      <c r="E83" s="851"/>
      <c r="F83" s="851"/>
      <c r="G83" s="851"/>
      <c r="H83" s="851"/>
      <c r="I83" s="858"/>
      <c r="J83" s="851"/>
      <c r="K83" s="851"/>
      <c r="L83" s="622"/>
      <c r="M83" s="622"/>
      <c r="N83" s="851"/>
    </row>
    <row r="84" spans="1:14" s="7" customFormat="1" ht="18" hidden="1" customHeight="1" thickBot="1">
      <c r="A84" s="1245" t="s">
        <v>0</v>
      </c>
      <c r="B84" s="1245"/>
      <c r="C84" s="1245"/>
      <c r="D84" s="1245"/>
      <c r="E84" s="1245"/>
      <c r="F84" s="1245"/>
      <c r="G84" s="1245"/>
      <c r="H84" s="1245"/>
      <c r="I84" s="1245"/>
      <c r="J84" s="1245"/>
      <c r="K84" s="1245"/>
      <c r="L84" s="1245"/>
      <c r="M84" s="1245"/>
      <c r="N84" s="1245"/>
    </row>
    <row r="85" spans="1:14" s="7" customFormat="1" ht="18" hidden="1" customHeight="1">
      <c r="A85" s="623"/>
      <c r="B85" s="624"/>
      <c r="C85" s="624"/>
      <c r="D85" s="624"/>
      <c r="E85" s="624"/>
      <c r="F85" s="624"/>
      <c r="G85" s="625"/>
      <c r="H85" s="626"/>
      <c r="I85" s="626"/>
      <c r="J85" s="626"/>
      <c r="K85" s="1246"/>
      <c r="L85" s="1247"/>
      <c r="M85" s="1248"/>
      <c r="N85" s="627"/>
    </row>
    <row r="86" spans="1:14" s="7" customFormat="1" ht="18" hidden="1" customHeight="1">
      <c r="A86" s="1249" t="s">
        <v>3</v>
      </c>
      <c r="B86" s="1238"/>
      <c r="C86" s="1238"/>
      <c r="D86" s="1238"/>
      <c r="E86" s="1238"/>
      <c r="F86" s="1238"/>
      <c r="G86" s="628"/>
      <c r="H86" s="628" t="s">
        <v>1</v>
      </c>
      <c r="I86" s="629" t="s">
        <v>2</v>
      </c>
      <c r="J86" s="628" t="s">
        <v>6</v>
      </c>
      <c r="K86" s="1240" t="s">
        <v>630</v>
      </c>
      <c r="L86" s="1241"/>
      <c r="M86" s="1242"/>
      <c r="N86" s="630" t="s">
        <v>7</v>
      </c>
    </row>
    <row r="87" spans="1:14" s="7" customFormat="1" ht="18" hidden="1" customHeight="1">
      <c r="A87" s="631"/>
      <c r="B87" s="619"/>
      <c r="C87" s="619"/>
      <c r="D87" s="619"/>
      <c r="E87" s="619"/>
      <c r="F87" s="619"/>
      <c r="G87" s="632"/>
      <c r="H87" s="628" t="s">
        <v>4</v>
      </c>
      <c r="I87" s="629" t="s">
        <v>5</v>
      </c>
      <c r="J87" s="633">
        <v>2020</v>
      </c>
      <c r="K87" s="628" t="s">
        <v>571</v>
      </c>
      <c r="L87" s="634" t="s">
        <v>574</v>
      </c>
      <c r="M87" s="628">
        <v>2021</v>
      </c>
      <c r="N87" s="635">
        <v>2022</v>
      </c>
    </row>
    <row r="88" spans="1:14" s="7" customFormat="1" ht="18" hidden="1" customHeight="1">
      <c r="A88" s="631"/>
      <c r="B88" s="619"/>
      <c r="C88" s="619"/>
      <c r="D88" s="619"/>
      <c r="E88" s="619"/>
      <c r="F88" s="619"/>
      <c r="G88" s="632"/>
      <c r="H88" s="628"/>
      <c r="I88" s="628"/>
      <c r="J88" s="628" t="s">
        <v>571</v>
      </c>
      <c r="K88" s="628">
        <v>2021</v>
      </c>
      <c r="L88" s="628">
        <v>2021</v>
      </c>
      <c r="M88" s="634" t="s">
        <v>949</v>
      </c>
      <c r="N88" s="630" t="s">
        <v>576</v>
      </c>
    </row>
    <row r="89" spans="1:14" s="7" customFormat="1" ht="10.5" hidden="1" customHeight="1" thickBot="1">
      <c r="A89" s="1250"/>
      <c r="B89" s="1251"/>
      <c r="C89" s="1251"/>
      <c r="D89" s="1251"/>
      <c r="E89" s="1251"/>
      <c r="F89" s="1251"/>
      <c r="G89" s="636"/>
      <c r="H89" s="636"/>
      <c r="I89" s="636"/>
      <c r="J89" s="636"/>
      <c r="K89" s="636"/>
      <c r="L89" s="637"/>
      <c r="M89" s="637"/>
      <c r="N89" s="638"/>
    </row>
    <row r="90" spans="1:14" ht="18" hidden="1" customHeight="1">
      <c r="A90" s="672" t="s">
        <v>523</v>
      </c>
      <c r="B90" s="673" t="s">
        <v>524</v>
      </c>
      <c r="C90" s="673"/>
      <c r="D90" s="673"/>
      <c r="E90" s="673"/>
      <c r="F90" s="673"/>
      <c r="G90" s="674"/>
      <c r="H90" s="675"/>
      <c r="I90" s="720"/>
      <c r="J90" s="677"/>
      <c r="K90" s="678"/>
      <c r="L90" s="679"/>
      <c r="M90" s="679"/>
      <c r="N90" s="678"/>
    </row>
    <row r="91" spans="1:14" ht="18" hidden="1" customHeight="1">
      <c r="A91" s="680"/>
      <c r="B91" s="681" t="s">
        <v>366</v>
      </c>
      <c r="C91" s="681"/>
      <c r="D91" s="681"/>
      <c r="E91" s="681"/>
      <c r="F91" s="681"/>
      <c r="G91" s="649"/>
      <c r="H91" s="650"/>
      <c r="I91" s="708"/>
      <c r="J91" s="652"/>
      <c r="K91" s="683"/>
      <c r="L91" s="684"/>
      <c r="M91" s="684"/>
      <c r="N91" s="683"/>
    </row>
    <row r="92" spans="1:14" ht="18" hidden="1" customHeight="1">
      <c r="A92" s="646"/>
      <c r="B92" s="648"/>
      <c r="C92" s="648" t="s">
        <v>525</v>
      </c>
      <c r="D92" s="648"/>
      <c r="E92" s="648"/>
      <c r="F92" s="710"/>
      <c r="G92" s="697"/>
      <c r="H92" s="711"/>
      <c r="I92" s="889"/>
      <c r="J92" s="890"/>
      <c r="K92" s="891"/>
      <c r="L92" s="892"/>
      <c r="M92" s="892"/>
      <c r="N92" s="891"/>
    </row>
    <row r="93" spans="1:14" ht="18" hidden="1" customHeight="1">
      <c r="A93" s="646"/>
      <c r="B93" s="710"/>
      <c r="C93" s="710"/>
      <c r="D93" s="710" t="s">
        <v>526</v>
      </c>
      <c r="E93" s="710"/>
      <c r="F93" s="710"/>
      <c r="G93" s="697" t="s">
        <v>594</v>
      </c>
      <c r="H93" s="711" t="s">
        <v>687</v>
      </c>
      <c r="I93" s="889"/>
      <c r="J93" s="890">
        <f>'LBP NO. 2'!I24+'LBP NO. 2'!I97+'LBP NO. 2'!I173+'LBP NO. 2'!I242+'LBP NO. 2'!I309+'LBP NO. 2'!I378+'LBP NO. 2'!I446+'LBP NO. 2'!I514+'LBP NO. 2'!I582+'LBP NO. 2'!I651+'LBP NO. 2'!I719+'LBP NO. 2'!I787+'LBP NO. 2'!I855+'LBP NO. 2'!I923</f>
        <v>36857124.609999999</v>
      </c>
      <c r="K93" s="890">
        <f>'LBP NO. 2'!J24+'LBP NO. 2'!J97+'LBP NO. 2'!J173+'LBP NO. 2'!J242+'LBP NO. 2'!J309+'LBP NO. 2'!J378+'LBP NO. 2'!J446+'LBP NO. 2'!J514+'LBP NO. 2'!J582+'LBP NO. 2'!J651+'LBP NO. 2'!J719+'LBP NO. 2'!J787+'LBP NO. 2'!J855+'LBP NO. 2'!J923</f>
        <v>18914762.649999999</v>
      </c>
      <c r="L93" s="890">
        <f>'LBP NO. 2'!K24+'LBP NO. 2'!K97+'LBP NO. 2'!K173+'LBP NO. 2'!K242+'LBP NO. 2'!K309+'LBP NO. 2'!K378+'LBP NO. 2'!K446+'LBP NO. 2'!K514+'LBP NO. 2'!K582+'LBP NO. 2'!K651+'LBP NO. 2'!K719+'LBP NO. 2'!K787+'LBP NO. 2'!K855+'LBP NO. 2'!K923</f>
        <v>20763750.350000001</v>
      </c>
      <c r="M93" s="890">
        <f>'LBP NO. 2'!L24+'LBP NO. 2'!L97+'LBP NO. 2'!L173+'LBP NO. 2'!L242+'LBP NO. 2'!L309+'LBP NO. 2'!L378+'LBP NO. 2'!L446+'LBP NO. 2'!L514+'LBP NO. 2'!L582+'LBP NO. 2'!L651+'LBP NO. 2'!L719+'LBP NO. 2'!L787+'LBP NO. 2'!L855+'LBP NO. 2'!L923</f>
        <v>39678513</v>
      </c>
      <c r="N93" s="890">
        <f>'LBP NO. 2'!M24+'LBP NO. 2'!M97+'LBP NO. 2'!M173+'LBP NO. 2'!M242+'LBP NO. 2'!M309+'LBP NO. 2'!M378+'LBP NO. 2'!M446+'LBP NO. 2'!M514+'LBP NO. 2'!M582+'LBP NO. 2'!M651+'LBP NO. 2'!M719+'LBP NO. 2'!M787+'LBP NO. 2'!M855+'LBP NO. 2'!M923</f>
        <v>46191587</v>
      </c>
    </row>
    <row r="94" spans="1:14" ht="18" hidden="1" customHeight="1">
      <c r="A94" s="646"/>
      <c r="B94" s="710"/>
      <c r="C94" s="710"/>
      <c r="D94" s="710" t="s">
        <v>428</v>
      </c>
      <c r="E94" s="710"/>
      <c r="F94" s="710"/>
      <c r="G94" s="697"/>
      <c r="H94" s="711" t="s">
        <v>743</v>
      </c>
      <c r="I94" s="889"/>
      <c r="J94" s="890">
        <f>'LBP NO. 2'!I25</f>
        <v>0</v>
      </c>
      <c r="K94" s="890">
        <f>'LBP NO. 2'!J25</f>
        <v>132977</v>
      </c>
      <c r="L94" s="890">
        <f>'LBP NO. 2'!K25</f>
        <v>235267</v>
      </c>
      <c r="M94" s="890">
        <f>'LBP NO. 2'!L25</f>
        <v>368244</v>
      </c>
      <c r="N94" s="890">
        <f>'LBP NO. 2'!M25</f>
        <v>1659684</v>
      </c>
    </row>
    <row r="95" spans="1:14" ht="18" hidden="1" customHeight="1">
      <c r="A95" s="646"/>
      <c r="B95" s="710"/>
      <c r="C95" s="710" t="s">
        <v>527</v>
      </c>
      <c r="D95" s="710"/>
      <c r="E95" s="710"/>
      <c r="F95" s="710"/>
      <c r="G95" s="1033"/>
      <c r="H95" s="711"/>
      <c r="I95" s="889"/>
      <c r="J95" s="890"/>
      <c r="K95" s="891"/>
      <c r="L95" s="892"/>
      <c r="M95" s="891"/>
      <c r="N95" s="891"/>
    </row>
    <row r="96" spans="1:14" ht="18" hidden="1" customHeight="1">
      <c r="A96" s="646"/>
      <c r="B96" s="710"/>
      <c r="C96" s="710"/>
      <c r="D96" s="710" t="s">
        <v>528</v>
      </c>
      <c r="E96" s="710"/>
      <c r="F96" s="710"/>
      <c r="G96" s="697" t="s">
        <v>595</v>
      </c>
      <c r="H96" s="711" t="s">
        <v>688</v>
      </c>
      <c r="I96" s="889"/>
      <c r="J96" s="890">
        <f>'LBP NO. 2'!I27+'LBP NO. 2'!I99+'LBP NO. 2'!I175+'LBP NO. 2'!I244+'LBP NO. 2'!I311+'LBP NO. 2'!I380+'LBP NO. 2'!I448+'LBP NO. 2'!I516+'LBP NO. 2'!I584+'LBP NO. 2'!I653+'LBP NO. 2'!I721+'LBP NO. 2'!I789+'LBP NO. 2'!I857+'LBP NO. 2'!I925</f>
        <v>2242999.9899999998</v>
      </c>
      <c r="K96" s="890">
        <f>'LBP NO. 2'!J27+'LBP NO. 2'!J99+'LBP NO. 2'!J175+'LBP NO. 2'!J244+'LBP NO. 2'!J311+'LBP NO. 2'!J380+'LBP NO. 2'!J448+'LBP NO. 2'!J516+'LBP NO. 2'!J584+'LBP NO. 2'!J653+'LBP NO. 2'!J721+'LBP NO. 2'!J789+'LBP NO. 2'!J857+'LBP NO. 2'!J925</f>
        <v>1161545.45</v>
      </c>
      <c r="L96" s="890">
        <f>'LBP NO. 2'!K27+'LBP NO. 2'!K99+'LBP NO. 2'!K175+'LBP NO. 2'!K244+'LBP NO. 2'!K311+'LBP NO. 2'!K380+'LBP NO. 2'!K448+'LBP NO. 2'!K516+'LBP NO. 2'!K584+'LBP NO. 2'!K653+'LBP NO. 2'!K721+'LBP NO. 2'!K789+'LBP NO. 2'!K857+'LBP NO. 2'!K925</f>
        <v>1310454.55</v>
      </c>
      <c r="M96" s="890">
        <f>'LBP NO. 2'!L27+'LBP NO. 2'!L99+'LBP NO. 2'!L175+'LBP NO. 2'!L244+'LBP NO. 2'!L311+'LBP NO. 2'!L380+'LBP NO. 2'!L448+'LBP NO. 2'!L516+'LBP NO. 2'!L584+'LBP NO. 2'!L653+'LBP NO. 2'!L721+'LBP NO. 2'!L789+'LBP NO. 2'!L857+'LBP NO. 2'!L925</f>
        <v>2472000</v>
      </c>
      <c r="N96" s="890">
        <f>'LBP NO. 2'!M27+'LBP NO. 2'!M99+'LBP NO. 2'!M175+'LBP NO. 2'!M244+'LBP NO. 2'!M311+'LBP NO. 2'!M380+'LBP NO. 2'!M448+'LBP NO. 2'!M516+'LBP NO. 2'!M584+'LBP NO. 2'!M653+'LBP NO. 2'!M721+'LBP NO. 2'!M789+'LBP NO. 2'!M857+'LBP NO. 2'!M925</f>
        <v>3096000</v>
      </c>
    </row>
    <row r="97" spans="1:14" ht="18" hidden="1" customHeight="1">
      <c r="A97" s="646"/>
      <c r="B97" s="710"/>
      <c r="C97" s="710"/>
      <c r="D97" s="710" t="s">
        <v>538</v>
      </c>
      <c r="E97" s="710"/>
      <c r="F97" s="710"/>
      <c r="G97" s="697" t="s">
        <v>596</v>
      </c>
      <c r="H97" s="711" t="s">
        <v>689</v>
      </c>
      <c r="I97" s="889"/>
      <c r="J97" s="890">
        <f>'LBP NO. 2'!I28+'LBP NO. 2'!I100+'LBP NO. 2'!I176+'LBP NO. 2'!I245+'LBP NO. 2'!I312+'LBP NO. 2'!I381+'LBP NO. 2'!I449+'LBP NO. 2'!I517+'LBP NO. 2'!I585+'LBP NO. 2'!I654+'LBP NO. 2'!I722+'LBP NO. 2'!I790</f>
        <v>1785000</v>
      </c>
      <c r="K97" s="890">
        <f>'LBP NO. 2'!J28+'LBP NO. 2'!J100+'LBP NO. 2'!J176+'LBP NO. 2'!J245+'LBP NO. 2'!J312+'LBP NO. 2'!J381+'LBP NO. 2'!J449+'LBP NO. 2'!J517+'LBP NO. 2'!J585+'LBP NO. 2'!J654+'LBP NO. 2'!J722+'LBP NO. 2'!J790</f>
        <v>885275</v>
      </c>
      <c r="L97" s="890">
        <f>'LBP NO. 2'!K28+'LBP NO. 2'!K100+'LBP NO. 2'!K176+'LBP NO. 2'!K245+'LBP NO. 2'!K312+'LBP NO. 2'!K381+'LBP NO. 2'!K449+'LBP NO. 2'!K517+'LBP NO. 2'!K585+'LBP NO. 2'!K654+'LBP NO. 2'!K722+'LBP NO. 2'!K790</f>
        <v>899725</v>
      </c>
      <c r="M97" s="890">
        <f>'LBP NO. 2'!L28+'LBP NO. 2'!L100+'LBP NO. 2'!L176+'LBP NO. 2'!L245+'LBP NO. 2'!L312+'LBP NO. 2'!L381+'LBP NO. 2'!L449+'LBP NO. 2'!L517+'LBP NO. 2'!L585+'LBP NO. 2'!L654+'LBP NO. 2'!L722+'LBP NO. 2'!L790</f>
        <v>1785000</v>
      </c>
      <c r="N97" s="890">
        <f>'LBP NO. 2'!M28+'LBP NO. 2'!M100+'LBP NO. 2'!M176+'LBP NO. 2'!M245+'LBP NO. 2'!M312+'LBP NO. 2'!M381+'LBP NO. 2'!M449+'LBP NO. 2'!M517+'LBP NO. 2'!M585+'LBP NO. 2'!M654+'LBP NO. 2'!M722+'LBP NO. 2'!M790</f>
        <v>1785000</v>
      </c>
    </row>
    <row r="98" spans="1:14" ht="18" hidden="1" customHeight="1">
      <c r="A98" s="646"/>
      <c r="B98" s="710"/>
      <c r="C98" s="710"/>
      <c r="D98" s="710" t="s">
        <v>537</v>
      </c>
      <c r="E98" s="710"/>
      <c r="F98" s="710"/>
      <c r="G98" s="697" t="s">
        <v>597</v>
      </c>
      <c r="H98" s="711" t="s">
        <v>690</v>
      </c>
      <c r="I98" s="889"/>
      <c r="J98" s="890">
        <f>'LBP NO. 2'!I29+'LBP NO. 2'!I101+'LBP NO. 2'!I177+'LBP NO. 2'!I246+'LBP NO. 2'!I313+'LBP NO. 2'!I382+'LBP NO. 2'!I450+'LBP NO. 2'!I518+'LBP NO. 2'!I586+'LBP NO. 2'!I655+'LBP NO. 2'!I723+'LBP NO. 2'!I791</f>
        <v>1606500</v>
      </c>
      <c r="K98" s="890">
        <f>'LBP NO. 2'!J29+'LBP NO. 2'!J101+'LBP NO. 2'!J177+'LBP NO. 2'!J246+'LBP NO. 2'!J313+'LBP NO. 2'!J382+'LBP NO. 2'!J450+'LBP NO. 2'!J518+'LBP NO. 2'!J586+'LBP NO. 2'!J655+'LBP NO. 2'!J723+'LBP NO. 2'!J791</f>
        <v>810475</v>
      </c>
      <c r="L98" s="890">
        <f>'LBP NO. 2'!K29+'LBP NO. 2'!K101+'LBP NO. 2'!K177+'LBP NO. 2'!K246+'LBP NO. 2'!K313+'LBP NO. 2'!K382+'LBP NO. 2'!K450+'LBP NO. 2'!K518+'LBP NO. 2'!K586+'LBP NO. 2'!K655+'LBP NO. 2'!K723+'LBP NO. 2'!K791</f>
        <v>974525</v>
      </c>
      <c r="M98" s="890">
        <f>'LBP NO. 2'!L29+'LBP NO. 2'!L101+'LBP NO. 2'!L177+'LBP NO. 2'!L246+'LBP NO. 2'!L313+'LBP NO. 2'!L382+'LBP NO. 2'!L450+'LBP NO. 2'!L518+'LBP NO. 2'!L586+'LBP NO. 2'!L655+'LBP NO. 2'!L723+'LBP NO. 2'!L791</f>
        <v>1785000</v>
      </c>
      <c r="N98" s="890">
        <f>'LBP NO. 2'!M29+'LBP NO. 2'!M101+'LBP NO. 2'!M177+'LBP NO. 2'!M246+'LBP NO. 2'!M313+'LBP NO. 2'!M382+'LBP NO. 2'!M450+'LBP NO. 2'!M518+'LBP NO. 2'!M586+'LBP NO. 2'!M655+'LBP NO. 2'!M723+'LBP NO. 2'!M791</f>
        <v>1785000</v>
      </c>
    </row>
    <row r="99" spans="1:14" ht="18" hidden="1" customHeight="1">
      <c r="A99" s="646"/>
      <c r="B99" s="710"/>
      <c r="C99" s="710"/>
      <c r="D99" s="710" t="s">
        <v>539</v>
      </c>
      <c r="E99" s="710"/>
      <c r="F99" s="710"/>
      <c r="G99" s="697" t="s">
        <v>598</v>
      </c>
      <c r="H99" s="711" t="s">
        <v>691</v>
      </c>
      <c r="I99" s="889"/>
      <c r="J99" s="890">
        <f>'LBP NO. 2'!I30+'LBP NO. 2'!I102+'LBP NO. 2'!I178+'LBP NO. 2'!I247+'LBP NO. 2'!I314+'LBP NO. 2'!I383+'LBP NO. 2'!I451+'LBP NO. 2'!I519+'LBP NO. 2'!I587+'LBP NO. 2'!I656+'LBP NO. 2'!I724+'LBP NO. 2'!I792+'LBP NO. 2'!I858+'LBP NO. 2'!I926</f>
        <v>558000</v>
      </c>
      <c r="K99" s="890">
        <f>'LBP NO. 2'!J30+'LBP NO. 2'!J102+'LBP NO. 2'!J178+'LBP NO. 2'!J247+'LBP NO. 2'!J314+'LBP NO. 2'!J383+'LBP NO. 2'!J451+'LBP NO. 2'!J519+'LBP NO. 2'!J587+'LBP NO. 2'!J656+'LBP NO. 2'!J724+'LBP NO. 2'!J792+'LBP NO. 2'!J858+'LBP NO. 2'!J926</f>
        <v>576000</v>
      </c>
      <c r="L99" s="890">
        <f>'LBP NO. 2'!K30+'LBP NO. 2'!K102+'LBP NO. 2'!K178+'LBP NO. 2'!K247+'LBP NO. 2'!K314+'LBP NO. 2'!K383+'LBP NO. 2'!K451+'LBP NO. 2'!K519+'LBP NO. 2'!K587+'LBP NO. 2'!K656+'LBP NO. 2'!K724+'LBP NO. 2'!K792+'LBP NO. 2'!K858+'LBP NO. 2'!K926</f>
        <v>42000</v>
      </c>
      <c r="M99" s="890">
        <f>'LBP NO. 2'!L30+'LBP NO. 2'!L102+'LBP NO. 2'!L178+'LBP NO. 2'!L247+'LBP NO. 2'!L314+'LBP NO. 2'!L383+'LBP NO. 2'!L451+'LBP NO. 2'!L519+'LBP NO. 2'!L587+'LBP NO. 2'!L656+'LBP NO. 2'!L724+'LBP NO. 2'!L792+'LBP NO. 2'!L858+'LBP NO. 2'!L926</f>
        <v>618000</v>
      </c>
      <c r="N99" s="890">
        <f>'LBP NO. 2'!M30+'LBP NO. 2'!M102+'LBP NO. 2'!M178+'LBP NO. 2'!M247+'LBP NO. 2'!M314+'LBP NO. 2'!M383+'LBP NO. 2'!M451+'LBP NO. 2'!M519+'LBP NO. 2'!M587+'LBP NO. 2'!M656+'LBP NO. 2'!M724+'LBP NO. 2'!M792+'LBP NO. 2'!M858+'LBP NO. 2'!M926</f>
        <v>774000</v>
      </c>
    </row>
    <row r="100" spans="1:14" ht="18" hidden="1" customHeight="1">
      <c r="A100" s="646"/>
      <c r="B100" s="710"/>
      <c r="C100" s="710"/>
      <c r="D100" s="710" t="s">
        <v>540</v>
      </c>
      <c r="E100" s="710"/>
      <c r="F100" s="710"/>
      <c r="G100" s="697" t="s">
        <v>599</v>
      </c>
      <c r="H100" s="711" t="s">
        <v>708</v>
      </c>
      <c r="I100" s="889"/>
      <c r="J100" s="890">
        <f>'LBP NO. 2'!I657+'LBP NO. 2'!I793+'LBP NO. 2'!I859</f>
        <v>305534.96999999997</v>
      </c>
      <c r="K100" s="890">
        <f>'LBP NO. 2'!J657+'LBP NO. 2'!J793+'LBP NO. 2'!J859</f>
        <v>121325</v>
      </c>
      <c r="L100" s="890">
        <f>'LBP NO. 2'!K657+'LBP NO. 2'!K793+'LBP NO. 2'!K859</f>
        <v>326875</v>
      </c>
      <c r="M100" s="890">
        <f>'LBP NO. 2'!L657+'LBP NO. 2'!L793+'LBP NO. 2'!L859</f>
        <v>448200</v>
      </c>
      <c r="N100" s="890">
        <f>'LBP NO. 2'!M657+'LBP NO. 2'!M793+'LBP NO. 2'!M859</f>
        <v>543600</v>
      </c>
    </row>
    <row r="101" spans="1:14" ht="18" hidden="1" customHeight="1">
      <c r="A101" s="646"/>
      <c r="B101" s="710"/>
      <c r="C101" s="710"/>
      <c r="D101" s="710" t="s">
        <v>795</v>
      </c>
      <c r="E101" s="710"/>
      <c r="F101" s="710"/>
      <c r="G101" s="697" t="s">
        <v>600</v>
      </c>
      <c r="H101" s="711" t="s">
        <v>692</v>
      </c>
      <c r="I101" s="889"/>
      <c r="J101" s="890">
        <f>'LBP NO. 2'!I31+'LBP NO. 2'!I103+'LBP NO. 2'!I179+'LBP NO. 2'!I248+'LBP NO. 2'!I315+'LBP NO. 2'!I384+'LBP NO. 2'!I452+'LBP NO. 2'!I520+'LBP NO. 2'!I588+'LBP NO. 2'!I658+'LBP NO. 2'!I725+'LBP NO. 2'!I794+'LBP NO. 2'!I860+'LBP NO. 2'!I927</f>
        <v>474000</v>
      </c>
      <c r="K101" s="890">
        <f>'LBP NO. 2'!J31+'LBP NO. 2'!J103+'LBP NO. 2'!J179+'LBP NO. 2'!J248+'LBP NO. 2'!J315+'LBP NO. 2'!J384+'LBP NO. 2'!J452+'LBP NO. 2'!J520+'LBP NO. 2'!J588+'LBP NO. 2'!J658+'LBP NO. 2'!J725+'LBP NO. 2'!J794+'LBP NO. 2'!J860+'LBP NO. 2'!J927</f>
        <v>0</v>
      </c>
      <c r="L101" s="890">
        <f>'LBP NO. 2'!K31+'LBP NO. 2'!K103+'LBP NO. 2'!K179+'LBP NO. 2'!K248+'LBP NO. 2'!K315+'LBP NO. 2'!K384+'LBP NO. 2'!K452+'LBP NO. 2'!K520+'LBP NO. 2'!K588+'LBP NO. 2'!K658+'LBP NO. 2'!K725+'LBP NO. 2'!K794+'LBP NO. 2'!K860+'LBP NO. 2'!K927</f>
        <v>515000</v>
      </c>
      <c r="M101" s="890">
        <f>'LBP NO. 2'!L31+'LBP NO. 2'!L103+'LBP NO. 2'!L179+'LBP NO. 2'!L248+'LBP NO. 2'!L315+'LBP NO. 2'!L384+'LBP NO. 2'!L452+'LBP NO. 2'!L520+'LBP NO. 2'!L588+'LBP NO. 2'!L658+'LBP NO. 2'!L725+'LBP NO. 2'!L794+'LBP NO. 2'!L860+'LBP NO. 2'!L927</f>
        <v>515000</v>
      </c>
      <c r="N101" s="890">
        <f>'LBP NO. 2'!M31+'LBP NO. 2'!M103+'LBP NO. 2'!M179+'LBP NO. 2'!M248+'LBP NO. 2'!M315+'LBP NO. 2'!M384+'LBP NO. 2'!M452+'LBP NO. 2'!M520+'LBP NO. 2'!M588+'LBP NO. 2'!M658+'LBP NO. 2'!M725+'LBP NO. 2'!M794+'LBP NO. 2'!M860+'LBP NO. 2'!M927</f>
        <v>645000</v>
      </c>
    </row>
    <row r="102" spans="1:14" ht="18" hidden="1" customHeight="1">
      <c r="A102" s="646"/>
      <c r="B102" s="710"/>
      <c r="C102" s="710"/>
      <c r="D102" s="710" t="s">
        <v>541</v>
      </c>
      <c r="E102" s="710"/>
      <c r="F102" s="1034"/>
      <c r="G102" s="697" t="s">
        <v>433</v>
      </c>
      <c r="H102" s="711" t="s">
        <v>693</v>
      </c>
      <c r="I102" s="889"/>
      <c r="J102" s="890">
        <f>'LBP NO. 2'!I32+'LBP NO. 2'!I104+'LBP NO. 2'!I180+'LBP NO. 2'!I249+'LBP NO. 2'!I316+'LBP NO. 2'!I453+'LBP NO. 2'!I521+'LBP NO. 2'!I589+'LBP NO. 2'!I659+'LBP NO. 2'!I726+'LBP NO. 2'!I795+'LBP NO. 2'!I861</f>
        <v>70000</v>
      </c>
      <c r="K102" s="890">
        <f>'LBP NO. 2'!J32+'LBP NO. 2'!J104+'LBP NO. 2'!J180+'LBP NO. 2'!J249+'LBP NO. 2'!J316+'LBP NO. 2'!J453+'LBP NO. 2'!J521+'LBP NO. 2'!J589+'LBP NO. 2'!J659+'LBP NO. 2'!J726+'LBP NO. 2'!J795+'LBP NO. 2'!J861</f>
        <v>40000</v>
      </c>
      <c r="L102" s="890">
        <f>'LBP NO. 2'!K32+'LBP NO. 2'!K104+'LBP NO. 2'!K180+'LBP NO. 2'!K249+'LBP NO. 2'!K316+'LBP NO. 2'!K453+'LBP NO. 2'!K521+'LBP NO. 2'!K589+'LBP NO. 2'!K659+'LBP NO. 2'!K726+'LBP NO. 2'!K795+'LBP NO. 2'!K861</f>
        <v>10000</v>
      </c>
      <c r="M102" s="890">
        <f>'LBP NO. 2'!L32+'LBP NO. 2'!L104+'LBP NO. 2'!L180+'LBP NO. 2'!L249+'LBP NO. 2'!L316+'LBP NO. 2'!L453+'LBP NO. 2'!L521+'LBP NO. 2'!L589+'LBP NO. 2'!L659+'LBP NO. 2'!L726+'LBP NO. 2'!L795+'LBP NO. 2'!L861</f>
        <v>50000</v>
      </c>
      <c r="N102" s="890">
        <f>'LBP NO. 2'!M32+'LBP NO. 2'!M104+'LBP NO. 2'!M180+'LBP NO. 2'!M249+'LBP NO. 2'!M316+'LBP NO. 2'!M453+'LBP NO. 2'!M521+'LBP NO. 2'!M589+'LBP NO. 2'!M659+'LBP NO. 2'!M726+'LBP NO. 2'!M795+'LBP NO. 2'!M861+'LBP NO. 2'!M385</f>
        <v>30000</v>
      </c>
    </row>
    <row r="103" spans="1:14" s="802" customFormat="1" ht="18" hidden="1" customHeight="1">
      <c r="A103" s="888"/>
      <c r="B103" s="710"/>
      <c r="C103" s="710"/>
      <c r="D103" s="710" t="s">
        <v>910</v>
      </c>
      <c r="E103" s="710"/>
      <c r="F103" s="710"/>
      <c r="G103" s="697" t="s">
        <v>433</v>
      </c>
      <c r="H103" s="711" t="s">
        <v>693</v>
      </c>
      <c r="I103" s="889"/>
      <c r="J103" s="890">
        <f>'LBP NO. 2'!I35+'LBP NO. 2'!I108+'LBP NO. 2'!I184+'LBP NO. 2'!I253+'LBP NO. 2'!I321+'LBP NO. 2'!I390+'LBP NO. 2'!I458+'LBP NO. 2'!I525+'LBP NO. 2'!I593+'LBP NO. 2'!I664+'LBP NO. 2'!I730+'LBP NO. 2'!I800+'LBP NO. 2'!I865+'LBP NO. 2'!I929</f>
        <v>3023766</v>
      </c>
      <c r="K103" s="890">
        <f>'LBP NO. 2'!J35+'LBP NO. 2'!J108+'LBP NO. 2'!J184+'LBP NO. 2'!J253+'LBP NO. 2'!J321+'LBP NO. 2'!J390+'LBP NO. 2'!J458+'LBP NO. 2'!J525+'LBP NO. 2'!J593+'LBP NO. 2'!J664+'LBP NO. 2'!J730+'LBP NO. 2'!J800+'LBP NO. 2'!J865+'LBP NO. 2'!J929</f>
        <v>3160546</v>
      </c>
      <c r="L103" s="890">
        <f>'LBP NO. 2'!K35+'LBP NO. 2'!K108+'LBP NO. 2'!K184+'LBP NO. 2'!K253+'LBP NO. 2'!K321+'LBP NO. 2'!K390+'LBP NO. 2'!K458+'LBP NO. 2'!K525+'LBP NO. 2'!K593+'LBP NO. 2'!K664+'LBP NO. 2'!K730+'LBP NO. 2'!K800+'LBP NO. 2'!K865+'LBP NO. 2'!K929</f>
        <v>151045</v>
      </c>
      <c r="M103" s="890">
        <f>'LBP NO. 2'!L35+'LBP NO. 2'!L108+'LBP NO. 2'!L184+'LBP NO. 2'!L253+'LBP NO. 2'!L321+'LBP NO. 2'!L390+'LBP NO. 2'!L458+'LBP NO. 2'!L525+'LBP NO. 2'!L593+'LBP NO. 2'!L664+'LBP NO. 2'!L730+'LBP NO. 2'!L800+'LBP NO. 2'!L865+'LBP NO. 2'!L929</f>
        <v>3311591</v>
      </c>
      <c r="N103" s="890">
        <f>'LBP NO. 2'!M35+'LBP NO. 2'!M108+'LBP NO. 2'!M184+'LBP NO. 2'!M253+'LBP NO. 2'!M321+'LBP NO. 2'!M390+'LBP NO. 2'!M458+'LBP NO. 2'!M525+'LBP NO. 2'!M593+'LBP NO. 2'!M664+'LBP NO. 2'!M730+'LBP NO. 2'!M800+'LBP NO. 2'!M865+'LBP NO. 2'!M929</f>
        <v>3978549</v>
      </c>
    </row>
    <row r="104" spans="1:14" ht="18" hidden="1" customHeight="1">
      <c r="A104" s="646"/>
      <c r="B104" s="648"/>
      <c r="C104" s="648"/>
      <c r="D104" s="648" t="s">
        <v>1513</v>
      </c>
      <c r="E104" s="648"/>
      <c r="F104" s="710"/>
      <c r="G104" s="697"/>
      <c r="H104" s="711" t="s">
        <v>693</v>
      </c>
      <c r="I104" s="889"/>
      <c r="J104" s="890">
        <f>'LBP NO. 2'!I33+'LBP NO. 2'!I106+'LBP NO. 2'!I182+'LBP NO. 2'!I251+'LBP NO. 2'!I318+'LBP NO. 2'!I387+'LBP NO. 2'!I455+'LBP NO. 2'!I523+'LBP NO. 2'!I591+'LBP NO. 2'!I661+'LBP NO. 2'!I728+'LBP NO. 2'!I797+'LBP NO. 2'!I931</f>
        <v>1695252.56</v>
      </c>
      <c r="K104" s="890">
        <f>'LBP NO. 2'!J33+'LBP NO. 2'!J106+'LBP NO. 2'!J182+'LBP NO. 2'!J251+'LBP NO. 2'!J318+'LBP NO. 2'!J387+'LBP NO. 2'!J455+'LBP NO. 2'!J523+'LBP NO. 2'!J591+'LBP NO. 2'!J661+'LBP NO. 2'!J728+'LBP NO. 2'!J797+'LBP NO. 2'!J931</f>
        <v>0</v>
      </c>
      <c r="L104" s="890">
        <f>'LBP NO. 2'!K33+'LBP NO. 2'!K106+'LBP NO. 2'!K182+'LBP NO. 2'!K251+'LBP NO. 2'!K318+'LBP NO. 2'!K387+'LBP NO. 2'!K455+'LBP NO. 2'!K523+'LBP NO. 2'!K591+'LBP NO. 2'!K661+'LBP NO. 2'!K728+'LBP NO. 2'!K797+'LBP NO. 2'!K931</f>
        <v>2000000</v>
      </c>
      <c r="M104" s="890">
        <f>'LBP NO. 2'!L33+'LBP NO. 2'!L106+'LBP NO. 2'!L182+'LBP NO. 2'!L251+'LBP NO. 2'!L318+'LBP NO. 2'!L387+'LBP NO. 2'!L455+'LBP NO. 2'!L523+'LBP NO. 2'!L591+'LBP NO. 2'!L661+'LBP NO. 2'!L728+'LBP NO. 2'!L797+'LBP NO. 2'!L931</f>
        <v>2000000</v>
      </c>
      <c r="N104" s="890">
        <f>'LBP NO. 2'!M33+'LBP NO. 2'!M106+'LBP NO. 2'!M182+'LBP NO. 2'!M251+'LBP NO. 2'!M318+'LBP NO. 2'!M387+'LBP NO. 2'!M455+'LBP NO. 2'!M523+'LBP NO. 2'!M591+'LBP NO. 2'!M661+'LBP NO. 2'!M728+'LBP NO. 2'!M797+'LBP NO. 2'!M931</f>
        <v>0</v>
      </c>
    </row>
    <row r="105" spans="1:14" ht="18" hidden="1" customHeight="1">
      <c r="A105" s="646"/>
      <c r="B105" s="648"/>
      <c r="C105" s="648"/>
      <c r="D105" s="648" t="s">
        <v>1630</v>
      </c>
      <c r="E105" s="648"/>
      <c r="F105" s="710"/>
      <c r="G105" s="697"/>
      <c r="H105" s="1035" t="s">
        <v>693</v>
      </c>
      <c r="I105" s="889"/>
      <c r="J105" s="890">
        <f>'LBP NO. 2'!I36+'LBP NO. 2'!I105+'LBP NO. 2'!I181+'LBP NO. 2'!I250+'LBP NO. 2'!I317+'LBP NO. 2'!I386+'LBP NO. 2'!I454+'LBP NO. 2'!I522+'LBP NO. 2'!I590+'LBP NO. 2'!I660+'LBP NO. 2'!I727+'LBP NO. 2'!I796+'LBP NO. 2'!I862+'LBP NO. 2'!I930</f>
        <v>0</v>
      </c>
      <c r="K105" s="890">
        <f>'LBP NO. 2'!J36+'LBP NO. 2'!J105+'LBP NO. 2'!J181+'LBP NO. 2'!J250+'LBP NO. 2'!J317+'LBP NO. 2'!J386+'LBP NO. 2'!J454+'LBP NO. 2'!J522+'LBP NO. 2'!J590+'LBP NO. 2'!J660+'LBP NO. 2'!J727+'LBP NO. 2'!J796+'LBP NO. 2'!J862+'LBP NO. 2'!J930</f>
        <v>276000</v>
      </c>
      <c r="L105" s="890">
        <f>'LBP NO. 2'!K36+'LBP NO. 2'!K105+'LBP NO. 2'!K181+'LBP NO. 2'!K250+'LBP NO. 2'!K317+'LBP NO. 2'!K386+'LBP NO. 2'!K454+'LBP NO. 2'!K522+'LBP NO. 2'!K590+'LBP NO. 2'!K660+'LBP NO. 2'!K727+'LBP NO. 2'!K796+'LBP NO. 2'!K862+'LBP NO. 2'!K930</f>
        <v>24000</v>
      </c>
      <c r="M105" s="890">
        <f>'LBP NO. 2'!L36+'LBP NO. 2'!L105+'LBP NO. 2'!L181+'LBP NO. 2'!L250+'LBP NO. 2'!L317+'LBP NO. 2'!L386+'LBP NO. 2'!L454+'LBP NO. 2'!L522+'LBP NO. 2'!L590+'LBP NO. 2'!L660+'LBP NO. 2'!L727+'LBP NO. 2'!L796+'LBP NO. 2'!L862+'LBP NO. 2'!L930</f>
        <v>300000</v>
      </c>
      <c r="N105" s="890">
        <f>'LBP NO. 2'!M36+'LBP NO. 2'!M105+'LBP NO. 2'!M181+'LBP NO. 2'!M250+'LBP NO. 2'!M317+'LBP NO. 2'!M386+'LBP NO. 2'!M454+'LBP NO. 2'!M522+'LBP NO. 2'!M590+'LBP NO. 2'!M660+'LBP NO. 2'!M727+'LBP NO. 2'!M796+'LBP NO. 2'!M862+'LBP NO. 2'!M930</f>
        <v>0</v>
      </c>
    </row>
    <row r="106" spans="1:14" s="893" customFormat="1" ht="18" hidden="1" customHeight="1">
      <c r="A106" s="888"/>
      <c r="B106" s="710"/>
      <c r="C106" s="710"/>
      <c r="D106" s="710" t="s">
        <v>543</v>
      </c>
      <c r="E106" s="710"/>
      <c r="F106" s="710"/>
      <c r="G106" s="697" t="s">
        <v>601</v>
      </c>
      <c r="H106" s="711" t="s">
        <v>709</v>
      </c>
      <c r="I106" s="889"/>
      <c r="J106" s="890">
        <f>'LBP NO. 2'!I662+'LBP NO. 2'!I798+'LBP NO. 2'!I863</f>
        <v>689276.3</v>
      </c>
      <c r="K106" s="890">
        <f>'LBP NO. 2'!J662+'LBP NO. 2'!J798+'LBP NO. 2'!J863</f>
        <v>290167</v>
      </c>
      <c r="L106" s="890">
        <f>'LBP NO. 2'!K662+'LBP NO. 2'!K798+'LBP NO. 2'!K863</f>
        <v>411489.8</v>
      </c>
      <c r="M106" s="890">
        <f>'LBP NO. 2'!L662+'LBP NO. 2'!L798+'LBP NO. 2'!L863</f>
        <v>701656.8</v>
      </c>
      <c r="N106" s="890">
        <f>'LBP NO. 2'!M662+'LBP NO. 2'!M798+'LBP NO. 2'!M863</f>
        <v>887008.8</v>
      </c>
    </row>
    <row r="107" spans="1:14" s="893" customFormat="1" ht="18" hidden="1" customHeight="1">
      <c r="A107" s="888"/>
      <c r="B107" s="710"/>
      <c r="C107" s="710"/>
      <c r="D107" s="710" t="s">
        <v>1695</v>
      </c>
      <c r="E107" s="710"/>
      <c r="F107" s="710"/>
      <c r="G107" s="697"/>
      <c r="H107" s="711" t="s">
        <v>709</v>
      </c>
      <c r="I107" s="889"/>
      <c r="J107" s="890">
        <f>'LBP NO. 2'!I37</f>
        <v>499958.74</v>
      </c>
      <c r="K107" s="890">
        <f>'LBP NO. 2'!J37</f>
        <v>0</v>
      </c>
      <c r="L107" s="890">
        <f>'LBP NO. 2'!K37</f>
        <v>0</v>
      </c>
      <c r="M107" s="890">
        <f>'LBP NO. 2'!L37</f>
        <v>0</v>
      </c>
      <c r="N107" s="890">
        <f>'LBP NO. 2'!M37</f>
        <v>0</v>
      </c>
    </row>
    <row r="108" spans="1:14" ht="18" hidden="1" customHeight="1">
      <c r="A108" s="646"/>
      <c r="B108" s="648"/>
      <c r="C108" s="710"/>
      <c r="D108" s="710" t="s">
        <v>367</v>
      </c>
      <c r="E108" s="710"/>
      <c r="F108" s="710"/>
      <c r="G108" s="697" t="s">
        <v>602</v>
      </c>
      <c r="H108" s="711" t="s">
        <v>710</v>
      </c>
      <c r="I108" s="889"/>
      <c r="J108" s="890">
        <f>'LBP NO. 2'!I319+'LBP NO. 2'!I388+'LBP NO. 2'!I456</f>
        <v>87823.83</v>
      </c>
      <c r="K108" s="890">
        <f>'LBP NO. 2'!J319+'LBP NO. 2'!J388+'LBP NO. 2'!J456</f>
        <v>8058.88</v>
      </c>
      <c r="L108" s="890">
        <f>'LBP NO. 2'!K319+'LBP NO. 2'!K388+'LBP NO. 2'!K456</f>
        <v>121941.12</v>
      </c>
      <c r="M108" s="890">
        <f>'LBP NO. 2'!L319+'LBP NO. 2'!L388+'LBP NO. 2'!L456</f>
        <v>130000</v>
      </c>
      <c r="N108" s="890">
        <f>'LBP NO. 2'!M319+'LBP NO. 2'!M388+'LBP NO. 2'!M456</f>
        <v>137000</v>
      </c>
    </row>
    <row r="109" spans="1:14" ht="18" hidden="1" customHeight="1">
      <c r="A109" s="646"/>
      <c r="B109" s="648"/>
      <c r="C109" s="710"/>
      <c r="D109" s="710" t="s">
        <v>544</v>
      </c>
      <c r="E109" s="710"/>
      <c r="F109" s="710"/>
      <c r="G109" s="697" t="s">
        <v>603</v>
      </c>
      <c r="H109" s="711" t="s">
        <v>694</v>
      </c>
      <c r="I109" s="889"/>
      <c r="J109" s="890">
        <f>'LBP NO. 2'!I34+'LBP NO. 2'!I107+'LBP NO. 2'!I183+'LBP NO. 2'!I252+'LBP NO. 2'!I320+'LBP NO. 2'!I389+'LBP NO. 2'!I457+'LBP NO. 2'!I524+'LBP NO. 2'!I592+'LBP NO. 2'!I663+'LBP NO. 2'!I729+'LBP NO. 2'!I799+'LBP NO. 2'!I864+'LBP NO. 2'!I928</f>
        <v>470000</v>
      </c>
      <c r="K109" s="890">
        <f>'LBP NO. 2'!J34+'LBP NO. 2'!J107+'LBP NO. 2'!J183+'LBP NO. 2'!J252+'LBP NO. 2'!J320+'LBP NO. 2'!J389+'LBP NO. 2'!J457+'LBP NO. 2'!J524+'LBP NO. 2'!J592+'LBP NO. 2'!J663+'LBP NO. 2'!J729+'LBP NO. 2'!J799+'LBP NO. 2'!J864+'LBP NO. 2'!J928</f>
        <v>0</v>
      </c>
      <c r="L109" s="890">
        <f>'LBP NO. 2'!K34+'LBP NO. 2'!K107+'LBP NO. 2'!K183+'LBP NO. 2'!K252+'LBP NO. 2'!K320+'LBP NO. 2'!K389+'LBP NO. 2'!K457+'LBP NO. 2'!K524+'LBP NO. 2'!K592+'LBP NO. 2'!K663+'LBP NO. 2'!K729+'LBP NO. 2'!K799+'LBP NO. 2'!K864+'LBP NO. 2'!K928</f>
        <v>515000</v>
      </c>
      <c r="M109" s="890">
        <f>'LBP NO. 2'!L34+'LBP NO. 2'!L107+'LBP NO. 2'!L183+'LBP NO. 2'!L252+'LBP NO. 2'!L320+'LBP NO. 2'!L389+'LBP NO. 2'!L457+'LBP NO. 2'!L524+'LBP NO. 2'!L592+'LBP NO. 2'!L663+'LBP NO. 2'!L729+'LBP NO. 2'!L799+'LBP NO. 2'!L864+'LBP NO. 2'!L928</f>
        <v>515000</v>
      </c>
      <c r="N109" s="890">
        <f>'LBP NO. 2'!M34+'LBP NO. 2'!M107+'LBP NO. 2'!M183+'LBP NO. 2'!M252+'LBP NO. 2'!M320+'LBP NO. 2'!M389+'LBP NO. 2'!M457+'LBP NO. 2'!M524+'LBP NO. 2'!M592+'LBP NO. 2'!M663+'LBP NO. 2'!M729+'LBP NO. 2'!M799+'LBP NO. 2'!M864+'LBP NO. 2'!M928</f>
        <v>645000</v>
      </c>
    </row>
    <row r="110" spans="1:14" ht="18" hidden="1" customHeight="1">
      <c r="A110" s="646"/>
      <c r="B110" s="648"/>
      <c r="C110" s="710"/>
      <c r="D110" s="710" t="s">
        <v>545</v>
      </c>
      <c r="E110" s="710"/>
      <c r="F110" s="710"/>
      <c r="G110" s="697" t="s">
        <v>604</v>
      </c>
      <c r="H110" s="711" t="s">
        <v>695</v>
      </c>
      <c r="I110" s="889"/>
      <c r="J110" s="890">
        <f>'LBP NO. 2'!I38+'LBP NO. 2'!I109+'LBP NO. 2'!I185+'LBP NO. 2'!I254+'LBP NO. 2'!I322+'LBP NO. 2'!I391+'LBP NO. 2'!I459+'LBP NO. 2'!I526+'LBP NO. 2'!I594+'LBP NO. 2'!I665+'LBP NO. 2'!I731+'LBP NO. 2'!I801+'LBP NO. 2'!I866+'LBP NO. 2'!I932</f>
        <v>3060322</v>
      </c>
      <c r="K110" s="890">
        <f>'LBP NO. 2'!J38+'LBP NO. 2'!J109+'LBP NO. 2'!J185+'LBP NO. 2'!J254+'LBP NO. 2'!J322+'LBP NO. 2'!J391+'LBP NO. 2'!J459+'LBP NO. 2'!J526+'LBP NO. 2'!J594+'LBP NO. 2'!J665+'LBP NO. 2'!J731+'LBP NO. 2'!J801+'LBP NO. 2'!J866+'LBP NO. 2'!J932</f>
        <v>1243</v>
      </c>
      <c r="L110" s="890">
        <f>'LBP NO. 2'!K38+'LBP NO. 2'!K109+'LBP NO. 2'!K185+'LBP NO. 2'!K254+'LBP NO. 2'!K322+'LBP NO. 2'!K391+'LBP NO. 2'!K459+'LBP NO. 2'!K526+'LBP NO. 2'!K594+'LBP NO. 2'!K665+'LBP NO. 2'!K731+'LBP NO. 2'!K801+'LBP NO. 2'!K866+'LBP NO. 2'!K932</f>
        <v>3318621</v>
      </c>
      <c r="M110" s="890">
        <f>'LBP NO. 2'!L38+'LBP NO. 2'!L109+'LBP NO. 2'!L185+'LBP NO. 2'!L254+'LBP NO. 2'!L322+'LBP NO. 2'!L391+'LBP NO. 2'!L459+'LBP NO. 2'!L526+'LBP NO. 2'!L594+'LBP NO. 2'!L665+'LBP NO. 2'!L731+'LBP NO. 2'!L801+'LBP NO. 2'!L866+'LBP NO. 2'!L932</f>
        <v>3319864</v>
      </c>
      <c r="N110" s="890">
        <f>'LBP NO. 2'!M38+'LBP NO. 2'!M109+'LBP NO. 2'!M185+'LBP NO. 2'!M254+'LBP NO. 2'!M322+'LBP NO. 2'!M391+'LBP NO. 2'!M459+'LBP NO. 2'!M526+'LBP NO. 2'!M594+'LBP NO. 2'!M665+'LBP NO. 2'!M731+'LBP NO. 2'!M801+'LBP NO. 2'!M866+'LBP NO. 2'!M932</f>
        <v>3997651</v>
      </c>
    </row>
    <row r="111" spans="1:14" ht="18" hidden="1" customHeight="1">
      <c r="A111" s="646"/>
      <c r="B111" s="648"/>
      <c r="C111" s="710"/>
      <c r="D111" s="710" t="s">
        <v>658</v>
      </c>
      <c r="E111" s="710"/>
      <c r="F111" s="710"/>
      <c r="G111" s="697" t="s">
        <v>605</v>
      </c>
      <c r="H111" s="711" t="s">
        <v>696</v>
      </c>
      <c r="I111" s="889"/>
      <c r="J111" s="890">
        <f>'LBP NO. 2'!I39+'LBP NO. 2'!I110+'LBP NO. 2'!I186+'LBP NO. 2'!I255+'LBP NO. 2'!I323+'LBP NO. 2'!I392+'LBP NO. 2'!I460+'LBP NO. 2'!I527+'LBP NO. 2'!I595+'LBP NO. 2'!I666+'LBP NO. 2'!I732+'LBP NO. 2'!I802+'LBP NO. 2'!I867+'LBP NO. 2'!I933</f>
        <v>4315832.3500000006</v>
      </c>
      <c r="K111" s="890">
        <f>'LBP NO. 2'!J39+'LBP NO. 2'!J110+'LBP NO. 2'!J186+'LBP NO. 2'!J255+'LBP NO. 2'!J323+'LBP NO. 2'!J392+'LBP NO. 2'!J460+'LBP NO. 2'!J527+'LBP NO. 2'!J595+'LBP NO. 2'!J666+'LBP NO. 2'!J732+'LBP NO. 2'!J802+'LBP NO. 2'!J867+'LBP NO. 2'!J933</f>
        <v>2164399.92</v>
      </c>
      <c r="L111" s="890">
        <f>'LBP NO. 2'!K39+'LBP NO. 2'!K110+'LBP NO. 2'!K186+'LBP NO. 2'!K255+'LBP NO. 2'!K323+'LBP NO. 2'!K392+'LBP NO. 2'!K460+'LBP NO. 2'!K527+'LBP NO. 2'!K595+'LBP NO. 2'!K666+'LBP NO. 2'!K732+'LBP NO. 2'!K802+'LBP NO. 2'!K867+'LBP NO. 2'!K933</f>
        <v>2658500.08</v>
      </c>
      <c r="M111" s="890">
        <f>'LBP NO. 2'!L39+'LBP NO. 2'!L110+'LBP NO. 2'!L186+'LBP NO. 2'!L255+'LBP NO. 2'!L323+'LBP NO. 2'!L392+'LBP NO. 2'!L460+'LBP NO. 2'!L527+'LBP NO. 2'!L595+'LBP NO. 2'!L666+'LBP NO. 2'!L732+'LBP NO. 2'!L802+'LBP NO. 2'!L867+'LBP NO. 2'!L933</f>
        <v>4822900</v>
      </c>
      <c r="N111" s="890">
        <f>'LBP NO. 2'!M39+'LBP NO. 2'!M110+'LBP NO. 2'!M186+'LBP NO. 2'!M255+'LBP NO. 2'!M323+'LBP NO. 2'!M392+'LBP NO. 2'!M460+'LBP NO. 2'!M527+'LBP NO. 2'!M595+'LBP NO. 2'!M666+'LBP NO. 2'!M732+'LBP NO. 2'!M802+'LBP NO. 2'!M867+'LBP NO. 2'!M933</f>
        <v>5790300</v>
      </c>
    </row>
    <row r="112" spans="1:14" ht="18" hidden="1" customHeight="1">
      <c r="A112" s="646"/>
      <c r="B112" s="648"/>
      <c r="C112" s="710"/>
      <c r="D112" s="710" t="s">
        <v>546</v>
      </c>
      <c r="E112" s="710"/>
      <c r="F112" s="710"/>
      <c r="G112" s="697" t="s">
        <v>606</v>
      </c>
      <c r="H112" s="711" t="s">
        <v>697</v>
      </c>
      <c r="I112" s="889"/>
      <c r="J112" s="890">
        <f>'LBP NO. 2'!I40+'LBP NO. 2'!I111+'LBP NO. 2'!I187+'LBP NO. 2'!I256+'LBP NO. 2'!I324+'LBP NO. 2'!I393+'LBP NO. 2'!I461+'LBP NO. 2'!I528+'LBP NO. 2'!I596+'LBP NO. 2'!I667+'LBP NO. 2'!I733+'LBP NO. 2'!I803+'LBP NO. 2'!I868+'LBP NO. 2'!I934</f>
        <v>112800</v>
      </c>
      <c r="K112" s="890">
        <f>'LBP NO. 2'!J40+'LBP NO. 2'!J111+'LBP NO. 2'!J187+'LBP NO. 2'!J256+'LBP NO. 2'!J324+'LBP NO. 2'!J393+'LBP NO. 2'!J461+'LBP NO. 2'!J528+'LBP NO. 2'!J596+'LBP NO. 2'!J667+'LBP NO. 2'!J733+'LBP NO. 2'!J803+'LBP NO. 2'!J868+'LBP NO. 2'!J934</f>
        <v>58000</v>
      </c>
      <c r="L112" s="890">
        <f>'LBP NO. 2'!K40+'LBP NO. 2'!K111+'LBP NO. 2'!K187+'LBP NO. 2'!K256+'LBP NO. 2'!K324+'LBP NO. 2'!K393+'LBP NO. 2'!K461+'LBP NO. 2'!K528+'LBP NO. 2'!K596+'LBP NO. 2'!K667+'LBP NO. 2'!K733+'LBP NO. 2'!K803+'LBP NO. 2'!K868+'LBP NO. 2'!K934</f>
        <v>127400</v>
      </c>
      <c r="M112" s="890">
        <f>'LBP NO. 2'!L40+'LBP NO. 2'!L111+'LBP NO. 2'!L187+'LBP NO. 2'!L256+'LBP NO. 2'!L324+'LBP NO. 2'!L393+'LBP NO. 2'!L461+'LBP NO. 2'!L528+'LBP NO. 2'!L596+'LBP NO. 2'!L667+'LBP NO. 2'!L733+'LBP NO. 2'!L803+'LBP NO. 2'!L868+'LBP NO. 2'!L934</f>
        <v>185400</v>
      </c>
      <c r="N112" s="890">
        <f>'LBP NO. 2'!M40+'LBP NO. 2'!M111+'LBP NO. 2'!M187+'LBP NO. 2'!M256+'LBP NO. 2'!M324+'LBP NO. 2'!M393+'LBP NO. 2'!M461+'LBP NO. 2'!M528+'LBP NO. 2'!M596+'LBP NO. 2'!M667+'LBP NO. 2'!M733+'LBP NO. 2'!M803+'LBP NO. 2'!M868+'LBP NO. 2'!M934</f>
        <v>232200</v>
      </c>
    </row>
    <row r="113" spans="1:14" ht="18" hidden="1" customHeight="1">
      <c r="A113" s="646"/>
      <c r="B113" s="648"/>
      <c r="C113" s="710"/>
      <c r="D113" s="710" t="s">
        <v>547</v>
      </c>
      <c r="E113" s="710"/>
      <c r="F113" s="710"/>
      <c r="G113" s="697" t="s">
        <v>607</v>
      </c>
      <c r="H113" s="711" t="s">
        <v>698</v>
      </c>
      <c r="I113" s="889"/>
      <c r="J113" s="890">
        <f>'LBP NO. 2'!I41+'LBP NO. 2'!I112+'LBP NO. 2'!I188+'LBP NO. 2'!I257+'LBP NO. 2'!I325+'LBP NO. 2'!I394+'LBP NO. 2'!I462+'LBP NO. 2'!I529+'LBP NO. 2'!I597+'LBP NO. 2'!I668+'LBP NO. 2'!I734+'LBP NO. 2'!I804+'LBP NO. 2'!I869+'LBP NO. 2'!I935</f>
        <v>472755</v>
      </c>
      <c r="K113" s="890">
        <f>'LBP NO. 2'!J41+'LBP NO. 2'!J112+'LBP NO. 2'!J188+'LBP NO. 2'!J257+'LBP NO. 2'!J325+'LBP NO. 2'!J394+'LBP NO. 2'!J462+'LBP NO. 2'!J529+'LBP NO. 2'!J597+'LBP NO. 2'!J668+'LBP NO. 2'!J734+'LBP NO. 2'!J804+'LBP NO. 2'!J869+'LBP NO. 2'!J935</f>
        <v>243465</v>
      </c>
      <c r="L113" s="890">
        <f>'LBP NO. 2'!K41+'LBP NO. 2'!K112+'LBP NO. 2'!K188+'LBP NO. 2'!K257+'LBP NO. 2'!K325+'LBP NO. 2'!K394+'LBP NO. 2'!K462+'LBP NO. 2'!K529+'LBP NO. 2'!K597+'LBP NO. 2'!K668+'LBP NO. 2'!K734+'LBP NO. 2'!K804+'LBP NO. 2'!K869+'LBP NO. 2'!K935</f>
        <v>468135</v>
      </c>
      <c r="M113" s="890">
        <f>'LBP NO. 2'!L41+'LBP NO. 2'!L112+'LBP NO. 2'!L188+'LBP NO. 2'!L257+'LBP NO. 2'!L325+'LBP NO. 2'!L394+'LBP NO. 2'!L462+'LBP NO. 2'!L529+'LBP NO. 2'!L597+'LBP NO. 2'!L668+'LBP NO. 2'!L734+'LBP NO. 2'!L804+'LBP NO. 2'!L869+'LBP NO. 2'!L935</f>
        <v>711600</v>
      </c>
      <c r="N113" s="890">
        <f>'LBP NO. 2'!M41+'LBP NO. 2'!M112+'LBP NO. 2'!M188+'LBP NO. 2'!M257+'LBP NO. 2'!M325+'LBP NO. 2'!M394+'LBP NO. 2'!M462+'LBP NO. 2'!M529+'LBP NO. 2'!M597+'LBP NO. 2'!M668+'LBP NO. 2'!M734+'LBP NO. 2'!M804+'LBP NO. 2'!M869+'LBP NO. 2'!M935</f>
        <v>978250</v>
      </c>
    </row>
    <row r="114" spans="1:14" ht="18" hidden="1" customHeight="1">
      <c r="A114" s="646"/>
      <c r="B114" s="648"/>
      <c r="C114" s="710"/>
      <c r="D114" s="710" t="s">
        <v>654</v>
      </c>
      <c r="E114" s="710"/>
      <c r="F114" s="710"/>
      <c r="G114" s="697" t="s">
        <v>608</v>
      </c>
      <c r="H114" s="711" t="s">
        <v>699</v>
      </c>
      <c r="I114" s="889"/>
      <c r="J114" s="890">
        <f>'LBP NO. 2'!I42+'LBP NO. 2'!I113+'LBP NO. 2'!I189+'LBP NO. 2'!I258+'LBP NO. 2'!I326+'LBP NO. 2'!I395+'LBP NO. 2'!I463+'LBP NO. 2'!I530+'LBP NO. 2'!I598+'LBP NO. 2'!I669+'LBP NO. 2'!I735+'LBP NO. 2'!I805+'LBP NO. 2'!I870+'LBP NO. 2'!I936</f>
        <v>110375.34</v>
      </c>
      <c r="K114" s="890">
        <f>'LBP NO. 2'!J42+'LBP NO. 2'!J113+'LBP NO. 2'!J189+'LBP NO. 2'!J258+'LBP NO. 2'!J326+'LBP NO. 2'!J395+'LBP NO. 2'!J463+'LBP NO. 2'!J530+'LBP NO. 2'!J598+'LBP NO. 2'!J669+'LBP NO. 2'!J735+'LBP NO. 2'!J805+'LBP NO. 2'!J870+'LBP NO. 2'!J936</f>
        <v>56982.239999999998</v>
      </c>
      <c r="L114" s="890">
        <f>'LBP NO. 2'!K42+'LBP NO. 2'!K113+'LBP NO. 2'!K189+'LBP NO. 2'!K258+'LBP NO. 2'!K326+'LBP NO. 2'!K395+'LBP NO. 2'!K463+'LBP NO. 2'!K530+'LBP NO. 2'!K598+'LBP NO. 2'!K669+'LBP NO. 2'!K735+'LBP NO. 2'!K805+'LBP NO. 2'!K870+'LBP NO. 2'!K936</f>
        <v>66617.760000000009</v>
      </c>
      <c r="M114" s="890">
        <f>'LBP NO. 2'!L42+'LBP NO. 2'!L113+'LBP NO. 2'!L189+'LBP NO. 2'!L258+'LBP NO. 2'!L326+'LBP NO. 2'!L395+'LBP NO. 2'!L463+'LBP NO. 2'!L530+'LBP NO. 2'!L598+'LBP NO. 2'!L669+'LBP NO. 2'!L735+'LBP NO. 2'!L805+'LBP NO. 2'!L870+'LBP NO. 2'!L936</f>
        <v>123600</v>
      </c>
      <c r="N114" s="890">
        <f>'LBP NO. 2'!M42+'LBP NO. 2'!M113+'LBP NO. 2'!M189+'LBP NO. 2'!M258+'LBP NO. 2'!M326+'LBP NO. 2'!M395+'LBP NO. 2'!M463+'LBP NO. 2'!M530+'LBP NO. 2'!M598+'LBP NO. 2'!M669+'LBP NO. 2'!M735+'LBP NO. 2'!M805+'LBP NO. 2'!M870+'LBP NO. 2'!M936</f>
        <v>154800</v>
      </c>
    </row>
    <row r="115" spans="1:14" ht="18" hidden="1" customHeight="1">
      <c r="A115" s="646"/>
      <c r="B115" s="648"/>
      <c r="C115" s="710"/>
      <c r="D115" s="710" t="s">
        <v>372</v>
      </c>
      <c r="E115" s="710"/>
      <c r="F115" s="710"/>
      <c r="G115" s="697"/>
      <c r="H115" s="711" t="s">
        <v>700</v>
      </c>
      <c r="I115" s="889"/>
      <c r="J115" s="890">
        <f>'LBP NO. 2'!I43+'LBP NO. 2'!I114+'LBP NO. 2'!I599+'LBP NO. 2'!I736</f>
        <v>267964.55</v>
      </c>
      <c r="K115" s="890">
        <f>'LBP NO. 2'!J43+'LBP NO. 2'!J114+'LBP NO. 2'!J599+'LBP NO. 2'!J736</f>
        <v>0</v>
      </c>
      <c r="L115" s="890">
        <f>'LBP NO. 2'!K43+'LBP NO. 2'!K114+'LBP NO. 2'!K599+'LBP NO. 2'!K736</f>
        <v>1000000</v>
      </c>
      <c r="M115" s="890">
        <f>'LBP NO. 2'!L43+'LBP NO. 2'!L114+'LBP NO. 2'!L599+'LBP NO. 2'!L736</f>
        <v>1000000</v>
      </c>
      <c r="N115" s="890">
        <f>'LBP NO. 2'!M43+'LBP NO. 2'!M114+'LBP NO. 2'!M599+'LBP NO. 2'!M736</f>
        <v>3600000</v>
      </c>
    </row>
    <row r="116" spans="1:14" ht="18" hidden="1" customHeight="1">
      <c r="A116" s="646"/>
      <c r="B116" s="648"/>
      <c r="C116" s="710"/>
      <c r="D116" s="710" t="s">
        <v>548</v>
      </c>
      <c r="E116" s="710"/>
      <c r="F116" s="710"/>
      <c r="G116" s="697" t="s">
        <v>610</v>
      </c>
      <c r="H116" s="711" t="s">
        <v>700</v>
      </c>
      <c r="I116" s="889"/>
      <c r="J116" s="890">
        <f>'LBP NO. 2'!I808</f>
        <v>25000</v>
      </c>
      <c r="K116" s="890">
        <f>'LBP NO. 2'!J808</f>
        <v>0</v>
      </c>
      <c r="L116" s="890">
        <f>'LBP NO. 2'!K808</f>
        <v>25000</v>
      </c>
      <c r="M116" s="890">
        <f>'LBP NO. 2'!L808</f>
        <v>25000</v>
      </c>
      <c r="N116" s="890">
        <f>'LBP NO. 2'!M808</f>
        <v>25000</v>
      </c>
    </row>
    <row r="117" spans="1:14" s="802" customFormat="1" ht="18" hidden="1" customHeight="1">
      <c r="A117" s="903"/>
      <c r="B117" s="904"/>
      <c r="C117" s="904"/>
      <c r="D117" s="904" t="s">
        <v>549</v>
      </c>
      <c r="E117" s="904"/>
      <c r="F117" s="904"/>
      <c r="G117" s="905" t="s">
        <v>396</v>
      </c>
      <c r="H117" s="906" t="s">
        <v>711</v>
      </c>
      <c r="I117" s="907"/>
      <c r="J117" s="908">
        <f>'LBP NO. 2'!I44+'LBP NO. 2'!I115+'LBP NO. 2'!I190+'LBP NO. 2'!I259+'LBP NO. 2'!I327+'LBP NO. 2'!I396+'LBP NO. 2'!I464+'LBP NO. 2'!I531+'LBP NO. 2'!I600+'LBP NO. 2'!I670+'LBP NO. 2'!I737+'LBP NO. 2'!I806+'LBP NO. 2'!I871+'LBP NO. 2'!I937</f>
        <v>3380144.7199999993</v>
      </c>
      <c r="K117" s="908">
        <f>'LBP NO. 2'!J44+'LBP NO. 2'!J115+'LBP NO. 2'!J190+'LBP NO. 2'!J259+'LBP NO. 2'!J327+'LBP NO. 2'!J396+'LBP NO. 2'!J464+'LBP NO. 2'!J531+'LBP NO. 2'!J600+'LBP NO. 2'!J670+'LBP NO. 2'!J737+'LBP NO. 2'!J806+'LBP NO. 2'!J871+'LBP NO. 2'!J937</f>
        <v>2835543.5799999996</v>
      </c>
      <c r="L117" s="908">
        <f>'LBP NO. 2'!K44+'LBP NO. 2'!K115+'LBP NO. 2'!K190+'LBP NO. 2'!K259+'LBP NO. 2'!K327+'LBP NO. 2'!K396+'LBP NO. 2'!K464+'LBP NO. 2'!K531+'LBP NO. 2'!K600+'LBP NO. 2'!K670+'LBP NO. 2'!K737+'LBP NO. 2'!K806+'LBP NO. 2'!K871+'LBP NO. 2'!K937</f>
        <v>973.52999999999884</v>
      </c>
      <c r="M117" s="908">
        <f>'LBP NO. 2'!L44+'LBP NO. 2'!L115+'LBP NO. 2'!L190+'LBP NO. 2'!L259+'LBP NO. 2'!L327+'LBP NO. 2'!L396+'LBP NO. 2'!L464+'LBP NO. 2'!L531+'LBP NO. 2'!L600+'LBP NO. 2'!L670+'LBP NO. 2'!L737+'LBP NO. 2'!L806+'LBP NO. 2'!L871+'LBP NO. 2'!L937</f>
        <v>2836517.11</v>
      </c>
      <c r="N117" s="908">
        <f>'LBP NO. 2'!M44+'LBP NO. 2'!M115+'LBP NO. 2'!M190+'LBP NO. 2'!M259+'LBP NO. 2'!M327+'LBP NO. 2'!M396+'LBP NO. 2'!M464+'LBP NO. 2'!M531+'LBP NO. 2'!M600+'LBP NO. 2'!M670+'LBP NO. 2'!M737+'LBP NO. 2'!M806+'LBP NO. 2'!M871+'LBP NO. 2'!M937</f>
        <v>0</v>
      </c>
    </row>
    <row r="118" spans="1:14" ht="18" hidden="1" customHeight="1" thickBot="1">
      <c r="A118" s="655"/>
      <c r="B118" s="656"/>
      <c r="C118" s="904"/>
      <c r="D118" s="904" t="s">
        <v>1514</v>
      </c>
      <c r="E118" s="904"/>
      <c r="F118" s="904"/>
      <c r="G118" s="905" t="s">
        <v>396</v>
      </c>
      <c r="H118" s="906" t="s">
        <v>711</v>
      </c>
      <c r="I118" s="907"/>
      <c r="J118" s="908">
        <f>'LBP NO. 2'!I45+'LBP NO. 2'!I116+'LBP NO. 2'!I191+'LBP NO. 2'!I260+'LBP NO. 2'!I328+'LBP NO. 2'!I397+'LBP NO. 2'!I465+'LBP NO. 2'!I532+'LBP NO. 2'!I601+'LBP NO. 2'!I671+'LBP NO. 2'!I738+'LBP NO. 2'!I807+'LBP NO. 2'!I872+'LBP NO. 2'!I938</f>
        <v>947000</v>
      </c>
      <c r="K118" s="908">
        <f>'LBP NO. 2'!J45+'LBP NO. 2'!J116+'LBP NO. 2'!J191+'LBP NO. 2'!J260+'LBP NO. 2'!J328+'LBP NO. 2'!J397+'LBP NO. 2'!J465+'LBP NO. 2'!J532+'LBP NO. 2'!J601+'LBP NO. 2'!J671+'LBP NO. 2'!J738+'LBP NO. 2'!J807+'LBP NO. 2'!J872+'LBP NO. 2'!J938</f>
        <v>0</v>
      </c>
      <c r="L118" s="908">
        <f>'LBP NO. 2'!K45+'LBP NO. 2'!K116+'LBP NO. 2'!K191+'LBP NO. 2'!K260+'LBP NO. 2'!K328+'LBP NO. 2'!K397+'LBP NO. 2'!K465+'LBP NO. 2'!K532+'LBP NO. 2'!K601+'LBP NO. 2'!K671+'LBP NO. 2'!K738+'LBP NO. 2'!K807+'LBP NO. 2'!K872+'LBP NO. 2'!K938</f>
        <v>0</v>
      </c>
      <c r="M118" s="908">
        <f>'LBP NO. 2'!L45+'LBP NO. 2'!L116+'LBP NO. 2'!L191+'LBP NO. 2'!L260+'LBP NO. 2'!L328+'LBP NO. 2'!L397+'LBP NO. 2'!L465+'LBP NO. 2'!L532+'LBP NO. 2'!L601+'LBP NO. 2'!L671+'LBP NO. 2'!L738+'LBP NO. 2'!L807+'LBP NO. 2'!L872+'LBP NO. 2'!L938</f>
        <v>0</v>
      </c>
      <c r="N118" s="908">
        <f>'LBP NO. 2'!M45+'LBP NO. 2'!M116+'LBP NO. 2'!M191+'LBP NO. 2'!M260+'LBP NO. 2'!M328+'LBP NO. 2'!M397+'LBP NO. 2'!M465+'LBP NO. 2'!M532+'LBP NO. 2'!M601+'LBP NO. 2'!M671+'LBP NO. 2'!M738+'LBP NO. 2'!M807+'LBP NO. 2'!M872+'LBP NO. 2'!M938</f>
        <v>0</v>
      </c>
    </row>
    <row r="119" spans="1:14" s="7" customFormat="1" ht="18" hidden="1" customHeight="1" thickBot="1">
      <c r="A119" s="665"/>
      <c r="B119" s="666"/>
      <c r="C119" s="1036"/>
      <c r="D119" s="1036" t="s">
        <v>371</v>
      </c>
      <c r="E119" s="1036"/>
      <c r="F119" s="1036"/>
      <c r="G119" s="1037"/>
      <c r="H119" s="1038"/>
      <c r="I119" s="1039"/>
      <c r="J119" s="1040">
        <f>SUM(J93:J118)</f>
        <v>63057430.960000001</v>
      </c>
      <c r="K119" s="1040">
        <f>SUM(K93:K118)</f>
        <v>31736765.719999995</v>
      </c>
      <c r="L119" s="1041">
        <f>SUM(L93:L118)</f>
        <v>35966320.190000005</v>
      </c>
      <c r="M119" s="1040">
        <f>SUM(M93:M118)</f>
        <v>67703085.909999996</v>
      </c>
      <c r="N119" s="1040">
        <f>SUM(N93:N118)</f>
        <v>76935629.799999997</v>
      </c>
    </row>
    <row r="120" spans="1:14" s="7" customFormat="1" ht="6.75" hidden="1" customHeight="1">
      <c r="A120" s="672"/>
      <c r="B120" s="673"/>
      <c r="C120" s="673"/>
      <c r="D120" s="673"/>
      <c r="E120" s="673"/>
      <c r="F120" s="1042"/>
      <c r="G120" s="1043"/>
      <c r="H120" s="1044"/>
      <c r="I120" s="1045"/>
      <c r="J120" s="1046"/>
      <c r="K120" s="1046"/>
      <c r="L120" s="1047"/>
      <c r="M120" s="1046"/>
      <c r="N120" s="1046"/>
    </row>
    <row r="121" spans="1:14" ht="18" hidden="1" customHeight="1">
      <c r="A121" s="646"/>
      <c r="B121" s="681" t="s">
        <v>550</v>
      </c>
      <c r="C121" s="648"/>
      <c r="D121" s="648"/>
      <c r="E121" s="648"/>
      <c r="F121" s="710"/>
      <c r="G121" s="1033"/>
      <c r="H121" s="711"/>
      <c r="I121" s="889"/>
      <c r="J121" s="890"/>
      <c r="K121" s="891"/>
      <c r="L121" s="892"/>
      <c r="M121" s="891"/>
      <c r="N121" s="891"/>
    </row>
    <row r="122" spans="1:14" ht="18" hidden="1" customHeight="1">
      <c r="A122" s="646"/>
      <c r="B122" s="648"/>
      <c r="C122" s="648"/>
      <c r="D122" s="648" t="s">
        <v>551</v>
      </c>
      <c r="E122" s="648"/>
      <c r="F122" s="710"/>
      <c r="G122" s="697" t="s">
        <v>384</v>
      </c>
      <c r="H122" s="711" t="s">
        <v>701</v>
      </c>
      <c r="I122" s="889"/>
      <c r="J122" s="890">
        <f>'LBP NO. 2'!I48+'LBP NO. 2'!I119+'LBP NO. 2'!I194+'LBP NO. 2'!I263+'LBP NO. 2'!I331+'LBP NO. 2'!I400+'LBP NO. 2'!I468+'LBP NO. 2'!I535+'LBP NO. 2'!I604+'LBP NO. 2'!I674+'LBP NO. 2'!I741+'LBP NO. 2'!I811+'LBP NO. 2'!I875+'LBP NO. 2'!I941</f>
        <v>856792</v>
      </c>
      <c r="K122" s="890">
        <f>'LBP NO. 2'!J48+'LBP NO. 2'!J119+'LBP NO. 2'!J194+'LBP NO. 2'!J263+'LBP NO. 2'!J331+'LBP NO. 2'!J400+'LBP NO. 2'!J468+'LBP NO. 2'!J535+'LBP NO. 2'!J604+'LBP NO. 2'!J674+'LBP NO. 2'!J741+'LBP NO. 2'!J811+'LBP NO. 2'!J875+'LBP NO. 2'!J941</f>
        <v>313690</v>
      </c>
      <c r="L122" s="890">
        <f>'LBP NO. 2'!K48+'LBP NO. 2'!K119+'LBP NO. 2'!K194+'LBP NO. 2'!K263+'LBP NO. 2'!K331+'LBP NO. 2'!K400+'LBP NO. 2'!K468+'LBP NO. 2'!K535+'LBP NO. 2'!K604+'LBP NO. 2'!K674+'LBP NO. 2'!K741+'LBP NO. 2'!K811+'LBP NO. 2'!K875+'LBP NO. 2'!K941</f>
        <v>2882165</v>
      </c>
      <c r="M122" s="890">
        <f>'LBP NO. 2'!L48+'LBP NO. 2'!L119+'LBP NO. 2'!L194+'LBP NO. 2'!L263+'LBP NO. 2'!L331+'LBP NO. 2'!L400+'LBP NO. 2'!L468+'LBP NO. 2'!L535+'LBP NO. 2'!L604+'LBP NO. 2'!L674+'LBP NO. 2'!L741+'LBP NO. 2'!L811+'LBP NO. 2'!L875+'LBP NO. 2'!L941</f>
        <v>3195855</v>
      </c>
      <c r="N122" s="890">
        <f>'LBP NO. 2'!M48+'LBP NO. 2'!M119+'LBP NO. 2'!M194+'LBP NO. 2'!M263+'LBP NO. 2'!M331+'LBP NO. 2'!M400+'LBP NO. 2'!M468+'LBP NO. 2'!M535+'LBP NO. 2'!M604+'LBP NO. 2'!M674+'LBP NO. 2'!M741+'LBP NO. 2'!M811+'LBP NO. 2'!M875+'LBP NO. 2'!M941</f>
        <v>3271940</v>
      </c>
    </row>
    <row r="123" spans="1:14" ht="18" hidden="1" customHeight="1">
      <c r="A123" s="646"/>
      <c r="B123" s="648"/>
      <c r="C123" s="648"/>
      <c r="D123" s="648" t="s">
        <v>429</v>
      </c>
      <c r="E123" s="648"/>
      <c r="F123" s="710"/>
      <c r="G123" s="697" t="s">
        <v>385</v>
      </c>
      <c r="H123" s="711" t="s">
        <v>702</v>
      </c>
      <c r="I123" s="889"/>
      <c r="J123" s="890">
        <f>'LBP NO. 2'!I49+'LBP NO. 2'!I120+'LBP NO. 2'!I195+'LBP NO. 2'!I264+'LBP NO. 2'!I332+'LBP NO. 2'!I401+'LBP NO. 2'!I469+'LBP NO. 2'!I536+'LBP NO. 2'!I605+'LBP NO. 2'!I675+'LBP NO. 2'!I742+'LBP NO. 2'!I812+'LBP NO. 2'!I876+'LBP NO. 2'!I942</f>
        <v>443250</v>
      </c>
      <c r="K123" s="890">
        <f>'LBP NO. 2'!J49+'LBP NO. 2'!J120+'LBP NO. 2'!J195+'LBP NO. 2'!J264+'LBP NO. 2'!J332+'LBP NO. 2'!J401+'LBP NO. 2'!J469+'LBP NO. 2'!J536+'LBP NO. 2'!J605+'LBP NO. 2'!J675+'LBP NO. 2'!J742+'LBP NO. 2'!J812+'LBP NO. 2'!J876+'LBP NO. 2'!J942</f>
        <v>24800</v>
      </c>
      <c r="L123" s="890">
        <f>'LBP NO. 2'!K49+'LBP NO. 2'!K120+'LBP NO. 2'!K195+'LBP NO. 2'!K264+'LBP NO. 2'!K332+'LBP NO. 2'!K401+'LBP NO. 2'!K469+'LBP NO. 2'!K536+'LBP NO. 2'!K605+'LBP NO. 2'!K675+'LBP NO. 2'!K742+'LBP NO. 2'!K812+'LBP NO. 2'!K876+'LBP NO. 2'!K942</f>
        <v>2527300</v>
      </c>
      <c r="M123" s="890">
        <f>'LBP NO. 2'!L49+'LBP NO. 2'!L120+'LBP NO. 2'!L195+'LBP NO. 2'!L264+'LBP NO. 2'!L332+'LBP NO. 2'!L401+'LBP NO. 2'!L469+'LBP NO. 2'!L536+'LBP NO. 2'!L605+'LBP NO. 2'!L675+'LBP NO. 2'!L742+'LBP NO. 2'!L812+'LBP NO. 2'!L876+'LBP NO. 2'!L942</f>
        <v>2552100</v>
      </c>
      <c r="N123" s="890">
        <f>'LBP NO. 2'!M49+'LBP NO. 2'!M120+'LBP NO. 2'!M195+'LBP NO. 2'!M264+'LBP NO. 2'!M332+'LBP NO. 2'!M401+'LBP NO. 2'!M469+'LBP NO. 2'!M536+'LBP NO. 2'!M605+'LBP NO. 2'!M675+'LBP NO. 2'!M742+'LBP NO. 2'!M812+'LBP NO. 2'!M876+'LBP NO. 2'!M942</f>
        <v>2565401</v>
      </c>
    </row>
    <row r="124" spans="1:14" ht="18" hidden="1" customHeight="1">
      <c r="A124" s="646"/>
      <c r="B124" s="648"/>
      <c r="C124" s="648"/>
      <c r="D124" s="648" t="s">
        <v>378</v>
      </c>
      <c r="E124" s="648"/>
      <c r="F124" s="710"/>
      <c r="G124" s="697" t="s">
        <v>387</v>
      </c>
      <c r="H124" s="711" t="s">
        <v>703</v>
      </c>
      <c r="I124" s="889"/>
      <c r="J124" s="890">
        <f>'LBP NO. 2'!I50+'LBP NO. 2'!I121+'LBP NO. 2'!I196+'LBP NO. 2'!I265+'LBP NO. 2'!I333+'LBP NO. 2'!I402+'LBP NO. 2'!I470+'LBP NO. 2'!I537+'LBP NO. 2'!I606+'LBP NO. 2'!I676+'LBP NO. 2'!I743+'LBP NO. 2'!I813+'LBP NO. 2'!I877+'LBP NO. 2'!I943</f>
        <v>2763737.06</v>
      </c>
      <c r="K124" s="890">
        <f>'LBP NO. 2'!J50+'LBP NO. 2'!J121+'LBP NO. 2'!J196+'LBP NO. 2'!J265+'LBP NO. 2'!J333+'LBP NO. 2'!J402+'LBP NO. 2'!J470+'LBP NO. 2'!J537+'LBP NO. 2'!J606+'LBP NO. 2'!J676+'LBP NO. 2'!J743+'LBP NO. 2'!J813+'LBP NO. 2'!J877+'LBP NO. 2'!J943</f>
        <v>1173467.92</v>
      </c>
      <c r="L124" s="890">
        <f>'LBP NO. 2'!K50+'LBP NO. 2'!K121+'LBP NO. 2'!K196+'LBP NO. 2'!K265+'LBP NO. 2'!K333+'LBP NO. 2'!K402+'LBP NO. 2'!K470+'LBP NO. 2'!K537+'LBP NO. 2'!K606+'LBP NO. 2'!K676+'LBP NO. 2'!K743+'LBP NO. 2'!K813+'LBP NO. 2'!K877+'LBP NO. 2'!K943</f>
        <v>2149028.08</v>
      </c>
      <c r="M124" s="890">
        <f>'LBP NO. 2'!L50+'LBP NO. 2'!L121+'LBP NO. 2'!L196+'LBP NO. 2'!L265+'LBP NO. 2'!L333+'LBP NO. 2'!L402+'LBP NO. 2'!L470+'LBP NO. 2'!L537+'LBP NO. 2'!L606+'LBP NO. 2'!L676+'LBP NO. 2'!L743+'LBP NO. 2'!L813+'LBP NO. 2'!L877+'LBP NO. 2'!L943</f>
        <v>3322496</v>
      </c>
      <c r="N124" s="890">
        <f>'LBP NO. 2'!M50+'LBP NO. 2'!M121+'LBP NO. 2'!M196+'LBP NO. 2'!M265+'LBP NO. 2'!M333+'LBP NO. 2'!M402+'LBP NO. 2'!M470+'LBP NO. 2'!M537+'LBP NO. 2'!M606+'LBP NO. 2'!M676+'LBP NO. 2'!M743+'LBP NO. 2'!M813+'LBP NO. 2'!M877+'LBP NO. 2'!M943</f>
        <v>3672410</v>
      </c>
    </row>
    <row r="125" spans="1:14" ht="18" hidden="1" customHeight="1">
      <c r="A125" s="646"/>
      <c r="B125" s="648"/>
      <c r="C125" s="648"/>
      <c r="D125" s="648" t="s">
        <v>552</v>
      </c>
      <c r="E125" s="648"/>
      <c r="F125" s="710"/>
      <c r="G125" s="697" t="s">
        <v>611</v>
      </c>
      <c r="H125" s="711" t="s">
        <v>712</v>
      </c>
      <c r="I125" s="889"/>
      <c r="J125" s="890">
        <f>'LBP NO. 2'!I471</f>
        <v>193140</v>
      </c>
      <c r="K125" s="890">
        <f>'LBP NO. 2'!J471</f>
        <v>161090</v>
      </c>
      <c r="L125" s="890">
        <f>'LBP NO. 2'!K471</f>
        <v>38910</v>
      </c>
      <c r="M125" s="890">
        <f>'LBP NO. 2'!L471</f>
        <v>200000</v>
      </c>
      <c r="N125" s="890">
        <f>'LBP NO. 2'!M471</f>
        <v>200000</v>
      </c>
    </row>
    <row r="126" spans="1:14" ht="18" hidden="1" customHeight="1">
      <c r="A126" s="646"/>
      <c r="B126" s="648"/>
      <c r="C126" s="648"/>
      <c r="D126" s="648" t="s">
        <v>553</v>
      </c>
      <c r="E126" s="648"/>
      <c r="F126" s="710"/>
      <c r="G126" s="697" t="s">
        <v>386</v>
      </c>
      <c r="H126" s="711" t="s">
        <v>713</v>
      </c>
      <c r="I126" s="889"/>
      <c r="J126" s="890">
        <f>'LBP NO. 2'!I814+'LBP NO. 2'!I878</f>
        <v>2175080</v>
      </c>
      <c r="K126" s="890">
        <f>'LBP NO. 2'!J814+'LBP NO. 2'!J878</f>
        <v>1419802</v>
      </c>
      <c r="L126" s="890">
        <f>'LBP NO. 2'!K814+'LBP NO. 2'!K878</f>
        <v>1126621</v>
      </c>
      <c r="M126" s="890">
        <f>'LBP NO. 2'!L814+'LBP NO. 2'!L878</f>
        <v>2546423</v>
      </c>
      <c r="N126" s="890">
        <f>'LBP NO. 2'!M814+'LBP NO. 2'!M878</f>
        <v>2801065</v>
      </c>
    </row>
    <row r="127" spans="1:14" ht="18" hidden="1" customHeight="1">
      <c r="A127" s="646"/>
      <c r="B127" s="648"/>
      <c r="C127" s="648"/>
      <c r="D127" s="648" t="s">
        <v>554</v>
      </c>
      <c r="E127" s="648"/>
      <c r="F127" s="710"/>
      <c r="G127" s="697" t="s">
        <v>397</v>
      </c>
      <c r="H127" s="711" t="s">
        <v>714</v>
      </c>
      <c r="I127" s="889"/>
      <c r="J127" s="890">
        <f>'LBP NO. 2'!I815</f>
        <v>9945.7999999999993</v>
      </c>
      <c r="K127" s="890">
        <f>'LBP NO. 2'!J815</f>
        <v>0</v>
      </c>
      <c r="L127" s="890">
        <f>'LBP NO. 2'!K815</f>
        <v>179228</v>
      </c>
      <c r="M127" s="890">
        <f>'LBP NO. 2'!L815</f>
        <v>179228</v>
      </c>
      <c r="N127" s="890">
        <f>'LBP NO. 2'!M815</f>
        <v>197150</v>
      </c>
    </row>
    <row r="128" spans="1:14" ht="18" hidden="1" customHeight="1">
      <c r="A128" s="646"/>
      <c r="B128" s="648"/>
      <c r="C128" s="648"/>
      <c r="D128" s="648" t="s">
        <v>929</v>
      </c>
      <c r="E128" s="648"/>
      <c r="F128" s="710"/>
      <c r="G128" s="697" t="s">
        <v>612</v>
      </c>
      <c r="H128" s="711" t="s">
        <v>715</v>
      </c>
      <c r="I128" s="889"/>
      <c r="J128" s="890">
        <f>'LBP NO. 2'!I122</f>
        <v>76984.09</v>
      </c>
      <c r="K128" s="890">
        <f>'LBP NO. 2'!J122</f>
        <v>45916.6</v>
      </c>
      <c r="L128" s="890">
        <f>'LBP NO. 2'!K122</f>
        <v>704083.4</v>
      </c>
      <c r="M128" s="890">
        <f>'LBP NO. 2'!L122</f>
        <v>750000</v>
      </c>
      <c r="N128" s="890">
        <f>'LBP NO. 2'!M122</f>
        <v>750000</v>
      </c>
    </row>
    <row r="129" spans="1:14" ht="18" hidden="1" customHeight="1">
      <c r="A129" s="646"/>
      <c r="B129" s="648"/>
      <c r="C129" s="648"/>
      <c r="D129" s="648" t="s">
        <v>555</v>
      </c>
      <c r="E129" s="648"/>
      <c r="F129" s="710"/>
      <c r="G129" s="697" t="s">
        <v>613</v>
      </c>
      <c r="H129" s="711" t="s">
        <v>704</v>
      </c>
      <c r="I129" s="889"/>
      <c r="J129" s="890">
        <f>'LBP NO. 2'!I51+'LBP NO. 2'!I123+'LBP NO. 2'!I266+'LBP NO. 2'!I472+'LBP NO. 2'!I538+'LBP NO. 2'!I607+'LBP NO. 2'!I677+'LBP NO. 2'!I744</f>
        <v>244</v>
      </c>
      <c r="K129" s="890">
        <f>'LBP NO. 2'!J51+'LBP NO. 2'!J123+'LBP NO. 2'!J266+'LBP NO. 2'!J472+'LBP NO. 2'!J538+'LBP NO. 2'!J607+'LBP NO. 2'!J677+'LBP NO. 2'!J744</f>
        <v>0</v>
      </c>
      <c r="L129" s="890">
        <f>'LBP NO. 2'!K51+'LBP NO. 2'!K123+'LBP NO. 2'!K266+'LBP NO. 2'!K472+'LBP NO. 2'!K538+'LBP NO. 2'!K607+'LBP NO. 2'!K677+'LBP NO. 2'!K744</f>
        <v>27950</v>
      </c>
      <c r="M129" s="890">
        <f>'LBP NO. 2'!L51+'LBP NO. 2'!L123+'LBP NO. 2'!L266+'LBP NO. 2'!L472+'LBP NO. 2'!L538+'LBP NO. 2'!L607+'LBP NO. 2'!L677+'LBP NO. 2'!L744</f>
        <v>27950</v>
      </c>
      <c r="N129" s="890">
        <f>'LBP NO. 2'!M51+'LBP NO. 2'!M123+'LBP NO. 2'!M266+'LBP NO. 2'!M472+'LBP NO. 2'!M538+'LBP NO. 2'!M607+'LBP NO. 2'!M677+'LBP NO. 2'!M744</f>
        <v>27950</v>
      </c>
    </row>
    <row r="130" spans="1:14" ht="18" hidden="1" customHeight="1">
      <c r="A130" s="646"/>
      <c r="B130" s="648"/>
      <c r="C130" s="648"/>
      <c r="D130" s="648" t="s">
        <v>556</v>
      </c>
      <c r="E130" s="648"/>
      <c r="F130" s="710"/>
      <c r="G130" s="697" t="s">
        <v>614</v>
      </c>
      <c r="H130" s="711" t="s">
        <v>705</v>
      </c>
      <c r="I130" s="889"/>
      <c r="J130" s="890">
        <f>'LBP NO. 2'!I124</f>
        <v>58896.63</v>
      </c>
      <c r="K130" s="890">
        <f>'LBP NO. 2'!J124</f>
        <v>34134.47</v>
      </c>
      <c r="L130" s="890">
        <f>'LBP NO. 2'!K124</f>
        <v>61865.53</v>
      </c>
      <c r="M130" s="890">
        <f>'LBP NO. 2'!L124</f>
        <v>96000</v>
      </c>
      <c r="N130" s="890">
        <f>'LBP NO. 2'!M124</f>
        <v>96000</v>
      </c>
    </row>
    <row r="131" spans="1:14" ht="18" hidden="1" customHeight="1">
      <c r="A131" s="646"/>
      <c r="B131" s="648"/>
      <c r="C131" s="648"/>
      <c r="D131" s="648" t="s">
        <v>557</v>
      </c>
      <c r="E131" s="648"/>
      <c r="F131" s="710"/>
      <c r="G131" s="697" t="s">
        <v>388</v>
      </c>
      <c r="H131" s="711" t="s">
        <v>705</v>
      </c>
      <c r="I131" s="889"/>
      <c r="J131" s="890">
        <f>'LBP NO. 2'!I52+'LBP NO. 2'!I125+'LBP NO. 2'!I197+'LBP NO. 2'!I267+'LBP NO. 2'!I334+'LBP NO. 2'!I403+'LBP NO. 2'!I473+'LBP NO. 2'!I539+'LBP NO. 2'!I608+'LBP NO. 2'!I678+'LBP NO. 2'!I745+'LBP NO. 2'!I817+'LBP NO. 2'!I944</f>
        <v>588000</v>
      </c>
      <c r="K131" s="890">
        <f>'LBP NO. 2'!J52+'LBP NO. 2'!J125+'LBP NO. 2'!J197+'LBP NO. 2'!J267+'LBP NO. 2'!J334+'LBP NO. 2'!J403+'LBP NO. 2'!J473+'LBP NO. 2'!J539+'LBP NO. 2'!J608+'LBP NO. 2'!J678+'LBP NO. 2'!J745+'LBP NO. 2'!J817+'LBP NO. 2'!J944</f>
        <v>460200</v>
      </c>
      <c r="L131" s="890">
        <f>'LBP NO. 2'!K52+'LBP NO. 2'!K125+'LBP NO. 2'!K197+'LBP NO. 2'!K267+'LBP NO. 2'!K334+'LBP NO. 2'!K403+'LBP NO. 2'!K473+'LBP NO. 2'!K539+'LBP NO. 2'!K608+'LBP NO. 2'!K678+'LBP NO. 2'!K745+'LBP NO. 2'!K817+'LBP NO. 2'!K944</f>
        <v>451800</v>
      </c>
      <c r="M131" s="890">
        <f>'LBP NO. 2'!L52+'LBP NO. 2'!L125+'LBP NO. 2'!L197+'LBP NO. 2'!L267+'LBP NO. 2'!L334+'LBP NO. 2'!L403+'LBP NO. 2'!L473+'LBP NO. 2'!L539+'LBP NO. 2'!L608+'LBP NO. 2'!L678+'LBP NO. 2'!L745+'LBP NO. 2'!L817+'LBP NO. 2'!L944</f>
        <v>912000</v>
      </c>
      <c r="N131" s="890">
        <f>'LBP NO. 2'!M52+'LBP NO. 2'!M125+'LBP NO. 2'!M197+'LBP NO. 2'!M267+'LBP NO. 2'!M334+'LBP NO. 2'!M403+'LBP NO. 2'!M473+'LBP NO. 2'!M539+'LBP NO. 2'!M608+'LBP NO. 2'!M678+'LBP NO. 2'!M745+'LBP NO. 2'!M817+'LBP NO. 2'!M944</f>
        <v>932400</v>
      </c>
    </row>
    <row r="132" spans="1:14" ht="18" hidden="1" customHeight="1">
      <c r="A132" s="646"/>
      <c r="B132" s="648"/>
      <c r="C132" s="648"/>
      <c r="D132" s="648" t="s">
        <v>558</v>
      </c>
      <c r="E132" s="648"/>
      <c r="F132" s="710"/>
      <c r="G132" s="697" t="s">
        <v>615</v>
      </c>
      <c r="H132" s="711" t="s">
        <v>716</v>
      </c>
      <c r="I132" s="889"/>
      <c r="J132" s="890">
        <f>'LBP NO. 2'!I126</f>
        <v>694600</v>
      </c>
      <c r="K132" s="890">
        <f>'LBP NO. 2'!J126</f>
        <v>262500</v>
      </c>
      <c r="L132" s="890">
        <f>'LBP NO. 2'!K126</f>
        <v>787500</v>
      </c>
      <c r="M132" s="890">
        <f>'LBP NO. 2'!L126</f>
        <v>1050000</v>
      </c>
      <c r="N132" s="890">
        <f>'LBP NO. 2'!M126</f>
        <v>1300000</v>
      </c>
    </row>
    <row r="133" spans="1:14" ht="18" hidden="1" customHeight="1">
      <c r="A133" s="646"/>
      <c r="B133" s="648"/>
      <c r="C133" s="648"/>
      <c r="D133" s="648" t="s">
        <v>559</v>
      </c>
      <c r="E133" s="648"/>
      <c r="F133" s="710"/>
      <c r="G133" s="697" t="s">
        <v>616</v>
      </c>
      <c r="H133" s="711" t="s">
        <v>717</v>
      </c>
      <c r="I133" s="889"/>
      <c r="J133" s="890">
        <f>'LBP NO. 2'!I127</f>
        <v>180951.5</v>
      </c>
      <c r="K133" s="890">
        <f>'LBP NO. 2'!J127</f>
        <v>105738</v>
      </c>
      <c r="L133" s="890">
        <f>'LBP NO. 2'!K127</f>
        <v>144262</v>
      </c>
      <c r="M133" s="890">
        <f>'LBP NO. 2'!L127</f>
        <v>250000</v>
      </c>
      <c r="N133" s="890">
        <f>'LBP NO. 2'!M127</f>
        <v>250000</v>
      </c>
    </row>
    <row r="134" spans="1:14" ht="18" hidden="1" customHeight="1">
      <c r="A134" s="646"/>
      <c r="B134" s="648"/>
      <c r="C134" s="648"/>
      <c r="D134" s="648" t="s">
        <v>930</v>
      </c>
      <c r="E134" s="648"/>
      <c r="F134" s="710"/>
      <c r="G134" s="697" t="s">
        <v>617</v>
      </c>
      <c r="H134" s="711" t="s">
        <v>718</v>
      </c>
      <c r="I134" s="889"/>
      <c r="J134" s="890">
        <f>'LBP NO. 2'!I128</f>
        <v>104965.21</v>
      </c>
      <c r="K134" s="890">
        <f>'LBP NO. 2'!J128</f>
        <v>7679.06</v>
      </c>
      <c r="L134" s="890">
        <f>'LBP NO. 2'!K128</f>
        <v>292320.94</v>
      </c>
      <c r="M134" s="890">
        <f>'LBP NO. 2'!L128</f>
        <v>300000</v>
      </c>
      <c r="N134" s="890">
        <f>'LBP NO. 2'!M128</f>
        <v>300000</v>
      </c>
    </row>
    <row r="135" spans="1:14" ht="18" hidden="1" customHeight="1">
      <c r="A135" s="646"/>
      <c r="B135" s="648"/>
      <c r="C135" s="648"/>
      <c r="D135" s="648" t="s">
        <v>931</v>
      </c>
      <c r="E135" s="648"/>
      <c r="F135" s="710"/>
      <c r="G135" s="697" t="s">
        <v>389</v>
      </c>
      <c r="H135" s="711" t="s">
        <v>706</v>
      </c>
      <c r="I135" s="889"/>
      <c r="J135" s="890">
        <f>'LBP NO. 2'!I53+'LBP NO. 2'!I129+'LBP NO. 2'!I198+'LBP NO. 2'!I268+'LBP NO. 2'!I335+'LBP NO. 2'!I404+'LBP NO. 2'!I474+'LBP NO. 2'!I540+'LBP NO. 2'!I609+'LBP NO. 2'!I679+'LBP NO. 2'!I746+'LBP NO. 2'!I818+'LBP NO. 2'!I879+'LBP NO. 2'!I945</f>
        <v>173894.3</v>
      </c>
      <c r="K135" s="890">
        <f>'LBP NO. 2'!J53+'LBP NO. 2'!J129+'LBP NO. 2'!J198+'LBP NO. 2'!J268+'LBP NO. 2'!J335+'LBP NO. 2'!J404+'LBP NO. 2'!J474+'LBP NO. 2'!J540+'LBP NO. 2'!J609+'LBP NO. 2'!J679+'LBP NO. 2'!J746+'LBP NO. 2'!J818+'LBP NO. 2'!J879+'LBP NO. 2'!J945</f>
        <v>112713</v>
      </c>
      <c r="L135" s="890">
        <f>'LBP NO. 2'!K53+'LBP NO. 2'!K129+'LBP NO. 2'!K198+'LBP NO. 2'!K268+'LBP NO. 2'!K335+'LBP NO. 2'!K404+'LBP NO. 2'!K474+'LBP NO. 2'!K540+'LBP NO. 2'!K609+'LBP NO. 2'!K679+'LBP NO. 2'!K746+'LBP NO. 2'!K818+'LBP NO. 2'!K879+'LBP NO. 2'!K945</f>
        <v>752907</v>
      </c>
      <c r="M135" s="890">
        <f>'LBP NO. 2'!L53+'LBP NO. 2'!L129+'LBP NO. 2'!L198+'LBP NO. 2'!L268+'LBP NO. 2'!L335+'LBP NO. 2'!L404+'LBP NO. 2'!L474+'LBP NO. 2'!L540+'LBP NO. 2'!L609+'LBP NO. 2'!L679+'LBP NO. 2'!L746+'LBP NO. 2'!L818+'LBP NO. 2'!L879+'LBP NO. 2'!L945</f>
        <v>865620</v>
      </c>
      <c r="N135" s="890">
        <f>'LBP NO. 2'!M53+'LBP NO. 2'!M129+'LBP NO. 2'!M198+'LBP NO. 2'!M268+'LBP NO. 2'!M335+'LBP NO. 2'!M404+'LBP NO. 2'!M474+'LBP NO. 2'!M540+'LBP NO. 2'!M609+'LBP NO. 2'!M679+'LBP NO. 2'!M746+'LBP NO. 2'!M818+'LBP NO. 2'!M879+'LBP NO. 2'!M945</f>
        <v>933241</v>
      </c>
    </row>
    <row r="136" spans="1:14" ht="18" hidden="1" customHeight="1">
      <c r="A136" s="646"/>
      <c r="B136" s="648"/>
      <c r="C136" s="648"/>
      <c r="D136" s="648" t="s">
        <v>958</v>
      </c>
      <c r="E136" s="648"/>
      <c r="F136" s="710"/>
      <c r="G136" s="697"/>
      <c r="H136" s="711" t="s">
        <v>956</v>
      </c>
      <c r="I136" s="889"/>
      <c r="J136" s="890">
        <f>'LBP NO. 2'!I130</f>
        <v>0</v>
      </c>
      <c r="K136" s="890">
        <f>'LBP NO. 2'!J130</f>
        <v>0</v>
      </c>
      <c r="L136" s="890">
        <f>'LBP NO. 2'!K130</f>
        <v>150000</v>
      </c>
      <c r="M136" s="890">
        <f>'LBP NO. 2'!L130</f>
        <v>150000</v>
      </c>
      <c r="N136" s="890">
        <f>'LBP NO. 2'!M130</f>
        <v>300000</v>
      </c>
    </row>
    <row r="137" spans="1:14" ht="18" hidden="1" customHeight="1">
      <c r="A137" s="646"/>
      <c r="B137" s="648"/>
      <c r="C137" s="648"/>
      <c r="D137" s="648" t="s">
        <v>561</v>
      </c>
      <c r="E137" s="648"/>
      <c r="F137" s="648"/>
      <c r="G137" s="685" t="s">
        <v>618</v>
      </c>
      <c r="H137" s="650" t="s">
        <v>719</v>
      </c>
      <c r="I137" s="708"/>
      <c r="J137" s="652">
        <f>'LBP NO. 2'!I54</f>
        <v>0</v>
      </c>
      <c r="K137" s="652">
        <f>'LBP NO. 2'!J54</f>
        <v>0</v>
      </c>
      <c r="L137" s="652">
        <f>'LBP NO. 2'!K54</f>
        <v>69366</v>
      </c>
      <c r="M137" s="652">
        <f>'LBP NO. 2'!L54</f>
        <v>69366</v>
      </c>
      <c r="N137" s="652">
        <f>'LBP NO. 2'!M54</f>
        <v>55755</v>
      </c>
    </row>
    <row r="138" spans="1:14" ht="18" hidden="1" customHeight="1">
      <c r="A138" s="646"/>
      <c r="B138" s="648"/>
      <c r="C138" s="648"/>
      <c r="D138" s="648" t="s">
        <v>562</v>
      </c>
      <c r="E138" s="648"/>
      <c r="F138" s="648"/>
      <c r="G138" s="685" t="s">
        <v>619</v>
      </c>
      <c r="H138" s="650" t="s">
        <v>719</v>
      </c>
      <c r="I138" s="708"/>
      <c r="J138" s="652">
        <f>'LBP NO. 2'!I680+'LBP NO. 2'!I747</f>
        <v>1783171.57</v>
      </c>
      <c r="K138" s="652">
        <f>'LBP NO. 2'!J680+'LBP NO. 2'!J747</f>
        <v>1025692.84</v>
      </c>
      <c r="L138" s="652">
        <f>'LBP NO. 2'!K680+'LBP NO. 2'!K747</f>
        <v>1860079.36</v>
      </c>
      <c r="M138" s="652">
        <f>'LBP NO. 2'!L680+'LBP NO. 2'!L747</f>
        <v>2885772.2</v>
      </c>
      <c r="N138" s="652">
        <f>'LBP NO. 2'!M680+'LBP NO. 2'!M747</f>
        <v>2685772.2</v>
      </c>
    </row>
    <row r="139" spans="1:14" ht="18" hidden="1" customHeight="1">
      <c r="A139" s="646"/>
      <c r="B139" s="648"/>
      <c r="C139" s="648"/>
      <c r="D139" s="648" t="s">
        <v>1692</v>
      </c>
      <c r="E139" s="648"/>
      <c r="F139" s="648"/>
      <c r="G139" s="685"/>
      <c r="H139" s="650"/>
      <c r="I139" s="708"/>
      <c r="J139" s="652">
        <f>'LBP NO. 2'!I681+'LBP NO. 2'!I748+'LBP NO. 2'!I816</f>
        <v>0</v>
      </c>
      <c r="K139" s="652">
        <f>'LBP NO. 2'!J681+'LBP NO. 2'!J748+'LBP NO. 2'!J816</f>
        <v>0</v>
      </c>
      <c r="L139" s="652">
        <f>'LBP NO. 2'!K681+'LBP NO. 2'!K748+'LBP NO. 2'!K816</f>
        <v>0</v>
      </c>
      <c r="M139" s="652">
        <f>'LBP NO. 2'!L681+'LBP NO. 2'!L748+'LBP NO. 2'!L816</f>
        <v>0</v>
      </c>
      <c r="N139" s="652">
        <f>'LBP NO. 2'!M681+'LBP NO. 2'!M748+'LBP NO. 2'!M816</f>
        <v>18000000</v>
      </c>
    </row>
    <row r="140" spans="1:14" ht="18" hidden="1" customHeight="1">
      <c r="A140" s="646"/>
      <c r="B140" s="648"/>
      <c r="C140" s="648"/>
      <c r="D140" s="648" t="s">
        <v>563</v>
      </c>
      <c r="E140" s="648"/>
      <c r="F140" s="648"/>
      <c r="G140" s="685" t="s">
        <v>620</v>
      </c>
      <c r="H140" s="650" t="s">
        <v>720</v>
      </c>
      <c r="I140" s="708"/>
      <c r="J140" s="652">
        <f>'LBP NO. 2'!I475</f>
        <v>99697.5</v>
      </c>
      <c r="K140" s="652">
        <f>'LBP NO. 2'!J475</f>
        <v>4500</v>
      </c>
      <c r="L140" s="652">
        <f>'LBP NO. 2'!K475</f>
        <v>115500</v>
      </c>
      <c r="M140" s="652">
        <f>'LBP NO. 2'!L475</f>
        <v>120000</v>
      </c>
      <c r="N140" s="652">
        <f>'LBP NO. 2'!M475</f>
        <v>300000</v>
      </c>
    </row>
    <row r="141" spans="1:14" ht="18" hidden="1" customHeight="1">
      <c r="A141" s="655"/>
      <c r="B141" s="656"/>
      <c r="C141" s="656"/>
      <c r="D141" s="656" t="s">
        <v>564</v>
      </c>
      <c r="E141" s="656"/>
      <c r="F141" s="656"/>
      <c r="G141" s="686" t="s">
        <v>390</v>
      </c>
      <c r="H141" s="658" t="s">
        <v>707</v>
      </c>
      <c r="I141" s="712"/>
      <c r="J141" s="687">
        <f>'LBP NO. 2'!I55+'LBP NO. 2'!I131+'LBP NO. 2'!I199+'LBP NO. 2'!I269+'LBP NO. 2'!I336+'LBP NO. 2'!I405+'LBP NO. 2'!I476+'LBP NO. 2'!I541+'LBP NO. 2'!I610+'LBP NO. 2'!I682+'LBP NO. 2'!I749+'LBP NO. 2'!I819+'LBP NO. 2'!I880+'LBP NO. 2'!I946</f>
        <v>2719904.6</v>
      </c>
      <c r="K141" s="687">
        <f>'LBP NO. 2'!J55+'LBP NO. 2'!J131+'LBP NO. 2'!J199+'LBP NO. 2'!J269+'LBP NO. 2'!J336+'LBP NO. 2'!J405+'LBP NO. 2'!J476+'LBP NO. 2'!J541+'LBP NO. 2'!J610+'LBP NO. 2'!J682+'LBP NO. 2'!J749+'LBP NO. 2'!J819+'LBP NO. 2'!J880+'LBP NO. 2'!J946</f>
        <v>142235</v>
      </c>
      <c r="L141" s="687">
        <f>'LBP NO. 2'!K55+'LBP NO. 2'!K131+'LBP NO. 2'!K199+'LBP NO. 2'!K269+'LBP NO. 2'!K336+'LBP NO. 2'!K405+'LBP NO. 2'!K476+'LBP NO. 2'!K541+'LBP NO. 2'!K610+'LBP NO. 2'!K682+'LBP NO. 2'!K749+'LBP NO. 2'!K819+'LBP NO. 2'!K880+'LBP NO. 2'!K946</f>
        <v>545495</v>
      </c>
      <c r="M141" s="687">
        <f>'LBP NO. 2'!L55+'LBP NO. 2'!L131+'LBP NO. 2'!L199+'LBP NO. 2'!L269+'LBP NO. 2'!L336+'LBP NO. 2'!L405+'LBP NO. 2'!L476+'LBP NO. 2'!L541+'LBP NO. 2'!L610+'LBP NO. 2'!L682+'LBP NO. 2'!L749+'LBP NO. 2'!L819+'LBP NO. 2'!L880+'LBP NO. 2'!L946</f>
        <v>687730</v>
      </c>
      <c r="N141" s="687">
        <f>'LBP NO. 2'!M55+'LBP NO. 2'!M131+'LBP NO. 2'!M199+'LBP NO. 2'!M269+'LBP NO. 2'!M336+'LBP NO. 2'!M405+'LBP NO. 2'!M476+'LBP NO. 2'!M541+'LBP NO. 2'!M610+'LBP NO. 2'!M682+'LBP NO. 2'!M749+'LBP NO. 2'!M819+'LBP NO. 2'!M880+'LBP NO. 2'!M946</f>
        <v>754641</v>
      </c>
    </row>
    <row r="142" spans="1:14" ht="18" hidden="1" customHeight="1" thickBot="1">
      <c r="A142" s="1030"/>
      <c r="B142" s="619"/>
      <c r="C142" s="619"/>
      <c r="D142" s="619" t="s">
        <v>1631</v>
      </c>
      <c r="E142" s="619"/>
      <c r="F142" s="619"/>
      <c r="G142" s="1031"/>
      <c r="H142" s="836" t="s">
        <v>707</v>
      </c>
      <c r="I142" s="766"/>
      <c r="J142" s="660">
        <f>'LBP NO. 2'!I56</f>
        <v>548500</v>
      </c>
      <c r="K142" s="660">
        <f>'LBP NO. 2'!J56</f>
        <v>0</v>
      </c>
      <c r="L142" s="660">
        <f>'LBP NO. 2'!K56</f>
        <v>0</v>
      </c>
      <c r="M142" s="660">
        <f>'LBP NO. 2'!L56</f>
        <v>0</v>
      </c>
      <c r="N142" s="660">
        <f>'LBP NO. 2'!M56</f>
        <v>0</v>
      </c>
    </row>
    <row r="143" spans="1:14" s="7" customFormat="1" ht="18" hidden="1" customHeight="1" thickBot="1">
      <c r="A143" s="665"/>
      <c r="B143" s="666"/>
      <c r="C143" s="666"/>
      <c r="D143" s="666" t="s">
        <v>752</v>
      </c>
      <c r="E143" s="666"/>
      <c r="F143" s="666"/>
      <c r="G143" s="713"/>
      <c r="H143" s="668"/>
      <c r="I143" s="714"/>
      <c r="J143" s="690">
        <f>SUM(J122:J142)</f>
        <v>13471754.26</v>
      </c>
      <c r="K143" s="690">
        <f>SUM(K122:K141)</f>
        <v>5294158.8900000006</v>
      </c>
      <c r="L143" s="691">
        <f>SUM(L122:L141)</f>
        <v>14866381.309999999</v>
      </c>
      <c r="M143" s="690">
        <f>SUM(M122:M141)</f>
        <v>20160540.199999999</v>
      </c>
      <c r="N143" s="690">
        <f>SUM(N122:N141)</f>
        <v>39393725.200000003</v>
      </c>
    </row>
    <row r="144" spans="1:14" ht="13.5" hidden="1" customHeight="1">
      <c r="A144" s="692"/>
      <c r="B144" s="693"/>
      <c r="C144" s="693"/>
      <c r="D144" s="693"/>
      <c r="E144" s="693"/>
      <c r="F144" s="693"/>
      <c r="G144" s="719"/>
      <c r="H144" s="675"/>
      <c r="I144" s="720"/>
      <c r="J144" s="677"/>
      <c r="K144" s="678"/>
      <c r="L144" s="679"/>
      <c r="M144" s="678"/>
      <c r="N144" s="678"/>
    </row>
    <row r="145" spans="1:15" ht="18" hidden="1" customHeight="1" thickBot="1">
      <c r="A145" s="655"/>
      <c r="B145" s="721" t="s">
        <v>565</v>
      </c>
      <c r="C145" s="721"/>
      <c r="D145" s="721"/>
      <c r="E145" s="721"/>
      <c r="F145" s="721"/>
      <c r="G145" s="686"/>
      <c r="H145" s="658"/>
      <c r="I145" s="712"/>
      <c r="J145" s="660"/>
      <c r="K145" s="661"/>
      <c r="L145" s="722"/>
      <c r="M145" s="661"/>
      <c r="N145" s="661"/>
    </row>
    <row r="146" spans="1:15" ht="18" hidden="1" customHeight="1" thickBot="1">
      <c r="A146" s="698"/>
      <c r="B146" s="723"/>
      <c r="C146" s="723"/>
      <c r="D146" s="666" t="s">
        <v>753</v>
      </c>
      <c r="E146" s="723"/>
      <c r="F146" s="723"/>
      <c r="G146" s="724"/>
      <c r="H146" s="725"/>
      <c r="I146" s="726"/>
      <c r="J146" s="690">
        <f>'LBP NO. 2'!I67+'LBP NO. 2'!I140+'LBP NO. 2'!I205+'LBP NO. 2'!I275+'LBP NO. 2'!I342+'LBP NO. 2'!I412+'LBP NO. 2'!I483+'LBP NO. 2'!I548+'LBP NO. 2'!I617+'LBP NO. 2'!I689+'LBP NO. 2'!I756+'LBP NO. 2'!I825+'LBP NO. 2'!I886+'LBP NO. 2'!I952</f>
        <v>14672214.220000001</v>
      </c>
      <c r="K146" s="690">
        <f>'LBP NO. 2'!J67+'LBP NO. 2'!J140+'LBP NO. 2'!J205+'LBP NO. 2'!J275+'LBP NO. 2'!J342+'LBP NO. 2'!J412+'LBP NO. 2'!J483+'LBP NO. 2'!J548+'LBP NO. 2'!J617+'LBP NO. 2'!J689+'LBP NO. 2'!J756+'LBP NO. 2'!J825+'LBP NO. 2'!J886+'LBP NO. 2'!J952</f>
        <v>3127551.61</v>
      </c>
      <c r="L146" s="690">
        <f>'LBP NO. 2'!K67+'LBP NO. 2'!K140+'LBP NO. 2'!K205+'LBP NO. 2'!K275+'LBP NO. 2'!K342+'LBP NO. 2'!K412+'LBP NO. 2'!K483+'LBP NO. 2'!K548+'LBP NO. 2'!K617+'LBP NO. 2'!K689+'LBP NO. 2'!K756+'LBP NO. 2'!K825+'LBP NO. 2'!K886+'LBP NO. 2'!K952</f>
        <v>4077948.39</v>
      </c>
      <c r="M146" s="690">
        <f>'LBP NO. 2'!L67+'LBP NO. 2'!L140+'LBP NO. 2'!L205+'LBP NO. 2'!L275+'LBP NO. 2'!L342+'LBP NO. 2'!L412+'LBP NO. 2'!L483+'LBP NO. 2'!L548+'LBP NO. 2'!L617+'LBP NO. 2'!L689+'LBP NO. 2'!L756+'LBP NO. 2'!L825+'LBP NO. 2'!L886+'LBP NO. 2'!L952</f>
        <v>7205500</v>
      </c>
      <c r="N146" s="690">
        <f>'LBP NO. 2'!M67+'LBP NO. 2'!M140+'LBP NO. 2'!M205+'LBP NO. 2'!M275+'LBP NO. 2'!M342+'LBP NO. 2'!M412+'LBP NO. 2'!M483+'LBP NO. 2'!M548+'LBP NO. 2'!M617+'LBP NO. 2'!M689+'LBP NO. 2'!M756+'LBP NO. 2'!M825+'LBP NO. 2'!M886+'LBP NO. 2'!M952</f>
        <v>12905000</v>
      </c>
    </row>
    <row r="147" spans="1:15" ht="6" hidden="1" customHeight="1">
      <c r="A147" s="692"/>
      <c r="B147" s="693"/>
      <c r="C147" s="693"/>
      <c r="D147" s="673"/>
      <c r="E147" s="693"/>
      <c r="F147" s="693"/>
      <c r="G147" s="719"/>
      <c r="H147" s="675"/>
      <c r="I147" s="720"/>
      <c r="J147" s="718"/>
      <c r="K147" s="727"/>
      <c r="L147" s="728"/>
      <c r="M147" s="727"/>
      <c r="N147" s="727"/>
    </row>
    <row r="148" spans="1:15" ht="18" hidden="1" customHeight="1">
      <c r="A148" s="646"/>
      <c r="B148" s="681" t="s">
        <v>566</v>
      </c>
      <c r="C148" s="648"/>
      <c r="D148" s="648"/>
      <c r="E148" s="648"/>
      <c r="F148" s="648"/>
      <c r="G148" s="685"/>
      <c r="H148" s="650"/>
      <c r="I148" s="708"/>
      <c r="J148" s="652"/>
      <c r="K148" s="683"/>
      <c r="L148" s="684"/>
      <c r="M148" s="683"/>
      <c r="N148" s="683"/>
    </row>
    <row r="149" spans="1:15" ht="18" hidden="1" customHeight="1">
      <c r="A149" s="646"/>
      <c r="B149" s="648"/>
      <c r="C149" s="648"/>
      <c r="D149" s="648" t="s">
        <v>567</v>
      </c>
      <c r="E149" s="648"/>
      <c r="F149" s="648"/>
      <c r="G149" s="685"/>
      <c r="H149" s="650"/>
      <c r="I149" s="708"/>
      <c r="J149" s="652">
        <f>'LBP NO. 2a'!G95</f>
        <v>27966146.879999999</v>
      </c>
      <c r="K149" s="652">
        <f>'LBP NO. 2a'!H95</f>
        <v>15107252.719999999</v>
      </c>
      <c r="L149" s="652">
        <f>'LBP NO. 2a'!I95</f>
        <v>18152690.030000001</v>
      </c>
      <c r="M149" s="652">
        <f>'LBP NO. 2a'!J95</f>
        <v>33259942.75</v>
      </c>
      <c r="N149" s="652">
        <f>'LBP NO. 2a'!K95</f>
        <v>43848762.799999997</v>
      </c>
    </row>
    <row r="150" spans="1:15" ht="18" hidden="1" customHeight="1">
      <c r="A150" s="646"/>
      <c r="B150" s="648"/>
      <c r="C150" s="648"/>
      <c r="D150" s="648" t="s">
        <v>419</v>
      </c>
      <c r="E150" s="648"/>
      <c r="F150" s="648"/>
      <c r="G150" s="649"/>
      <c r="H150" s="650"/>
      <c r="I150" s="708"/>
      <c r="J150" s="652">
        <f>'LBP NO. 2a'!G96</f>
        <v>7756345.6299999999</v>
      </c>
      <c r="K150" s="652">
        <f>'LBP NO. 2a'!H96</f>
        <v>5015073.9399999995</v>
      </c>
      <c r="L150" s="652">
        <f>'LBP NO. 2a'!I96</f>
        <v>3748760.8600000013</v>
      </c>
      <c r="M150" s="652">
        <f>'LBP NO. 2a'!J96</f>
        <v>8763834.8000000007</v>
      </c>
      <c r="N150" s="652">
        <f>'LBP NO. 2a'!K96</f>
        <v>11580690.699999999</v>
      </c>
    </row>
    <row r="151" spans="1:15" ht="18" hidden="1" customHeight="1">
      <c r="A151" s="646"/>
      <c r="B151" s="648"/>
      <c r="C151" s="648"/>
      <c r="D151" s="648" t="s">
        <v>568</v>
      </c>
      <c r="E151" s="648"/>
      <c r="F151" s="648"/>
      <c r="G151" s="649"/>
      <c r="H151" s="650"/>
      <c r="I151" s="708"/>
      <c r="J151" s="652">
        <f>'LBP NO. 2a'!G97</f>
        <v>21000</v>
      </c>
      <c r="K151" s="652">
        <f>'LBP NO. 2a'!H97</f>
        <v>21000</v>
      </c>
      <c r="L151" s="652">
        <f>'LBP NO. 2a'!I97</f>
        <v>0</v>
      </c>
      <c r="M151" s="652">
        <f>'LBP NO. 2a'!J97</f>
        <v>21000</v>
      </c>
      <c r="N151" s="652">
        <f>'LBP NO. 2a'!K97</f>
        <v>21000</v>
      </c>
    </row>
    <row r="152" spans="1:15" ht="18" hidden="1" customHeight="1" thickBot="1">
      <c r="A152" s="655"/>
      <c r="B152" s="656"/>
      <c r="C152" s="656"/>
      <c r="D152" s="656" t="s">
        <v>569</v>
      </c>
      <c r="E152" s="656"/>
      <c r="F152" s="656"/>
      <c r="G152" s="657"/>
      <c r="H152" s="658"/>
      <c r="I152" s="712"/>
      <c r="J152" s="660">
        <f>SUM('LBP NO. 2a'!G52+'LBP NO. 2a'!G135+'LBP NO. 2a'!G199)-J149-J150-J151</f>
        <v>35568009.710000001</v>
      </c>
      <c r="K152" s="660">
        <f>SUM('LBP NO. 2a'!H52+'LBP NO. 2a'!H135+'LBP NO. 2a'!H199)-K149-K150-K151</f>
        <v>42585439.849999994</v>
      </c>
      <c r="L152" s="660">
        <f>SUM('LBP NO. 2a'!I52+'LBP NO. 2a'!I135+'LBP NO. 2a'!I199)-L149-L150-L151</f>
        <v>73693508.149999991</v>
      </c>
      <c r="M152" s="660">
        <f>SUM('LBP NO. 2a'!J52+'LBP NO. 2a'!J135+'LBP NO. 2a'!J199)-M149-M150-M151</f>
        <v>49436906</v>
      </c>
      <c r="N152" s="660">
        <f>SUM('LBP NO. 2a'!K52+'LBP NO. 2a'!K135+'LBP NO. 2a'!K199)-N149-N150-N151</f>
        <v>46849527.280000001</v>
      </c>
    </row>
    <row r="153" spans="1:15" s="7" customFormat="1" ht="18" hidden="1" customHeight="1" thickBot="1">
      <c r="A153" s="665" t="s">
        <v>19</v>
      </c>
      <c r="B153" s="666"/>
      <c r="C153" s="666"/>
      <c r="D153" s="666"/>
      <c r="E153" s="666"/>
      <c r="F153" s="666"/>
      <c r="G153" s="667"/>
      <c r="H153" s="668"/>
      <c r="I153" s="714"/>
      <c r="J153" s="690">
        <f t="shared" ref="J153:M153" si="2">SUM(J119+J143+J146+J149+J150+J151+J152)</f>
        <v>162512901.66</v>
      </c>
      <c r="K153" s="690">
        <f t="shared" si="2"/>
        <v>102887242.72999999</v>
      </c>
      <c r="L153" s="690">
        <f t="shared" si="2"/>
        <v>150505608.93000001</v>
      </c>
      <c r="M153" s="690">
        <f t="shared" si="2"/>
        <v>186550809.66</v>
      </c>
      <c r="N153" s="690">
        <f>SUM(N119+N143+N146+N149+N150+N151+N152)</f>
        <v>231534335.78</v>
      </c>
    </row>
    <row r="154" spans="1:15" s="7" customFormat="1" ht="18" hidden="1" customHeight="1" thickBot="1">
      <c r="A154" s="1092" t="s">
        <v>570</v>
      </c>
      <c r="B154" s="1093"/>
      <c r="C154" s="1093"/>
      <c r="D154" s="1093"/>
      <c r="E154" s="1093"/>
      <c r="F154" s="1093"/>
      <c r="G154" s="1094"/>
      <c r="H154" s="1095"/>
      <c r="I154" s="1096"/>
      <c r="J154" s="730">
        <f>J75-J153</f>
        <v>504978.62999999523</v>
      </c>
      <c r="K154" s="730">
        <f>K75-K153</f>
        <v>-13376863.159999996</v>
      </c>
      <c r="L154" s="730">
        <f>L75-L153</f>
        <v>-63617702.010000005</v>
      </c>
      <c r="M154" s="730">
        <f>M75-M153</f>
        <v>3934086.4600000083</v>
      </c>
      <c r="N154" s="730">
        <f>N75-N153</f>
        <v>79478.219999998808</v>
      </c>
      <c r="O154" s="704"/>
    </row>
    <row r="155" spans="1:15" ht="18" hidden="1" customHeight="1" thickTop="1">
      <c r="A155" s="618"/>
      <c r="B155" s="19"/>
      <c r="C155" s="618"/>
      <c r="D155" s="618"/>
      <c r="E155" s="618"/>
      <c r="F155" s="618"/>
      <c r="G155" s="855"/>
      <c r="H155" s="855"/>
      <c r="I155" s="731"/>
      <c r="J155" s="855"/>
      <c r="K155" s="732"/>
      <c r="L155" s="733"/>
      <c r="M155" s="733"/>
      <c r="N155" s="732"/>
    </row>
    <row r="156" spans="1:15" ht="18" hidden="1" customHeight="1">
      <c r="A156" s="618"/>
      <c r="B156" s="19"/>
      <c r="C156" s="618"/>
      <c r="D156" s="618"/>
      <c r="E156" s="618"/>
      <c r="F156" s="618"/>
      <c r="G156" s="1091"/>
      <c r="H156" s="1091"/>
      <c r="I156" s="731"/>
      <c r="J156" s="1091"/>
      <c r="K156" s="732"/>
      <c r="L156" s="733"/>
      <c r="M156" s="733"/>
      <c r="N156" s="732"/>
    </row>
    <row r="157" spans="1:15" ht="18" hidden="1" customHeight="1">
      <c r="A157" s="618"/>
      <c r="B157" s="19"/>
      <c r="C157" s="618"/>
      <c r="D157" s="618"/>
      <c r="E157" s="618"/>
      <c r="F157" s="618"/>
      <c r="G157" s="1091"/>
      <c r="H157" s="1091"/>
      <c r="I157" s="731"/>
      <c r="J157" s="1091"/>
      <c r="K157" s="732"/>
      <c r="L157" s="733"/>
      <c r="M157" s="733"/>
      <c r="N157" s="732"/>
    </row>
    <row r="158" spans="1:15" ht="18" hidden="1" customHeight="1">
      <c r="A158" s="618"/>
      <c r="B158" s="19"/>
      <c r="C158" s="618"/>
      <c r="D158" s="618"/>
      <c r="E158" s="618"/>
      <c r="F158" s="618"/>
      <c r="G158" s="1091"/>
      <c r="H158" s="1091"/>
      <c r="I158" s="731"/>
      <c r="J158" s="1091"/>
      <c r="K158" s="732"/>
      <c r="L158" s="733"/>
      <c r="M158" s="733"/>
      <c r="N158" s="732"/>
    </row>
    <row r="159" spans="1:15" ht="18" hidden="1" customHeight="1">
      <c r="A159" s="1256" t="s">
        <v>577</v>
      </c>
      <c r="B159" s="1256"/>
      <c r="C159" s="1256"/>
      <c r="D159" s="1256"/>
      <c r="E159" s="1256"/>
      <c r="F159" s="1256"/>
      <c r="G159" s="1256"/>
      <c r="H159" s="1256"/>
      <c r="I159" s="1256"/>
      <c r="J159" s="1256"/>
      <c r="K159" s="1256"/>
      <c r="L159" s="1256"/>
      <c r="M159" s="1256"/>
      <c r="N159" s="1256"/>
    </row>
    <row r="160" spans="1:15" ht="18" hidden="1" customHeight="1">
      <c r="A160" s="734"/>
      <c r="B160" s="734"/>
      <c r="C160" s="734"/>
      <c r="D160" s="734"/>
      <c r="E160" s="734"/>
      <c r="F160" s="734"/>
      <c r="G160" s="734"/>
      <c r="H160" s="734"/>
      <c r="I160" s="857"/>
      <c r="J160" s="734"/>
      <c r="K160" s="734"/>
      <c r="L160" s="735"/>
      <c r="M160" s="735"/>
      <c r="N160" s="734"/>
    </row>
    <row r="161" spans="1:14" ht="18" hidden="1" customHeight="1">
      <c r="A161" s="734"/>
      <c r="B161" s="736" t="s">
        <v>11</v>
      </c>
      <c r="C161" s="734"/>
      <c r="D161" s="734"/>
      <c r="E161" s="734"/>
      <c r="F161" s="734"/>
      <c r="G161" s="734"/>
      <c r="H161" s="734"/>
      <c r="I161" s="857"/>
      <c r="J161" s="734"/>
      <c r="K161" s="734"/>
      <c r="L161" s="735"/>
      <c r="M161" s="735"/>
      <c r="N161" s="734"/>
    </row>
    <row r="162" spans="1:14" ht="18" hidden="1" customHeight="1">
      <c r="A162" s="734"/>
      <c r="B162" s="734"/>
      <c r="C162" s="734"/>
      <c r="D162" s="734"/>
      <c r="E162" s="734"/>
      <c r="F162" s="734"/>
      <c r="G162" s="734"/>
      <c r="H162" s="734"/>
      <c r="I162" s="857"/>
      <c r="J162" s="734"/>
      <c r="K162" s="734"/>
      <c r="L162" s="735"/>
      <c r="M162" s="735"/>
      <c r="N162" s="734"/>
    </row>
    <row r="163" spans="1:14" ht="18" hidden="1" customHeight="1">
      <c r="A163" s="618"/>
      <c r="B163" s="19"/>
      <c r="C163" s="618"/>
      <c r="D163" s="618"/>
      <c r="E163" s="618"/>
      <c r="F163" s="618"/>
      <c r="G163" s="855"/>
      <c r="H163" s="855"/>
      <c r="I163" s="731"/>
      <c r="J163" s="855"/>
      <c r="K163" s="732"/>
      <c r="L163" s="733"/>
      <c r="M163" s="733"/>
      <c r="N163" s="732"/>
    </row>
    <row r="164" spans="1:14" ht="18" hidden="1" customHeight="1">
      <c r="A164" s="618"/>
      <c r="B164" s="19"/>
      <c r="C164" s="618"/>
      <c r="F164" s="856" t="s">
        <v>88</v>
      </c>
      <c r="G164" s="856"/>
      <c r="H164" s="1261" t="s">
        <v>17</v>
      </c>
      <c r="I164" s="1261"/>
      <c r="J164" s="1261"/>
      <c r="K164" s="737" t="s">
        <v>52</v>
      </c>
      <c r="L164" s="733"/>
      <c r="M164" s="1257" t="s">
        <v>798</v>
      </c>
      <c r="N164" s="1257"/>
    </row>
    <row r="165" spans="1:14" ht="18" hidden="1" customHeight="1">
      <c r="A165" s="618"/>
      <c r="B165" s="19"/>
      <c r="C165" s="618"/>
      <c r="F165" s="855" t="s">
        <v>1000</v>
      </c>
      <c r="G165" s="855"/>
      <c r="H165" s="1260" t="s">
        <v>18</v>
      </c>
      <c r="I165" s="1260"/>
      <c r="J165" s="1260"/>
      <c r="K165" s="738" t="s">
        <v>796</v>
      </c>
      <c r="L165" s="733"/>
      <c r="M165" s="1262" t="s">
        <v>242</v>
      </c>
      <c r="N165" s="1262"/>
    </row>
    <row r="166" spans="1:14" ht="18" hidden="1" customHeight="1">
      <c r="A166" s="618"/>
      <c r="B166" s="19"/>
      <c r="C166" s="618"/>
      <c r="D166" s="618"/>
      <c r="E166" s="618"/>
      <c r="F166" s="618"/>
      <c r="G166" s="855"/>
      <c r="H166" s="855"/>
      <c r="I166" s="731"/>
      <c r="J166" s="855"/>
      <c r="K166" s="732"/>
      <c r="L166" s="733"/>
      <c r="M166" s="733"/>
      <c r="N166" s="732"/>
    </row>
    <row r="167" spans="1:14" ht="18" hidden="1" customHeight="1">
      <c r="A167" s="618"/>
      <c r="B167" s="19"/>
      <c r="C167" s="618"/>
      <c r="D167" s="618"/>
      <c r="E167" s="618"/>
      <c r="F167" s="618"/>
      <c r="G167" s="855"/>
      <c r="H167" s="855"/>
      <c r="I167" s="731"/>
      <c r="J167" s="855"/>
      <c r="K167" s="732"/>
      <c r="L167" s="733"/>
      <c r="M167" s="733"/>
      <c r="N167" s="732"/>
    </row>
    <row r="168" spans="1:14" ht="18" hidden="1" customHeight="1">
      <c r="A168" s="618"/>
      <c r="B168" s="19"/>
      <c r="C168" s="618"/>
      <c r="E168" s="618"/>
      <c r="F168" s="618" t="s">
        <v>258</v>
      </c>
      <c r="G168" s="855"/>
      <c r="H168" s="855"/>
      <c r="I168" s="731"/>
      <c r="J168" s="855"/>
      <c r="K168" s="732"/>
      <c r="L168" s="733"/>
      <c r="M168" s="733"/>
      <c r="N168" s="732"/>
    </row>
    <row r="169" spans="1:14" ht="18" hidden="1" customHeight="1">
      <c r="A169" s="618"/>
      <c r="B169" s="19"/>
      <c r="C169" s="618"/>
      <c r="D169" s="618"/>
      <c r="E169" s="618"/>
      <c r="F169" s="618"/>
      <c r="G169" s="855"/>
      <c r="H169" s="855"/>
      <c r="I169" s="731"/>
      <c r="J169" s="855"/>
      <c r="K169" s="732"/>
      <c r="L169" s="733"/>
      <c r="M169" s="733"/>
      <c r="N169" s="732"/>
    </row>
    <row r="170" spans="1:14" ht="18" hidden="1" customHeight="1">
      <c r="A170" s="618"/>
      <c r="B170" s="19"/>
      <c r="C170" s="618"/>
      <c r="E170" s="618"/>
      <c r="F170" s="856" t="s">
        <v>1456</v>
      </c>
      <c r="G170" s="856"/>
      <c r="H170" s="855"/>
      <c r="I170" s="731"/>
      <c r="J170" s="855"/>
      <c r="K170" s="732"/>
      <c r="L170" s="733"/>
      <c r="M170" s="733"/>
      <c r="N170" s="732"/>
    </row>
    <row r="171" spans="1:14" ht="18" hidden="1" customHeight="1">
      <c r="A171" s="618"/>
      <c r="B171" s="19"/>
      <c r="C171" s="618"/>
      <c r="E171" s="618"/>
      <c r="F171" s="855" t="s">
        <v>14</v>
      </c>
      <c r="G171" s="855"/>
      <c r="H171" s="855"/>
      <c r="I171" s="731"/>
      <c r="J171" s="855"/>
      <c r="K171" s="732"/>
      <c r="L171" s="733"/>
      <c r="M171" s="733"/>
      <c r="N171" s="732"/>
    </row>
    <row r="172" spans="1:14" ht="18" hidden="1" customHeight="1">
      <c r="A172" s="618"/>
      <c r="B172" s="19"/>
      <c r="C172" s="618"/>
      <c r="E172" s="618"/>
      <c r="F172" s="19"/>
      <c r="G172" s="856"/>
      <c r="H172" s="855"/>
      <c r="I172" s="731"/>
      <c r="J172" s="855"/>
      <c r="K172" s="732"/>
      <c r="L172" s="733"/>
      <c r="M172" s="733"/>
      <c r="N172" s="732"/>
    </row>
    <row r="173" spans="1:14" ht="18" hidden="1" customHeight="1">
      <c r="A173" s="618"/>
      <c r="B173" s="19"/>
      <c r="C173" s="618"/>
      <c r="E173" s="618"/>
      <c r="F173" s="618"/>
      <c r="G173" s="855"/>
      <c r="H173" s="855"/>
      <c r="I173" s="731"/>
      <c r="J173" s="855"/>
      <c r="K173" s="732"/>
      <c r="L173" s="733"/>
      <c r="M173" s="733"/>
      <c r="N173" s="732"/>
    </row>
    <row r="174" spans="1:14" ht="18" hidden="1" customHeight="1">
      <c r="A174" s="618"/>
      <c r="B174" s="618"/>
      <c r="C174" s="618"/>
      <c r="D174" s="618"/>
      <c r="E174" s="618"/>
      <c r="F174" s="618"/>
      <c r="G174" s="855"/>
      <c r="H174" s="855"/>
      <c r="I174" s="731"/>
      <c r="J174" s="855"/>
      <c r="K174" s="732"/>
      <c r="L174" s="733"/>
      <c r="M174" s="733"/>
      <c r="N174" s="732"/>
    </row>
    <row r="175" spans="1:14" ht="18" hidden="1" customHeight="1"/>
    <row r="176" spans="1:14" ht="18" hidden="1" customHeight="1"/>
    <row r="177" ht="18" hidden="1" customHeight="1"/>
    <row r="178" ht="18" hidden="1" customHeight="1"/>
    <row r="179" ht="18" hidden="1" customHeight="1"/>
    <row r="180" ht="18" hidden="1" customHeight="1"/>
    <row r="181" ht="18" hidden="1" customHeight="1"/>
    <row r="182" ht="18" hidden="1" customHeight="1"/>
    <row r="183" ht="18" hidden="1" customHeight="1"/>
    <row r="184" ht="18" hidden="1" customHeight="1"/>
    <row r="185" ht="18" hidden="1" customHeight="1"/>
    <row r="186" ht="18" hidden="1" customHeight="1"/>
    <row r="187" ht="18" hidden="1" customHeight="1"/>
    <row r="188" ht="18" hidden="1" customHeight="1"/>
    <row r="189" ht="18" hidden="1" customHeight="1"/>
    <row r="190" ht="18" hidden="1" customHeight="1"/>
    <row r="191" ht="18" hidden="1" customHeight="1"/>
    <row r="192" ht="18" hidden="1" customHeight="1"/>
    <row r="193" ht="18" hidden="1" customHeight="1"/>
    <row r="194" ht="18" hidden="1" customHeight="1"/>
    <row r="195" ht="18" hidden="1" customHeight="1"/>
    <row r="196" ht="18" hidden="1" customHeight="1"/>
    <row r="197" ht="18" hidden="1" customHeight="1"/>
    <row r="198" ht="18" hidden="1" customHeight="1"/>
    <row r="199" ht="18" hidden="1" customHeight="1"/>
    <row r="200" ht="18" hidden="1" customHeight="1"/>
    <row r="201" ht="18" hidden="1" customHeight="1"/>
    <row r="202" ht="18" hidden="1" customHeight="1"/>
    <row r="203" ht="18" hidden="1" customHeight="1"/>
    <row r="204" ht="18" hidden="1" customHeight="1"/>
    <row r="205" ht="18" hidden="1" customHeight="1"/>
    <row r="206" ht="18" hidden="1" customHeight="1"/>
    <row r="207" ht="18" hidden="1" customHeight="1"/>
    <row r="208" ht="18" hidden="1" customHeight="1"/>
    <row r="209" spans="1:14" s="270" customFormat="1" ht="20.100000000000001" customHeight="1">
      <c r="A209" s="1244" t="s">
        <v>636</v>
      </c>
      <c r="B209" s="1244"/>
      <c r="C209" s="1244"/>
      <c r="D209" s="1244"/>
      <c r="E209" s="1244"/>
      <c r="F209" s="1244"/>
      <c r="G209" s="1244"/>
      <c r="H209" s="1244"/>
      <c r="I209" s="1244"/>
      <c r="J209" s="1244"/>
      <c r="K209" s="1244"/>
      <c r="L209" s="1244"/>
      <c r="M209" s="1244"/>
      <c r="N209" s="1244"/>
    </row>
    <row r="210" spans="1:14" ht="18" hidden="1" customHeight="1">
      <c r="A210" s="19"/>
      <c r="B210" s="618"/>
      <c r="C210" s="618"/>
      <c r="D210" s="618"/>
      <c r="E210" s="618"/>
      <c r="F210" s="618"/>
      <c r="G210" s="855"/>
      <c r="H210" s="618"/>
      <c r="I210" s="619"/>
      <c r="J210" s="618"/>
      <c r="K210" s="618"/>
      <c r="L210" s="620"/>
      <c r="M210" s="620"/>
      <c r="N210" s="621"/>
    </row>
    <row r="211" spans="1:14" ht="18" hidden="1" customHeight="1">
      <c r="A211" s="1245" t="s">
        <v>575</v>
      </c>
      <c r="B211" s="1245"/>
      <c r="C211" s="1245"/>
      <c r="D211" s="1245"/>
      <c r="E211" s="1245"/>
      <c r="F211" s="1245"/>
      <c r="G211" s="1245"/>
      <c r="H211" s="1245"/>
      <c r="I211" s="1245"/>
      <c r="J211" s="1245"/>
      <c r="K211" s="1245"/>
      <c r="L211" s="1245"/>
      <c r="M211" s="1245"/>
      <c r="N211" s="1245"/>
    </row>
    <row r="212" spans="1:14" ht="18" hidden="1" customHeight="1">
      <c r="A212" s="1245" t="s">
        <v>358</v>
      </c>
      <c r="B212" s="1245"/>
      <c r="C212" s="1245"/>
      <c r="D212" s="1245"/>
      <c r="E212" s="1245"/>
      <c r="F212" s="1245"/>
      <c r="G212" s="1245"/>
      <c r="H212" s="1245"/>
      <c r="I212" s="1245"/>
      <c r="J212" s="1245"/>
      <c r="K212" s="1245"/>
      <c r="L212" s="1245"/>
      <c r="M212" s="1245"/>
      <c r="N212" s="1245"/>
    </row>
    <row r="213" spans="1:14" ht="18" hidden="1" customHeight="1">
      <c r="A213" s="851"/>
      <c r="B213" s="851"/>
      <c r="C213" s="851"/>
      <c r="D213" s="851"/>
      <c r="E213" s="851"/>
      <c r="F213" s="851"/>
      <c r="G213" s="851"/>
      <c r="H213" s="851"/>
      <c r="I213" s="858"/>
      <c r="J213" s="851"/>
      <c r="K213" s="851"/>
      <c r="L213" s="622"/>
      <c r="M213" s="622"/>
      <c r="N213" s="851"/>
    </row>
    <row r="214" spans="1:14" ht="18" hidden="1" customHeight="1" thickBot="1">
      <c r="A214" s="1245" t="s">
        <v>10</v>
      </c>
      <c r="B214" s="1245"/>
      <c r="C214" s="1245"/>
      <c r="D214" s="1245"/>
      <c r="E214" s="1245"/>
      <c r="F214" s="1245"/>
      <c r="G214" s="1245"/>
      <c r="H214" s="1245"/>
      <c r="I214" s="1245"/>
      <c r="J214" s="1245"/>
      <c r="K214" s="1245"/>
      <c r="L214" s="1245"/>
      <c r="M214" s="1245"/>
      <c r="N214" s="1245"/>
    </row>
    <row r="215" spans="1:14" s="1" customFormat="1" ht="18" hidden="1" customHeight="1">
      <c r="A215" s="623"/>
      <c r="B215" s="624"/>
      <c r="C215" s="624"/>
      <c r="D215" s="624"/>
      <c r="E215" s="624"/>
      <c r="F215" s="624"/>
      <c r="G215" s="625"/>
      <c r="H215" s="626"/>
      <c r="I215" s="626"/>
      <c r="J215" s="626"/>
      <c r="K215" s="1246"/>
      <c r="L215" s="1247"/>
      <c r="M215" s="1248"/>
      <c r="N215" s="627"/>
    </row>
    <row r="216" spans="1:14" s="1" customFormat="1" ht="18" hidden="1" customHeight="1">
      <c r="A216" s="1249" t="s">
        <v>3</v>
      </c>
      <c r="B216" s="1238"/>
      <c r="C216" s="1238"/>
      <c r="D216" s="1238"/>
      <c r="E216" s="1238"/>
      <c r="F216" s="1238"/>
      <c r="G216" s="628"/>
      <c r="H216" s="628" t="s">
        <v>1</v>
      </c>
      <c r="I216" s="629" t="s">
        <v>2</v>
      </c>
      <c r="J216" s="628" t="s">
        <v>6</v>
      </c>
      <c r="K216" s="1240" t="s">
        <v>630</v>
      </c>
      <c r="L216" s="1241"/>
      <c r="M216" s="1242"/>
      <c r="N216" s="630" t="s">
        <v>7</v>
      </c>
    </row>
    <row r="217" spans="1:14" s="1" customFormat="1" ht="18" hidden="1" customHeight="1">
      <c r="A217" s="631"/>
      <c r="B217" s="619"/>
      <c r="C217" s="619"/>
      <c r="D217" s="619"/>
      <c r="E217" s="619"/>
      <c r="F217" s="619"/>
      <c r="G217" s="632"/>
      <c r="H217" s="628" t="s">
        <v>4</v>
      </c>
      <c r="I217" s="629" t="s">
        <v>5</v>
      </c>
      <c r="J217" s="633">
        <v>2020</v>
      </c>
      <c r="K217" s="628" t="s">
        <v>571</v>
      </c>
      <c r="L217" s="634" t="s">
        <v>574</v>
      </c>
      <c r="M217" s="628">
        <v>2021</v>
      </c>
      <c r="N217" s="635">
        <v>2022</v>
      </c>
    </row>
    <row r="218" spans="1:14" s="1" customFormat="1" ht="18" hidden="1" customHeight="1">
      <c r="A218" s="631"/>
      <c r="B218" s="619"/>
      <c r="C218" s="619"/>
      <c r="D218" s="619"/>
      <c r="E218" s="619"/>
      <c r="F218" s="619"/>
      <c r="G218" s="632"/>
      <c r="H218" s="628"/>
      <c r="I218" s="628"/>
      <c r="J218" s="628" t="s">
        <v>571</v>
      </c>
      <c r="K218" s="628">
        <v>2021</v>
      </c>
      <c r="L218" s="628">
        <v>2021</v>
      </c>
      <c r="M218" s="634" t="s">
        <v>949</v>
      </c>
      <c r="N218" s="630" t="s">
        <v>576</v>
      </c>
    </row>
    <row r="219" spans="1:14" s="1" customFormat="1" ht="18" hidden="1" customHeight="1" thickBot="1">
      <c r="A219" s="631"/>
      <c r="B219" s="619"/>
      <c r="C219" s="619"/>
      <c r="D219" s="619"/>
      <c r="E219" s="619"/>
      <c r="F219" s="619"/>
      <c r="G219" s="632"/>
      <c r="H219" s="636"/>
      <c r="I219" s="636"/>
      <c r="J219" s="636"/>
      <c r="K219" s="636"/>
      <c r="L219" s="637"/>
      <c r="M219" s="637"/>
      <c r="N219" s="638"/>
    </row>
    <row r="220" spans="1:14" ht="18" hidden="1" customHeight="1">
      <c r="A220" s="639" t="s">
        <v>483</v>
      </c>
      <c r="B220" s="640" t="s">
        <v>484</v>
      </c>
      <c r="C220" s="640"/>
      <c r="D220" s="640"/>
      <c r="E220" s="640"/>
      <c r="F220" s="640"/>
      <c r="G220" s="740"/>
      <c r="H220" s="642"/>
      <c r="I220" s="741"/>
      <c r="J220" s="742">
        <v>0</v>
      </c>
      <c r="K220" s="742">
        <v>0</v>
      </c>
      <c r="L220" s="742">
        <v>0</v>
      </c>
      <c r="M220" s="742">
        <f>SUM(K220:L220)</f>
        <v>0</v>
      </c>
      <c r="N220" s="742">
        <f>SUM(L220:M220)</f>
        <v>0</v>
      </c>
    </row>
    <row r="221" spans="1:14" ht="18" hidden="1" customHeight="1">
      <c r="A221" s="680" t="s">
        <v>485</v>
      </c>
      <c r="B221" s="681" t="s">
        <v>486</v>
      </c>
      <c r="C221" s="681"/>
      <c r="D221" s="681"/>
      <c r="E221" s="681"/>
      <c r="F221" s="681"/>
      <c r="G221" s="649"/>
      <c r="H221" s="650"/>
      <c r="I221" s="708"/>
      <c r="J221" s="743"/>
      <c r="K221" s="744"/>
      <c r="L221" s="745"/>
      <c r="M221" s="744"/>
      <c r="N221" s="744"/>
    </row>
    <row r="222" spans="1:14" ht="18" hidden="1" customHeight="1">
      <c r="A222" s="680"/>
      <c r="B222" s="681" t="s">
        <v>518</v>
      </c>
      <c r="C222" s="681"/>
      <c r="D222" s="681"/>
      <c r="E222" s="681"/>
      <c r="F222" s="681"/>
      <c r="G222" s="649"/>
      <c r="H222" s="650"/>
      <c r="I222" s="708"/>
      <c r="J222" s="743"/>
      <c r="K222" s="744"/>
      <c r="L222" s="745"/>
      <c r="M222" s="744"/>
      <c r="N222" s="744"/>
    </row>
    <row r="223" spans="1:14" ht="18" hidden="1" customHeight="1">
      <c r="A223" s="646"/>
      <c r="B223" s="648"/>
      <c r="C223" s="648" t="s">
        <v>185</v>
      </c>
      <c r="D223" s="648"/>
      <c r="E223" s="648"/>
      <c r="F223" s="648"/>
      <c r="G223" s="649"/>
      <c r="H223" s="650"/>
      <c r="I223" s="708"/>
      <c r="J223" s="743"/>
      <c r="K223" s="744"/>
      <c r="L223" s="745"/>
      <c r="M223" s="744"/>
      <c r="N223" s="744"/>
    </row>
    <row r="224" spans="1:14" ht="18" hidden="1" customHeight="1">
      <c r="A224" s="646"/>
      <c r="B224" s="648"/>
      <c r="C224" s="648"/>
      <c r="D224" s="648" t="s">
        <v>487</v>
      </c>
      <c r="E224" s="648" t="s">
        <v>578</v>
      </c>
      <c r="F224" s="648"/>
      <c r="G224" s="649"/>
      <c r="H224" s="650"/>
      <c r="I224" s="708"/>
      <c r="J224" s="743"/>
      <c r="K224" s="744"/>
      <c r="L224" s="745"/>
      <c r="M224" s="744"/>
      <c r="N224" s="744"/>
    </row>
    <row r="225" spans="1:14" ht="18" hidden="1" customHeight="1">
      <c r="A225" s="646"/>
      <c r="B225" s="648"/>
      <c r="C225" s="648"/>
      <c r="D225" s="648"/>
      <c r="E225" s="648" t="s">
        <v>579</v>
      </c>
      <c r="F225" s="648"/>
      <c r="G225" s="685" t="s">
        <v>754</v>
      </c>
      <c r="H225" s="650" t="s">
        <v>747</v>
      </c>
      <c r="I225" s="708" t="s">
        <v>742</v>
      </c>
      <c r="J225" s="746">
        <v>4364257.92</v>
      </c>
      <c r="K225" s="747">
        <v>4880328.78</v>
      </c>
      <c r="L225" s="748">
        <v>1600000</v>
      </c>
      <c r="M225" s="747">
        <f>L225+K225</f>
        <v>6480328.7800000003</v>
      </c>
      <c r="N225" s="747">
        <v>0</v>
      </c>
    </row>
    <row r="226" spans="1:14" ht="18" hidden="1" customHeight="1" thickBot="1">
      <c r="A226" s="655"/>
      <c r="B226" s="656"/>
      <c r="C226" s="656"/>
      <c r="D226" s="656"/>
      <c r="E226" s="656" t="s">
        <v>580</v>
      </c>
      <c r="F226" s="656"/>
      <c r="G226" s="686" t="s">
        <v>755</v>
      </c>
      <c r="H226" s="658" t="s">
        <v>723</v>
      </c>
      <c r="I226" s="712" t="s">
        <v>742</v>
      </c>
      <c r="J226" s="749">
        <v>74217.67</v>
      </c>
      <c r="K226" s="750">
        <v>107939.05</v>
      </c>
      <c r="L226" s="748">
        <v>60000</v>
      </c>
      <c r="M226" s="750">
        <f>L226+K226</f>
        <v>167939.05</v>
      </c>
      <c r="N226" s="750">
        <v>0</v>
      </c>
    </row>
    <row r="227" spans="1:14" s="7" customFormat="1" ht="18" hidden="1" customHeight="1" thickBot="1">
      <c r="A227" s="665"/>
      <c r="B227" s="666"/>
      <c r="C227" s="666" t="s">
        <v>488</v>
      </c>
      <c r="D227" s="666"/>
      <c r="E227" s="666"/>
      <c r="F227" s="666"/>
      <c r="G227" s="667"/>
      <c r="H227" s="668"/>
      <c r="I227" s="714"/>
      <c r="J227" s="751">
        <f>SUM(J224:J226)</f>
        <v>4438475.59</v>
      </c>
      <c r="K227" s="751">
        <f>SUM(K224:K226)</f>
        <v>4988267.83</v>
      </c>
      <c r="L227" s="752">
        <f>SUM(L224:L226)</f>
        <v>1660000</v>
      </c>
      <c r="M227" s="751">
        <f>SUM(M224:M226)</f>
        <v>6648267.8300000001</v>
      </c>
      <c r="N227" s="751">
        <f>SUM(N224:N226)</f>
        <v>0</v>
      </c>
    </row>
    <row r="228" spans="1:14" ht="18" hidden="1" customHeight="1">
      <c r="A228" s="692"/>
      <c r="B228" s="693"/>
      <c r="C228" s="693" t="s">
        <v>186</v>
      </c>
      <c r="D228" s="693"/>
      <c r="E228" s="693"/>
      <c r="F228" s="693"/>
      <c r="G228" s="694"/>
      <c r="H228" s="675"/>
      <c r="I228" s="720"/>
      <c r="J228" s="753"/>
      <c r="K228" s="754"/>
      <c r="L228" s="755"/>
      <c r="M228" s="754"/>
      <c r="N228" s="754"/>
    </row>
    <row r="229" spans="1:14" ht="18" hidden="1" customHeight="1">
      <c r="A229" s="646"/>
      <c r="B229" s="648"/>
      <c r="C229" s="648"/>
      <c r="D229" s="648" t="s">
        <v>489</v>
      </c>
      <c r="E229" s="648"/>
      <c r="F229" s="648"/>
      <c r="G229" s="649"/>
      <c r="H229" s="650"/>
      <c r="I229" s="708"/>
      <c r="J229" s="746"/>
      <c r="K229" s="747"/>
      <c r="L229" s="748"/>
      <c r="M229" s="747"/>
      <c r="N229" s="747"/>
    </row>
    <row r="230" spans="1:14" ht="18" hidden="1" customHeight="1">
      <c r="A230" s="646"/>
      <c r="B230" s="648"/>
      <c r="C230" s="648"/>
      <c r="D230" s="648"/>
      <c r="E230" s="648" t="s">
        <v>582</v>
      </c>
      <c r="F230" s="648" t="s">
        <v>581</v>
      </c>
      <c r="G230" s="685" t="s">
        <v>756</v>
      </c>
      <c r="H230" s="650" t="s">
        <v>729</v>
      </c>
      <c r="I230" s="708" t="s">
        <v>742</v>
      </c>
      <c r="J230" s="746">
        <v>302543</v>
      </c>
      <c r="K230" s="747">
        <v>306454</v>
      </c>
      <c r="L230" s="748">
        <v>60000</v>
      </c>
      <c r="M230" s="747">
        <f t="shared" ref="M230:M245" si="3">L230+K230</f>
        <v>366454</v>
      </c>
      <c r="N230" s="747">
        <v>280000</v>
      </c>
    </row>
    <row r="231" spans="1:14" ht="18" hidden="1" customHeight="1">
      <c r="A231" s="646"/>
      <c r="B231" s="648"/>
      <c r="C231" s="648"/>
      <c r="D231" s="648"/>
      <c r="E231" s="648" t="s">
        <v>583</v>
      </c>
      <c r="F231" s="648"/>
      <c r="G231" s="685" t="s">
        <v>757</v>
      </c>
      <c r="H231" s="650" t="s">
        <v>731</v>
      </c>
      <c r="I231" s="708" t="s">
        <v>742</v>
      </c>
      <c r="J231" s="746">
        <v>878381.41</v>
      </c>
      <c r="K231" s="747">
        <v>906942.97</v>
      </c>
      <c r="L231" s="748">
        <v>110000</v>
      </c>
      <c r="M231" s="747">
        <f t="shared" si="3"/>
        <v>1016942.97</v>
      </c>
      <c r="N231" s="747">
        <v>850000</v>
      </c>
    </row>
    <row r="232" spans="1:14" ht="18" hidden="1" customHeight="1">
      <c r="A232" s="646"/>
      <c r="B232" s="648"/>
      <c r="C232" s="648"/>
      <c r="D232" s="648"/>
      <c r="E232" s="648" t="s">
        <v>1667</v>
      </c>
      <c r="F232" s="648"/>
      <c r="G232" s="685"/>
      <c r="H232" s="650" t="s">
        <v>731</v>
      </c>
      <c r="I232" s="708" t="s">
        <v>742</v>
      </c>
      <c r="J232" s="746">
        <v>0</v>
      </c>
      <c r="K232" s="747">
        <v>0</v>
      </c>
      <c r="L232" s="748">
        <v>0</v>
      </c>
      <c r="M232" s="747">
        <v>0</v>
      </c>
      <c r="N232" s="747">
        <v>60000</v>
      </c>
    </row>
    <row r="233" spans="1:14" ht="18" hidden="1" customHeight="1">
      <c r="A233" s="646"/>
      <c r="B233" s="648"/>
      <c r="C233" s="648"/>
      <c r="D233" s="648"/>
      <c r="E233" s="648" t="s">
        <v>1668</v>
      </c>
      <c r="F233" s="648"/>
      <c r="G233" s="685" t="s">
        <v>758</v>
      </c>
      <c r="H233" s="650" t="s">
        <v>748</v>
      </c>
      <c r="I233" s="708" t="s">
        <v>742</v>
      </c>
      <c r="J233" s="746">
        <v>47744.2</v>
      </c>
      <c r="K233" s="747">
        <v>40410</v>
      </c>
      <c r="L233" s="748">
        <v>3000</v>
      </c>
      <c r="M233" s="747">
        <f t="shared" si="3"/>
        <v>43410</v>
      </c>
      <c r="N233" s="747">
        <v>40000</v>
      </c>
    </row>
    <row r="234" spans="1:14" ht="18" hidden="1" customHeight="1">
      <c r="A234" s="646"/>
      <c r="B234" s="648"/>
      <c r="C234" s="648"/>
      <c r="D234" s="648"/>
      <c r="E234" s="648" t="s">
        <v>1669</v>
      </c>
      <c r="F234" s="648"/>
      <c r="G234" s="685"/>
      <c r="H234" s="650" t="s">
        <v>734</v>
      </c>
      <c r="I234" s="708" t="s">
        <v>742</v>
      </c>
      <c r="J234" s="746">
        <v>0</v>
      </c>
      <c r="K234" s="747">
        <v>0</v>
      </c>
      <c r="L234" s="748"/>
      <c r="M234" s="747"/>
      <c r="N234" s="747">
        <v>700000</v>
      </c>
    </row>
    <row r="235" spans="1:14" ht="18" hidden="1" customHeight="1">
      <c r="A235" s="646"/>
      <c r="B235" s="648"/>
      <c r="C235" s="648"/>
      <c r="D235" s="648"/>
      <c r="E235" s="648" t="s">
        <v>1670</v>
      </c>
      <c r="F235" s="648"/>
      <c r="G235" s="685"/>
      <c r="H235" s="650" t="s">
        <v>748</v>
      </c>
      <c r="I235" s="708" t="s">
        <v>742</v>
      </c>
      <c r="J235" s="746">
        <v>0</v>
      </c>
      <c r="K235" s="747">
        <v>0</v>
      </c>
      <c r="L235" s="748"/>
      <c r="M235" s="747"/>
      <c r="N235" s="747">
        <v>45000</v>
      </c>
    </row>
    <row r="236" spans="1:14" ht="18" hidden="1" customHeight="1">
      <c r="A236" s="646"/>
      <c r="B236" s="648"/>
      <c r="C236" s="648"/>
      <c r="D236" s="648" t="s">
        <v>509</v>
      </c>
      <c r="E236" s="648"/>
      <c r="F236" s="648"/>
      <c r="G236" s="649"/>
      <c r="H236" s="650"/>
      <c r="I236" s="708"/>
      <c r="J236" s="746"/>
      <c r="K236" s="747"/>
      <c r="L236" s="748"/>
      <c r="M236" s="747"/>
      <c r="N236" s="747"/>
    </row>
    <row r="237" spans="1:14" ht="18" hidden="1" customHeight="1">
      <c r="A237" s="646"/>
      <c r="B237" s="648"/>
      <c r="C237" s="648"/>
      <c r="D237" s="648"/>
      <c r="E237" s="648" t="s">
        <v>584</v>
      </c>
      <c r="F237" s="648"/>
      <c r="G237" s="685" t="s">
        <v>759</v>
      </c>
      <c r="H237" s="650" t="s">
        <v>737</v>
      </c>
      <c r="I237" s="708" t="s">
        <v>742</v>
      </c>
      <c r="J237" s="746">
        <v>244670</v>
      </c>
      <c r="K237" s="747">
        <v>250510</v>
      </c>
      <c r="L237" s="748">
        <v>30000</v>
      </c>
      <c r="M237" s="747">
        <f t="shared" si="3"/>
        <v>280510</v>
      </c>
      <c r="N237" s="747">
        <v>230000</v>
      </c>
    </row>
    <row r="238" spans="1:14" ht="18" hidden="1" customHeight="1">
      <c r="A238" s="646"/>
      <c r="B238" s="648"/>
      <c r="C238" s="648"/>
      <c r="D238" s="648"/>
      <c r="E238" s="648" t="s">
        <v>585</v>
      </c>
      <c r="F238" s="648"/>
      <c r="G238" s="685" t="s">
        <v>760</v>
      </c>
      <c r="H238" s="650" t="s">
        <v>749</v>
      </c>
      <c r="I238" s="708" t="s">
        <v>742</v>
      </c>
      <c r="J238" s="746">
        <v>1068502</v>
      </c>
      <c r="K238" s="747">
        <v>204000</v>
      </c>
      <c r="L238" s="748">
        <v>896000</v>
      </c>
      <c r="M238" s="747">
        <f t="shared" si="3"/>
        <v>1100000</v>
      </c>
      <c r="N238" s="747">
        <v>300000</v>
      </c>
    </row>
    <row r="239" spans="1:14" ht="18" hidden="1" customHeight="1">
      <c r="A239" s="646"/>
      <c r="B239" s="648"/>
      <c r="C239" s="648"/>
      <c r="D239" s="648"/>
      <c r="E239" s="648" t="s">
        <v>586</v>
      </c>
      <c r="F239" s="648"/>
      <c r="G239" s="685" t="s">
        <v>761</v>
      </c>
      <c r="H239" s="650" t="s">
        <v>749</v>
      </c>
      <c r="I239" s="708" t="s">
        <v>742</v>
      </c>
      <c r="J239" s="746">
        <v>287550</v>
      </c>
      <c r="K239" s="747">
        <v>64040</v>
      </c>
      <c r="L239" s="748">
        <v>195960</v>
      </c>
      <c r="M239" s="747">
        <f t="shared" si="3"/>
        <v>260000</v>
      </c>
      <c r="N239" s="747">
        <v>100000</v>
      </c>
    </row>
    <row r="240" spans="1:14" ht="18" hidden="1" customHeight="1">
      <c r="A240" s="646"/>
      <c r="B240" s="648"/>
      <c r="C240" s="648"/>
      <c r="D240" s="648"/>
      <c r="E240" s="648" t="s">
        <v>587</v>
      </c>
      <c r="F240" s="648"/>
      <c r="G240" s="685" t="s">
        <v>762</v>
      </c>
      <c r="H240" s="650" t="s">
        <v>750</v>
      </c>
      <c r="I240" s="708" t="s">
        <v>742</v>
      </c>
      <c r="J240" s="746">
        <v>339135</v>
      </c>
      <c r="K240" s="747">
        <v>316975</v>
      </c>
      <c r="L240" s="748">
        <v>3025</v>
      </c>
      <c r="M240" s="747">
        <f t="shared" si="3"/>
        <v>320000</v>
      </c>
      <c r="N240" s="747">
        <v>320000</v>
      </c>
    </row>
    <row r="241" spans="1:14" ht="18" hidden="1" customHeight="1">
      <c r="A241" s="646"/>
      <c r="B241" s="648"/>
      <c r="C241" s="648"/>
      <c r="D241" s="648"/>
      <c r="E241" s="648" t="s">
        <v>588</v>
      </c>
      <c r="F241" s="648"/>
      <c r="G241" s="649"/>
      <c r="H241" s="650"/>
      <c r="I241" s="708"/>
      <c r="J241" s="746"/>
      <c r="K241" s="747"/>
      <c r="L241" s="748"/>
      <c r="M241" s="747"/>
      <c r="N241" s="747"/>
    </row>
    <row r="242" spans="1:14" ht="18" hidden="1" customHeight="1">
      <c r="A242" s="646"/>
      <c r="B242" s="648"/>
      <c r="C242" s="648"/>
      <c r="D242" s="648"/>
      <c r="E242" s="648"/>
      <c r="F242" s="648" t="s">
        <v>589</v>
      </c>
      <c r="G242" s="685" t="s">
        <v>763</v>
      </c>
      <c r="H242" s="650" t="s">
        <v>751</v>
      </c>
      <c r="I242" s="708" t="s">
        <v>742</v>
      </c>
      <c r="J242" s="746">
        <v>2677346</v>
      </c>
      <c r="K242" s="747">
        <v>1883214</v>
      </c>
      <c r="L242" s="748">
        <f>2900000-K242</f>
        <v>1016786</v>
      </c>
      <c r="M242" s="747">
        <f t="shared" si="3"/>
        <v>2900000</v>
      </c>
      <c r="N242" s="747">
        <v>2900000</v>
      </c>
    </row>
    <row r="243" spans="1:14" ht="18" hidden="1" customHeight="1">
      <c r="A243" s="646"/>
      <c r="B243" s="648"/>
      <c r="C243" s="648"/>
      <c r="D243" s="648"/>
      <c r="E243" s="648"/>
      <c r="F243" s="648" t="s">
        <v>590</v>
      </c>
      <c r="G243" s="685" t="s">
        <v>764</v>
      </c>
      <c r="H243" s="650" t="s">
        <v>751</v>
      </c>
      <c r="I243" s="708" t="s">
        <v>742</v>
      </c>
      <c r="J243" s="746">
        <v>1606630</v>
      </c>
      <c r="K243" s="747">
        <v>908860</v>
      </c>
      <c r="L243" s="748">
        <v>591140</v>
      </c>
      <c r="M243" s="747">
        <f t="shared" si="3"/>
        <v>1500000</v>
      </c>
      <c r="N243" s="747">
        <v>1500000</v>
      </c>
    </row>
    <row r="244" spans="1:14" ht="18" hidden="1" customHeight="1">
      <c r="A244" s="646"/>
      <c r="B244" s="648"/>
      <c r="C244" s="648"/>
      <c r="D244" s="648"/>
      <c r="E244" s="648"/>
      <c r="F244" s="648" t="s">
        <v>591</v>
      </c>
      <c r="G244" s="685" t="s">
        <v>765</v>
      </c>
      <c r="H244" s="650" t="s">
        <v>751</v>
      </c>
      <c r="I244" s="708" t="s">
        <v>742</v>
      </c>
      <c r="J244" s="746">
        <v>1348016.2</v>
      </c>
      <c r="K244" s="747">
        <v>776080.65</v>
      </c>
      <c r="L244" s="748">
        <v>523919.35</v>
      </c>
      <c r="M244" s="747">
        <f t="shared" si="3"/>
        <v>1300000</v>
      </c>
      <c r="N244" s="747">
        <v>1300000</v>
      </c>
    </row>
    <row r="245" spans="1:14" ht="18" hidden="1" customHeight="1" thickBot="1">
      <c r="A245" s="655"/>
      <c r="B245" s="656"/>
      <c r="C245" s="656"/>
      <c r="D245" s="656"/>
      <c r="E245" s="656"/>
      <c r="F245" s="656" t="s">
        <v>592</v>
      </c>
      <c r="G245" s="686" t="s">
        <v>766</v>
      </c>
      <c r="H245" s="658" t="s">
        <v>751</v>
      </c>
      <c r="I245" s="712" t="s">
        <v>742</v>
      </c>
      <c r="J245" s="756">
        <v>0</v>
      </c>
      <c r="K245" s="757">
        <v>11400</v>
      </c>
      <c r="L245" s="748">
        <v>0</v>
      </c>
      <c r="M245" s="757">
        <f t="shared" si="3"/>
        <v>11400</v>
      </c>
      <c r="N245" s="758">
        <v>0</v>
      </c>
    </row>
    <row r="246" spans="1:14" s="7" customFormat="1" ht="18" hidden="1" customHeight="1" thickBot="1">
      <c r="A246" s="700"/>
      <c r="B246" s="666"/>
      <c r="C246" s="666" t="s">
        <v>8</v>
      </c>
      <c r="D246" s="666"/>
      <c r="E246" s="666"/>
      <c r="F246" s="666"/>
      <c r="G246" s="667"/>
      <c r="H246" s="668"/>
      <c r="I246" s="714"/>
      <c r="J246" s="751">
        <f>SUM(J230:J245)</f>
        <v>8800517.8100000005</v>
      </c>
      <c r="K246" s="751">
        <f>SUM(K230:K245)</f>
        <v>5668886.6200000001</v>
      </c>
      <c r="L246" s="752">
        <f>SUM(L230:L245)</f>
        <v>3429830.35</v>
      </c>
      <c r="M246" s="751">
        <f>SUM(M230:M245)</f>
        <v>9098716.9699999988</v>
      </c>
      <c r="N246" s="759">
        <f>SUM(N230:N245)</f>
        <v>8625000</v>
      </c>
    </row>
    <row r="247" spans="1:14" s="7" customFormat="1" ht="18" hidden="1" customHeight="1" thickBot="1">
      <c r="A247" s="700" t="s">
        <v>9</v>
      </c>
      <c r="B247" s="666"/>
      <c r="C247" s="666"/>
      <c r="D247" s="666"/>
      <c r="E247" s="666"/>
      <c r="F247" s="666"/>
      <c r="G247" s="667"/>
      <c r="H247" s="668"/>
      <c r="I247" s="714"/>
      <c r="J247" s="751">
        <f>SUM(J246+J227+J220)</f>
        <v>13238993.4</v>
      </c>
      <c r="K247" s="751">
        <f>SUM(K246+K227+K220)</f>
        <v>10657154.449999999</v>
      </c>
      <c r="L247" s="752">
        <f>SUM(L246+L227+L220)</f>
        <v>5089830.3499999996</v>
      </c>
      <c r="M247" s="751">
        <f>SUM(M246+M227+M220)</f>
        <v>15746984.799999999</v>
      </c>
      <c r="N247" s="759">
        <f>SUM(N246+N227+N220)</f>
        <v>8625000</v>
      </c>
    </row>
    <row r="248" spans="1:14" s="7" customFormat="1" ht="18" hidden="1" customHeight="1">
      <c r="A248" s="702"/>
      <c r="B248" s="702"/>
      <c r="C248" s="702"/>
      <c r="D248" s="702"/>
      <c r="E248" s="702"/>
      <c r="F248" s="702"/>
      <c r="G248" s="852"/>
      <c r="H248" s="860"/>
      <c r="I248" s="703"/>
      <c r="J248" s="760"/>
      <c r="K248" s="760"/>
      <c r="L248" s="761"/>
      <c r="M248" s="761"/>
      <c r="N248" s="760"/>
    </row>
    <row r="249" spans="1:14" s="7" customFormat="1" ht="18" hidden="1" customHeight="1">
      <c r="A249" s="702"/>
      <c r="B249" s="702"/>
      <c r="C249" s="702"/>
      <c r="D249" s="702"/>
      <c r="E249" s="702"/>
      <c r="F249" s="702"/>
      <c r="G249" s="1090"/>
      <c r="H249" s="885"/>
      <c r="I249" s="703"/>
      <c r="J249" s="760"/>
      <c r="K249" s="760"/>
      <c r="L249" s="761"/>
      <c r="M249" s="761"/>
      <c r="N249" s="760"/>
    </row>
    <row r="250" spans="1:14" s="7" customFormat="1" ht="18" hidden="1" customHeight="1">
      <c r="A250" s="1245" t="s">
        <v>575</v>
      </c>
      <c r="B250" s="1245"/>
      <c r="C250" s="1245"/>
      <c r="D250" s="1245"/>
      <c r="E250" s="1245"/>
      <c r="F250" s="1245"/>
      <c r="G250" s="1245"/>
      <c r="H250" s="1245"/>
      <c r="I250" s="1245"/>
      <c r="J250" s="1245"/>
      <c r="K250" s="1245"/>
      <c r="L250" s="1245"/>
      <c r="M250" s="1245"/>
      <c r="N250" s="1245"/>
    </row>
    <row r="251" spans="1:14" s="7" customFormat="1" ht="18" hidden="1" customHeight="1">
      <c r="A251" s="1245" t="s">
        <v>358</v>
      </c>
      <c r="B251" s="1245"/>
      <c r="C251" s="1245"/>
      <c r="D251" s="1245"/>
      <c r="E251" s="1245"/>
      <c r="F251" s="1245"/>
      <c r="G251" s="1245"/>
      <c r="H251" s="1245"/>
      <c r="I251" s="1245"/>
      <c r="J251" s="1245"/>
      <c r="K251" s="1245"/>
      <c r="L251" s="1245"/>
      <c r="M251" s="1245"/>
      <c r="N251" s="1245"/>
    </row>
    <row r="252" spans="1:14" s="7" customFormat="1" ht="18" hidden="1" customHeight="1">
      <c r="A252" s="851"/>
      <c r="B252" s="851"/>
      <c r="C252" s="851"/>
      <c r="D252" s="851"/>
      <c r="E252" s="851"/>
      <c r="F252" s="851"/>
      <c r="G252" s="851"/>
      <c r="H252" s="851"/>
      <c r="I252" s="858"/>
      <c r="J252" s="851"/>
      <c r="K252" s="851"/>
      <c r="L252" s="622"/>
      <c r="M252" s="622"/>
      <c r="N252" s="851"/>
    </row>
    <row r="253" spans="1:14" s="7" customFormat="1" ht="18" hidden="1" customHeight="1" thickBot="1">
      <c r="A253" s="1245" t="s">
        <v>10</v>
      </c>
      <c r="B253" s="1245"/>
      <c r="C253" s="1245"/>
      <c r="D253" s="1245"/>
      <c r="E253" s="1245"/>
      <c r="F253" s="1245"/>
      <c r="G253" s="1245"/>
      <c r="H253" s="1245"/>
      <c r="I253" s="1245"/>
      <c r="J253" s="1245"/>
      <c r="K253" s="1245"/>
      <c r="L253" s="1245"/>
      <c r="M253" s="1245"/>
      <c r="N253" s="1245"/>
    </row>
    <row r="254" spans="1:14" s="7" customFormat="1" ht="18" hidden="1" customHeight="1">
      <c r="A254" s="623"/>
      <c r="B254" s="624"/>
      <c r="C254" s="624"/>
      <c r="D254" s="624"/>
      <c r="E254" s="624"/>
      <c r="F254" s="624"/>
      <c r="G254" s="625"/>
      <c r="H254" s="626"/>
      <c r="I254" s="626"/>
      <c r="J254" s="626"/>
      <c r="K254" s="1246"/>
      <c r="L254" s="1247"/>
      <c r="M254" s="1248"/>
      <c r="N254" s="627"/>
    </row>
    <row r="255" spans="1:14" s="7" customFormat="1" ht="18" hidden="1" customHeight="1">
      <c r="A255" s="1249" t="s">
        <v>3</v>
      </c>
      <c r="B255" s="1238"/>
      <c r="C255" s="1238"/>
      <c r="D255" s="1238"/>
      <c r="E255" s="1238"/>
      <c r="F255" s="1238"/>
      <c r="G255" s="628"/>
      <c r="H255" s="628" t="s">
        <v>1</v>
      </c>
      <c r="I255" s="629" t="s">
        <v>2</v>
      </c>
      <c r="J255" s="628" t="s">
        <v>6</v>
      </c>
      <c r="K255" s="1240" t="s">
        <v>630</v>
      </c>
      <c r="L255" s="1241"/>
      <c r="M255" s="1242"/>
      <c r="N255" s="630" t="s">
        <v>7</v>
      </c>
    </row>
    <row r="256" spans="1:14" s="7" customFormat="1" ht="18" hidden="1" customHeight="1">
      <c r="A256" s="631"/>
      <c r="B256" s="619"/>
      <c r="C256" s="619"/>
      <c r="D256" s="619"/>
      <c r="E256" s="619"/>
      <c r="F256" s="619"/>
      <c r="G256" s="632"/>
      <c r="H256" s="628" t="s">
        <v>4</v>
      </c>
      <c r="I256" s="629" t="s">
        <v>5</v>
      </c>
      <c r="J256" s="633">
        <v>2020</v>
      </c>
      <c r="K256" s="628" t="s">
        <v>571</v>
      </c>
      <c r="L256" s="634" t="s">
        <v>574</v>
      </c>
      <c r="M256" s="707" t="s">
        <v>1629</v>
      </c>
      <c r="N256" s="635" t="s">
        <v>1674</v>
      </c>
    </row>
    <row r="257" spans="1:14" s="7" customFormat="1" ht="18" hidden="1" customHeight="1">
      <c r="A257" s="631"/>
      <c r="B257" s="619"/>
      <c r="C257" s="619"/>
      <c r="D257" s="619"/>
      <c r="E257" s="619"/>
      <c r="F257" s="619"/>
      <c r="G257" s="632"/>
      <c r="H257" s="628"/>
      <c r="I257" s="628"/>
      <c r="J257" s="628" t="s">
        <v>571</v>
      </c>
      <c r="K257" s="628">
        <v>2021</v>
      </c>
      <c r="L257" s="628">
        <v>2021</v>
      </c>
      <c r="M257" s="634" t="s">
        <v>949</v>
      </c>
      <c r="N257" s="630" t="s">
        <v>576</v>
      </c>
    </row>
    <row r="258" spans="1:14" s="7" customFormat="1" ht="18" hidden="1" customHeight="1" thickBot="1">
      <c r="A258" s="762"/>
      <c r="B258" s="763"/>
      <c r="C258" s="763"/>
      <c r="D258" s="763"/>
      <c r="E258" s="763"/>
      <c r="F258" s="763"/>
      <c r="G258" s="636"/>
      <c r="H258" s="636"/>
      <c r="I258" s="636"/>
      <c r="J258" s="636"/>
      <c r="K258" s="636"/>
      <c r="L258" s="637"/>
      <c r="M258" s="637"/>
      <c r="N258" s="638"/>
    </row>
    <row r="259" spans="1:14" ht="18" hidden="1" customHeight="1">
      <c r="A259" s="672" t="s">
        <v>523</v>
      </c>
      <c r="B259" s="673" t="s">
        <v>524</v>
      </c>
      <c r="C259" s="673"/>
      <c r="D259" s="673"/>
      <c r="E259" s="673"/>
      <c r="F259" s="673"/>
      <c r="G259" s="694"/>
      <c r="H259" s="675"/>
      <c r="I259" s="720"/>
      <c r="J259" s="753"/>
      <c r="K259" s="754"/>
      <c r="L259" s="755"/>
      <c r="M259" s="755"/>
      <c r="N259" s="754"/>
    </row>
    <row r="260" spans="1:14" ht="18" hidden="1" customHeight="1">
      <c r="A260" s="680"/>
      <c r="B260" s="681" t="s">
        <v>366</v>
      </c>
      <c r="C260" s="681"/>
      <c r="D260" s="681"/>
      <c r="E260" s="681"/>
      <c r="F260" s="681"/>
      <c r="G260" s="649"/>
      <c r="H260" s="650"/>
      <c r="I260" s="708"/>
      <c r="J260" s="746"/>
      <c r="K260" s="747"/>
      <c r="L260" s="748"/>
      <c r="M260" s="748"/>
      <c r="N260" s="747"/>
    </row>
    <row r="261" spans="1:14" ht="18" hidden="1" customHeight="1">
      <c r="A261" s="646"/>
      <c r="B261" s="648"/>
      <c r="C261" s="648" t="s">
        <v>525</v>
      </c>
      <c r="D261" s="648"/>
      <c r="E261" s="648"/>
      <c r="F261" s="648"/>
      <c r="G261" s="649"/>
      <c r="H261" s="650"/>
      <c r="I261" s="708"/>
      <c r="J261" s="746"/>
      <c r="K261" s="747"/>
      <c r="L261" s="748"/>
      <c r="M261" s="748"/>
      <c r="N261" s="747"/>
    </row>
    <row r="262" spans="1:14" ht="18" hidden="1" customHeight="1">
      <c r="A262" s="646"/>
      <c r="B262" s="648"/>
      <c r="C262" s="648"/>
      <c r="D262" s="648" t="s">
        <v>526</v>
      </c>
      <c r="E262" s="648"/>
      <c r="F262" s="648"/>
      <c r="G262" s="649" t="s">
        <v>594</v>
      </c>
      <c r="H262" s="650" t="s">
        <v>687</v>
      </c>
      <c r="I262" s="708"/>
      <c r="J262" s="746">
        <f>'LBP NO. 2'!I990</f>
        <v>3363576</v>
      </c>
      <c r="K262" s="746">
        <f>'LBP NO. 2'!J990</f>
        <v>1746652.99</v>
      </c>
      <c r="L262" s="746">
        <f>'LBP NO. 2'!K990</f>
        <v>2036212.01</v>
      </c>
      <c r="M262" s="746">
        <f>'LBP NO. 2'!L990</f>
        <v>3782865</v>
      </c>
      <c r="N262" s="746">
        <f>'LBP NO. 2'!M990</f>
        <v>3940171</v>
      </c>
    </row>
    <row r="263" spans="1:14" ht="18" hidden="1" customHeight="1">
      <c r="A263" s="646"/>
      <c r="B263" s="648"/>
      <c r="C263" s="648"/>
      <c r="D263" s="648" t="s">
        <v>428</v>
      </c>
      <c r="E263" s="648"/>
      <c r="F263" s="648"/>
      <c r="G263" s="649" t="s">
        <v>398</v>
      </c>
      <c r="H263" s="650" t="s">
        <v>743</v>
      </c>
      <c r="I263" s="708"/>
      <c r="J263" s="764">
        <f>'LBP NO. 2'!I991</f>
        <v>1288001</v>
      </c>
      <c r="K263" s="764">
        <f>'LBP NO. 2'!J991</f>
        <v>613740</v>
      </c>
      <c r="L263" s="764">
        <f>'LBP NO. 2'!K991</f>
        <v>613740</v>
      </c>
      <c r="M263" s="764">
        <f>'LBP NO. 2'!L991</f>
        <v>1227480</v>
      </c>
      <c r="N263" s="764">
        <f>'LBP NO. 2'!M991</f>
        <v>0</v>
      </c>
    </row>
    <row r="264" spans="1:14" ht="18" hidden="1" customHeight="1">
      <c r="A264" s="646"/>
      <c r="B264" s="648"/>
      <c r="C264" s="648" t="s">
        <v>527</v>
      </c>
      <c r="D264" s="648"/>
      <c r="E264" s="648"/>
      <c r="F264" s="648"/>
      <c r="G264" s="649"/>
      <c r="H264" s="650"/>
      <c r="I264" s="708"/>
      <c r="J264" s="746"/>
      <c r="K264" s="747"/>
      <c r="L264" s="748"/>
      <c r="M264" s="747"/>
      <c r="N264" s="747"/>
    </row>
    <row r="265" spans="1:14" ht="18" hidden="1" customHeight="1">
      <c r="A265" s="646"/>
      <c r="B265" s="648"/>
      <c r="C265" s="648"/>
      <c r="D265" s="648" t="s">
        <v>528</v>
      </c>
      <c r="E265" s="648"/>
      <c r="F265" s="648"/>
      <c r="G265" s="649" t="s">
        <v>595</v>
      </c>
      <c r="H265" s="650" t="s">
        <v>688</v>
      </c>
      <c r="I265" s="708"/>
      <c r="J265" s="746">
        <f>'LBP NO. 2'!I993</f>
        <v>799818.18</v>
      </c>
      <c r="K265" s="746">
        <f>'LBP NO. 2'!J993</f>
        <v>392000</v>
      </c>
      <c r="L265" s="746">
        <f>'LBP NO. 2'!K993</f>
        <v>424000</v>
      </c>
      <c r="M265" s="746">
        <f>'LBP NO. 2'!L993</f>
        <v>816000</v>
      </c>
      <c r="N265" s="746">
        <f>'LBP NO. 2'!M993</f>
        <v>576000</v>
      </c>
    </row>
    <row r="266" spans="1:14" ht="18" hidden="1" customHeight="1">
      <c r="A266" s="646"/>
      <c r="B266" s="648"/>
      <c r="C266" s="648"/>
      <c r="D266" s="648" t="s">
        <v>539</v>
      </c>
      <c r="E266" s="648"/>
      <c r="F266" s="648"/>
      <c r="G266" s="649" t="s">
        <v>598</v>
      </c>
      <c r="H266" s="650" t="s">
        <v>691</v>
      </c>
      <c r="I266" s="708"/>
      <c r="J266" s="746">
        <f>'LBP NO. 2'!I994</f>
        <v>198000</v>
      </c>
      <c r="K266" s="746">
        <f>'LBP NO. 2'!J994</f>
        <v>198000</v>
      </c>
      <c r="L266" s="746">
        <f>'LBP NO. 2'!K994</f>
        <v>6000</v>
      </c>
      <c r="M266" s="746">
        <f>'LBP NO. 2'!L994</f>
        <v>204000</v>
      </c>
      <c r="N266" s="746">
        <f>'LBP NO. 2'!M994</f>
        <v>144000</v>
      </c>
    </row>
    <row r="267" spans="1:14" ht="18" hidden="1" customHeight="1">
      <c r="A267" s="646"/>
      <c r="B267" s="648"/>
      <c r="C267" s="648"/>
      <c r="D267" s="648" t="s">
        <v>540</v>
      </c>
      <c r="E267" s="648"/>
      <c r="F267" s="648"/>
      <c r="G267" s="649" t="s">
        <v>599</v>
      </c>
      <c r="H267" s="650" t="s">
        <v>708</v>
      </c>
      <c r="I267" s="708"/>
      <c r="J267" s="764">
        <f>'LBP NO. 2'!I995</f>
        <v>18375</v>
      </c>
      <c r="K267" s="764">
        <f>'LBP NO. 2'!J995</f>
        <v>6000</v>
      </c>
      <c r="L267" s="764">
        <f>'LBP NO. 2'!K995</f>
        <v>13800</v>
      </c>
      <c r="M267" s="764">
        <f>'LBP NO. 2'!L995</f>
        <v>19800</v>
      </c>
      <c r="N267" s="764">
        <f>'LBP NO. 2'!M995</f>
        <v>19800</v>
      </c>
    </row>
    <row r="268" spans="1:14" ht="18" hidden="1" customHeight="1">
      <c r="A268" s="646"/>
      <c r="B268" s="648"/>
      <c r="C268" s="648"/>
      <c r="D268" s="648" t="s">
        <v>795</v>
      </c>
      <c r="E268" s="648"/>
      <c r="F268" s="648"/>
      <c r="G268" s="685" t="s">
        <v>600</v>
      </c>
      <c r="H268" s="650" t="s">
        <v>692</v>
      </c>
      <c r="I268" s="708"/>
      <c r="J268" s="746">
        <f>'LBP NO. 2'!I996</f>
        <v>167500</v>
      </c>
      <c r="K268" s="746">
        <f>'LBP NO. 2'!J996</f>
        <v>0</v>
      </c>
      <c r="L268" s="746">
        <f>'LBP NO. 2'!K996</f>
        <v>170000</v>
      </c>
      <c r="M268" s="746">
        <f>'LBP NO. 2'!L996</f>
        <v>170000</v>
      </c>
      <c r="N268" s="746">
        <f>'LBP NO. 2'!M996</f>
        <v>120000</v>
      </c>
    </row>
    <row r="269" spans="1:14" ht="18" hidden="1" customHeight="1">
      <c r="A269" s="646"/>
      <c r="B269" s="648"/>
      <c r="C269" s="648"/>
      <c r="D269" s="648" t="s">
        <v>541</v>
      </c>
      <c r="E269" s="648"/>
      <c r="F269" s="648"/>
      <c r="G269" s="649" t="s">
        <v>433</v>
      </c>
      <c r="H269" s="650" t="s">
        <v>693</v>
      </c>
      <c r="I269" s="708"/>
      <c r="J269" s="746">
        <f>'LBP NO. 2'!I997</f>
        <v>30000</v>
      </c>
      <c r="K269" s="746">
        <f>'LBP NO. 2'!J997</f>
        <v>0</v>
      </c>
      <c r="L269" s="746">
        <f>'LBP NO. 2'!K997</f>
        <v>15000</v>
      </c>
      <c r="M269" s="746">
        <f>'LBP NO. 2'!L997</f>
        <v>15000</v>
      </c>
      <c r="N269" s="746">
        <f>'LBP NO. 2'!M997</f>
        <v>15000</v>
      </c>
    </row>
    <row r="270" spans="1:14" ht="18" hidden="1" customHeight="1">
      <c r="A270" s="646"/>
      <c r="B270" s="648"/>
      <c r="C270" s="648"/>
      <c r="D270" s="648" t="s">
        <v>1630</v>
      </c>
      <c r="E270" s="648"/>
      <c r="F270" s="648"/>
      <c r="G270" s="649"/>
      <c r="H270" s="650" t="str">
        <f>'LBP NO. 2'!H998</f>
        <v>5-01-02-990</v>
      </c>
      <c r="I270" s="708"/>
      <c r="J270" s="746">
        <f>'LBP NO. 2'!I998</f>
        <v>0</v>
      </c>
      <c r="K270" s="746">
        <f>'LBP NO. 2'!J998</f>
        <v>93000</v>
      </c>
      <c r="L270" s="746">
        <f>'LBP NO. 2'!K998</f>
        <v>0</v>
      </c>
      <c r="M270" s="746">
        <f>'LBP NO. 2'!L998</f>
        <v>93000</v>
      </c>
      <c r="N270" s="746">
        <f>'LBP NO. 2'!M998</f>
        <v>0</v>
      </c>
    </row>
    <row r="271" spans="1:14" ht="18" hidden="1" customHeight="1">
      <c r="A271" s="646"/>
      <c r="B271" s="648"/>
      <c r="C271" s="648"/>
      <c r="D271" s="648" t="s">
        <v>543</v>
      </c>
      <c r="E271" s="648"/>
      <c r="F271" s="648"/>
      <c r="G271" s="649" t="s">
        <v>601</v>
      </c>
      <c r="H271" s="650" t="s">
        <v>709</v>
      </c>
      <c r="I271" s="708"/>
      <c r="J271" s="764">
        <f>'LBP NO. 2'!I1000</f>
        <v>10668</v>
      </c>
      <c r="K271" s="764">
        <f>'LBP NO. 2'!J1000</f>
        <v>3556</v>
      </c>
      <c r="L271" s="764">
        <f>'LBP NO. 2'!K1000</f>
        <v>17780</v>
      </c>
      <c r="M271" s="764">
        <f>'LBP NO. 2'!L1000</f>
        <v>21336</v>
      </c>
      <c r="N271" s="764">
        <f>'LBP NO. 2'!M1000</f>
        <v>21336</v>
      </c>
    </row>
    <row r="272" spans="1:14" ht="18" hidden="1" customHeight="1">
      <c r="A272" s="646"/>
      <c r="B272" s="648"/>
      <c r="C272" s="648"/>
      <c r="D272" s="648" t="s">
        <v>367</v>
      </c>
      <c r="E272" s="648"/>
      <c r="F272" s="648"/>
      <c r="G272" s="649" t="s">
        <v>602</v>
      </c>
      <c r="H272" s="650" t="s">
        <v>710</v>
      </c>
      <c r="I272" s="708"/>
      <c r="J272" s="746">
        <f>'LBP NO. 2'!I1001</f>
        <v>50000</v>
      </c>
      <c r="K272" s="746">
        <f>'LBP NO. 2'!J1001</f>
        <v>0</v>
      </c>
      <c r="L272" s="746">
        <f>'LBP NO. 2'!K1001</f>
        <v>70000</v>
      </c>
      <c r="M272" s="746">
        <f>'LBP NO. 2'!L1001</f>
        <v>70000</v>
      </c>
      <c r="N272" s="746">
        <f>'LBP NO. 2'!M1001</f>
        <v>100000</v>
      </c>
    </row>
    <row r="273" spans="1:14" ht="18" hidden="1" customHeight="1">
      <c r="A273" s="646"/>
      <c r="B273" s="648"/>
      <c r="C273" s="648"/>
      <c r="D273" s="648" t="s">
        <v>544</v>
      </c>
      <c r="E273" s="648"/>
      <c r="F273" s="648"/>
      <c r="G273" s="649" t="s">
        <v>603</v>
      </c>
      <c r="H273" s="650" t="s">
        <v>694</v>
      </c>
      <c r="I273" s="708"/>
      <c r="J273" s="746">
        <f>'LBP NO. 2'!I1002</f>
        <v>167000</v>
      </c>
      <c r="K273" s="746">
        <f>'LBP NO. 2'!J1002</f>
        <v>0</v>
      </c>
      <c r="L273" s="746">
        <f>'LBP NO. 2'!K1002</f>
        <v>170000</v>
      </c>
      <c r="M273" s="746">
        <f>'LBP NO. 2'!L1002</f>
        <v>170000</v>
      </c>
      <c r="N273" s="746">
        <f>'LBP NO. 2'!M1002</f>
        <v>120000</v>
      </c>
    </row>
    <row r="274" spans="1:14" ht="18" hidden="1" customHeight="1">
      <c r="A274" s="646"/>
      <c r="B274" s="648"/>
      <c r="C274" s="648"/>
      <c r="D274" s="648" t="s">
        <v>910</v>
      </c>
      <c r="E274" s="648"/>
      <c r="F274" s="648"/>
      <c r="G274" s="649" t="s">
        <v>433</v>
      </c>
      <c r="H274" s="650" t="s">
        <v>693</v>
      </c>
      <c r="I274" s="708"/>
      <c r="J274" s="764">
        <f>'LBP NO. 2'!I1003</f>
        <v>385477</v>
      </c>
      <c r="K274" s="764">
        <f>'LBP NO. 2'!J1003</f>
        <v>393101</v>
      </c>
      <c r="L274" s="764">
        <f>'LBP NO. 2'!K1003</f>
        <v>23826</v>
      </c>
      <c r="M274" s="764">
        <f>'LBP NO. 2'!L1003</f>
        <v>416927</v>
      </c>
      <c r="N274" s="764">
        <f>'LBP NO. 2'!M1003</f>
        <v>328301</v>
      </c>
    </row>
    <row r="275" spans="1:14" ht="18" hidden="1" customHeight="1">
      <c r="A275" s="646"/>
      <c r="B275" s="648"/>
      <c r="C275" s="648"/>
      <c r="D275" s="648" t="s">
        <v>1513</v>
      </c>
      <c r="E275" s="648"/>
      <c r="F275" s="648"/>
      <c r="G275" s="649"/>
      <c r="H275" s="650" t="s">
        <v>693</v>
      </c>
      <c r="I275" s="708"/>
      <c r="J275" s="764">
        <f>'LBP NO. 2'!I999</f>
        <v>190105.74</v>
      </c>
      <c r="K275" s="764">
        <f>'LBP NO. 2'!J999</f>
        <v>0</v>
      </c>
      <c r="L275" s="764">
        <f>'LBP NO. 2'!K999</f>
        <v>0</v>
      </c>
      <c r="M275" s="764">
        <f>'LBP NO. 2'!L999</f>
        <v>0</v>
      </c>
      <c r="N275" s="764">
        <f>'LBP NO. 2'!M999</f>
        <v>220000</v>
      </c>
    </row>
    <row r="276" spans="1:14" ht="18" hidden="1" customHeight="1">
      <c r="A276" s="646"/>
      <c r="B276" s="648"/>
      <c r="C276" s="648"/>
      <c r="D276" s="648" t="s">
        <v>545</v>
      </c>
      <c r="E276" s="648"/>
      <c r="F276" s="648"/>
      <c r="G276" s="649" t="s">
        <v>604</v>
      </c>
      <c r="H276" s="650" t="s">
        <v>695</v>
      </c>
      <c r="I276" s="708"/>
      <c r="J276" s="746">
        <f>'LBP NO. 2'!I1004</f>
        <v>385118</v>
      </c>
      <c r="K276" s="746">
        <f>'LBP NO. 2'!J1004</f>
        <v>0</v>
      </c>
      <c r="L276" s="746">
        <f>'LBP NO. 2'!K1004</f>
        <v>417831</v>
      </c>
      <c r="M276" s="746">
        <f>'LBP NO. 2'!L1004</f>
        <v>417831</v>
      </c>
      <c r="N276" s="746">
        <f>'LBP NO. 2'!M1004</f>
        <v>328392</v>
      </c>
    </row>
    <row r="277" spans="1:14" ht="18" hidden="1" customHeight="1">
      <c r="A277" s="646"/>
      <c r="B277" s="648"/>
      <c r="C277" s="648"/>
      <c r="D277" s="648" t="s">
        <v>658</v>
      </c>
      <c r="E277" s="648"/>
      <c r="F277" s="648"/>
      <c r="G277" s="649" t="s">
        <v>605</v>
      </c>
      <c r="H277" s="650" t="s">
        <v>696</v>
      </c>
      <c r="I277" s="708"/>
      <c r="J277" s="746">
        <f>'LBP NO. 2'!I1005</f>
        <v>555841.07000000007</v>
      </c>
      <c r="K277" s="746">
        <f>'LBP NO. 2'!J1005</f>
        <v>282280.92</v>
      </c>
      <c r="L277" s="746">
        <f>'LBP NO. 2'!K1005</f>
        <v>322119.08</v>
      </c>
      <c r="M277" s="746">
        <f>'LBP NO. 2'!L1005</f>
        <v>604400</v>
      </c>
      <c r="N277" s="746">
        <f>'LBP NO. 2'!M1005</f>
        <v>474000</v>
      </c>
    </row>
    <row r="278" spans="1:14" ht="18" hidden="1" customHeight="1">
      <c r="A278" s="646"/>
      <c r="B278" s="648"/>
      <c r="C278" s="648"/>
      <c r="D278" s="648" t="s">
        <v>546</v>
      </c>
      <c r="E278" s="648"/>
      <c r="F278" s="648"/>
      <c r="G278" s="649" t="s">
        <v>606</v>
      </c>
      <c r="H278" s="650" t="s">
        <v>697</v>
      </c>
      <c r="I278" s="708"/>
      <c r="J278" s="746">
        <f>'LBP NO. 2'!I1006</f>
        <v>39900</v>
      </c>
      <c r="K278" s="746">
        <f>'LBP NO. 2'!J1006</f>
        <v>19600</v>
      </c>
      <c r="L278" s="746">
        <f>'LBP NO. 2'!K1006</f>
        <v>41600</v>
      </c>
      <c r="M278" s="746">
        <f>'LBP NO. 2'!L1006</f>
        <v>61200</v>
      </c>
      <c r="N278" s="746">
        <f>'LBP NO. 2'!M1006</f>
        <v>43200</v>
      </c>
    </row>
    <row r="279" spans="1:14" ht="18" hidden="1" customHeight="1">
      <c r="A279" s="646"/>
      <c r="B279" s="648"/>
      <c r="C279" s="648"/>
      <c r="D279" s="648" t="s">
        <v>547</v>
      </c>
      <c r="E279" s="648"/>
      <c r="F279" s="648"/>
      <c r="G279" s="649" t="s">
        <v>607</v>
      </c>
      <c r="H279" s="650" t="s">
        <v>698</v>
      </c>
      <c r="I279" s="708"/>
      <c r="J279" s="746">
        <f>'LBP NO. 2'!I1007</f>
        <v>69120</v>
      </c>
      <c r="K279" s="746">
        <f>'LBP NO. 2'!J1007</f>
        <v>34260</v>
      </c>
      <c r="L279" s="746">
        <f>'LBP NO. 2'!K1007</f>
        <v>77040</v>
      </c>
      <c r="M279" s="746">
        <f>'LBP NO. 2'!L1007</f>
        <v>111300</v>
      </c>
      <c r="N279" s="746">
        <f>'LBP NO. 2'!M1007</f>
        <v>80000</v>
      </c>
    </row>
    <row r="280" spans="1:14" ht="18" hidden="1" customHeight="1">
      <c r="A280" s="646"/>
      <c r="B280" s="648"/>
      <c r="C280" s="648"/>
      <c r="D280" s="648" t="s">
        <v>654</v>
      </c>
      <c r="E280" s="648"/>
      <c r="F280" s="648"/>
      <c r="G280" s="649" t="s">
        <v>608</v>
      </c>
      <c r="H280" s="650" t="s">
        <v>699</v>
      </c>
      <c r="I280" s="708"/>
      <c r="J280" s="746">
        <f>'LBP NO. 2'!I1008</f>
        <v>39419.29</v>
      </c>
      <c r="K280" s="746">
        <f>'LBP NO. 2'!J1008</f>
        <v>19111.32</v>
      </c>
      <c r="L280" s="746">
        <f>'LBP NO. 2'!K1008</f>
        <v>21688.68</v>
      </c>
      <c r="M280" s="746">
        <f>'LBP NO. 2'!L1008</f>
        <v>40800</v>
      </c>
      <c r="N280" s="746">
        <f>'LBP NO. 2'!M1008</f>
        <v>28800</v>
      </c>
    </row>
    <row r="281" spans="1:14" ht="18" hidden="1" customHeight="1">
      <c r="A281" s="646"/>
      <c r="B281" s="648"/>
      <c r="C281" s="648"/>
      <c r="D281" s="648" t="s">
        <v>372</v>
      </c>
      <c r="E281" s="648"/>
      <c r="F281" s="648"/>
      <c r="G281" s="685"/>
      <c r="H281" s="650" t="s">
        <v>700</v>
      </c>
      <c r="I281" s="708"/>
      <c r="J281" s="746">
        <f>'LBP NO. 2'!I1009</f>
        <v>0</v>
      </c>
      <c r="K281" s="746">
        <f>'LBP NO. 2'!J1009</f>
        <v>0</v>
      </c>
      <c r="L281" s="746">
        <f>'LBP NO. 2'!K1009</f>
        <v>0</v>
      </c>
      <c r="M281" s="746">
        <f>'LBP NO. 2'!L1009</f>
        <v>0</v>
      </c>
      <c r="N281" s="746">
        <f>'LBP NO. 2'!M1009</f>
        <v>0</v>
      </c>
    </row>
    <row r="282" spans="1:14" ht="18" hidden="1" customHeight="1">
      <c r="A282" s="646"/>
      <c r="B282" s="648"/>
      <c r="C282" s="648"/>
      <c r="D282" s="656" t="s">
        <v>549</v>
      </c>
      <c r="E282" s="656"/>
      <c r="F282" s="656"/>
      <c r="G282" s="686" t="s">
        <v>396</v>
      </c>
      <c r="H282" s="658" t="s">
        <v>711</v>
      </c>
      <c r="I282" s="708"/>
      <c r="J282" s="746">
        <f>'LBP NO. 2'!I1010</f>
        <v>404109.99</v>
      </c>
      <c r="K282" s="746">
        <f>'LBP NO. 2'!J1010</f>
        <v>363482.89</v>
      </c>
      <c r="L282" s="746">
        <f>'LBP NO. 2'!K1010</f>
        <v>0</v>
      </c>
      <c r="M282" s="746">
        <f>'LBP NO. 2'!L1010</f>
        <v>363482.89</v>
      </c>
      <c r="N282" s="746">
        <f>'LBP NO. 2'!M1010</f>
        <v>410000</v>
      </c>
    </row>
    <row r="283" spans="1:14" ht="18" hidden="1" customHeight="1" thickBot="1">
      <c r="A283" s="765"/>
      <c r="B283" s="619"/>
      <c r="C283" s="619"/>
      <c r="D283" s="656" t="s">
        <v>1514</v>
      </c>
      <c r="E283" s="656"/>
      <c r="F283" s="656"/>
      <c r="G283" s="686" t="s">
        <v>396</v>
      </c>
      <c r="H283" s="658" t="s">
        <v>711</v>
      </c>
      <c r="I283" s="766"/>
      <c r="J283" s="749">
        <f>'LBP NO. 2'!I1011</f>
        <v>334000</v>
      </c>
      <c r="K283" s="749">
        <f>'LBP NO. 2'!J1011</f>
        <v>0</v>
      </c>
      <c r="L283" s="749">
        <f>'LBP NO. 2'!K1011</f>
        <v>0</v>
      </c>
      <c r="M283" s="749">
        <f>'LBP NO. 2'!L1011</f>
        <v>0</v>
      </c>
      <c r="N283" s="749">
        <f>'LBP NO. 2'!M1011</f>
        <v>240000</v>
      </c>
    </row>
    <row r="284" spans="1:14" s="7" customFormat="1" ht="18" hidden="1" customHeight="1" thickBot="1">
      <c r="A284" s="700"/>
      <c r="B284" s="666"/>
      <c r="C284" s="666"/>
      <c r="D284" s="666" t="s">
        <v>371</v>
      </c>
      <c r="E284" s="666"/>
      <c r="F284" s="666"/>
      <c r="G284" s="667"/>
      <c r="H284" s="668"/>
      <c r="I284" s="714"/>
      <c r="J284" s="751">
        <f>SUM(J262:J283)</f>
        <v>8496029.2699999996</v>
      </c>
      <c r="K284" s="751">
        <f>SUM(K262:K283)</f>
        <v>4164785.12</v>
      </c>
      <c r="L284" s="752">
        <f>SUM(L262:L282)</f>
        <v>4440636.7699999996</v>
      </c>
      <c r="M284" s="751">
        <f>SUM(M262:M283)</f>
        <v>8605421.8900000006</v>
      </c>
      <c r="N284" s="759">
        <f>SUM(N262:N283)</f>
        <v>7209000</v>
      </c>
    </row>
    <row r="285" spans="1:14" ht="18" hidden="1" customHeight="1">
      <c r="A285" s="692"/>
      <c r="B285" s="768" t="s">
        <v>550</v>
      </c>
      <c r="C285" s="769"/>
      <c r="D285" s="769"/>
      <c r="E285" s="769"/>
      <c r="F285" s="769"/>
      <c r="G285" s="694"/>
      <c r="H285" s="675"/>
      <c r="I285" s="720"/>
      <c r="J285" s="753"/>
      <c r="K285" s="754"/>
      <c r="L285" s="755"/>
      <c r="M285" s="754"/>
      <c r="N285" s="754"/>
    </row>
    <row r="286" spans="1:14" ht="18" hidden="1" customHeight="1">
      <c r="A286" s="646"/>
      <c r="B286" s="648"/>
      <c r="C286" s="648"/>
      <c r="D286" s="648" t="s">
        <v>551</v>
      </c>
      <c r="E286" s="648"/>
      <c r="F286" s="648"/>
      <c r="G286" s="649" t="s">
        <v>384</v>
      </c>
      <c r="H286" s="650" t="s">
        <v>701</v>
      </c>
      <c r="I286" s="708"/>
      <c r="J286" s="746">
        <f>'LBP NO. 2'!I1014</f>
        <v>1500</v>
      </c>
      <c r="K286" s="746">
        <f>'LBP NO. 2'!J1014</f>
        <v>0</v>
      </c>
      <c r="L286" s="746">
        <f>'LBP NO. 2'!K1014</f>
        <v>44000</v>
      </c>
      <c r="M286" s="746">
        <f>'LBP NO. 2'!L1014</f>
        <v>44000</v>
      </c>
      <c r="N286" s="746">
        <f>'LBP NO. 2'!M1014</f>
        <v>44000</v>
      </c>
    </row>
    <row r="287" spans="1:14" ht="18" hidden="1" customHeight="1">
      <c r="A287" s="646"/>
      <c r="B287" s="648"/>
      <c r="C287" s="648"/>
      <c r="D287" s="648" t="s">
        <v>429</v>
      </c>
      <c r="E287" s="648"/>
      <c r="F287" s="648"/>
      <c r="G287" s="649" t="s">
        <v>385</v>
      </c>
      <c r="H287" s="650" t="s">
        <v>702</v>
      </c>
      <c r="I287" s="708"/>
      <c r="J287" s="764">
        <f>'LBP NO. 2'!I1015</f>
        <v>0</v>
      </c>
      <c r="K287" s="764">
        <f>'LBP NO. 2'!J1015</f>
        <v>0</v>
      </c>
      <c r="L287" s="764">
        <f>'LBP NO. 2'!K1015</f>
        <v>40000</v>
      </c>
      <c r="M287" s="764">
        <f>'LBP NO. 2'!L1015</f>
        <v>40000</v>
      </c>
      <c r="N287" s="764">
        <f>'LBP NO. 2'!M1015</f>
        <v>40000</v>
      </c>
    </row>
    <row r="288" spans="1:14" ht="18" hidden="1" customHeight="1">
      <c r="A288" s="646"/>
      <c r="B288" s="648"/>
      <c r="C288" s="648"/>
      <c r="D288" s="648" t="s">
        <v>378</v>
      </c>
      <c r="E288" s="648"/>
      <c r="F288" s="648"/>
      <c r="G288" s="649" t="s">
        <v>387</v>
      </c>
      <c r="H288" s="650" t="s">
        <v>703</v>
      </c>
      <c r="I288" s="708"/>
      <c r="J288" s="746">
        <f>'LBP NO. 2'!I1016</f>
        <v>275875</v>
      </c>
      <c r="K288" s="746">
        <f>'LBP NO. 2'!J1016</f>
        <v>60536</v>
      </c>
      <c r="L288" s="746">
        <f>'LBP NO. 2'!K1016</f>
        <v>269464</v>
      </c>
      <c r="M288" s="746">
        <f>'LBP NO. 2'!L1016</f>
        <v>330000</v>
      </c>
      <c r="N288" s="746">
        <f>'LBP NO. 2'!M1016</f>
        <v>450000</v>
      </c>
    </row>
    <row r="289" spans="1:14" ht="18" hidden="1" customHeight="1">
      <c r="A289" s="646"/>
      <c r="B289" s="648"/>
      <c r="C289" s="648"/>
      <c r="D289" s="648" t="s">
        <v>377</v>
      </c>
      <c r="E289" s="648"/>
      <c r="F289" s="648"/>
      <c r="G289" s="649" t="s">
        <v>621</v>
      </c>
      <c r="H289" s="650" t="s">
        <v>744</v>
      </c>
      <c r="I289" s="708"/>
      <c r="J289" s="746">
        <f>'LBP NO. 2'!I1017</f>
        <v>1169744.07</v>
      </c>
      <c r="K289" s="746">
        <f>'LBP NO. 2'!J1017</f>
        <v>852458.58</v>
      </c>
      <c r="L289" s="746">
        <f>'LBP NO. 2'!K1017</f>
        <v>1047541.42</v>
      </c>
      <c r="M289" s="746">
        <f>'LBP NO. 2'!L1017</f>
        <v>1900000</v>
      </c>
      <c r="N289" s="746">
        <f>'LBP NO. 2'!M1017</f>
        <v>0</v>
      </c>
    </row>
    <row r="290" spans="1:14" ht="18" hidden="1" customHeight="1">
      <c r="A290" s="646"/>
      <c r="B290" s="648"/>
      <c r="C290" s="648"/>
      <c r="D290" s="648" t="s">
        <v>557</v>
      </c>
      <c r="E290" s="648"/>
      <c r="F290" s="648"/>
      <c r="G290" s="649" t="s">
        <v>388</v>
      </c>
      <c r="H290" s="650" t="s">
        <v>705</v>
      </c>
      <c r="I290" s="708"/>
      <c r="J290" s="746">
        <f>'LBP NO. 2'!I1018</f>
        <v>6000</v>
      </c>
      <c r="K290" s="746">
        <f>'LBP NO. 2'!J1018</f>
        <v>6000</v>
      </c>
      <c r="L290" s="746">
        <f>'LBP NO. 2'!K1018</f>
        <v>6000</v>
      </c>
      <c r="M290" s="746">
        <f>'LBP NO. 2'!L1018</f>
        <v>12000</v>
      </c>
      <c r="N290" s="746">
        <f>'LBP NO. 2'!M1018</f>
        <v>36000</v>
      </c>
    </row>
    <row r="291" spans="1:14" ht="18" hidden="1" customHeight="1">
      <c r="A291" s="646"/>
      <c r="B291" s="648"/>
      <c r="C291" s="648"/>
      <c r="D291" s="648" t="s">
        <v>376</v>
      </c>
      <c r="E291" s="648"/>
      <c r="F291" s="648"/>
      <c r="G291" s="649" t="s">
        <v>622</v>
      </c>
      <c r="H291" s="650" t="s">
        <v>745</v>
      </c>
      <c r="I291" s="708"/>
      <c r="J291" s="746">
        <f>'LBP NO. 2'!I1019</f>
        <v>965725</v>
      </c>
      <c r="K291" s="746">
        <f>'LBP NO. 2'!J1019</f>
        <v>328825</v>
      </c>
      <c r="L291" s="746">
        <f>'LBP NO. 2'!K1019</f>
        <v>385293</v>
      </c>
      <c r="M291" s="746">
        <f>'LBP NO. 2'!L1019</f>
        <v>714118</v>
      </c>
      <c r="N291" s="746">
        <f>'LBP NO. 2'!M1019</f>
        <v>0</v>
      </c>
    </row>
    <row r="292" spans="1:14" ht="18" hidden="1" customHeight="1">
      <c r="A292" s="646"/>
      <c r="B292" s="648"/>
      <c r="C292" s="648"/>
      <c r="D292" s="648" t="s">
        <v>931</v>
      </c>
      <c r="E292" s="648"/>
      <c r="F292" s="648"/>
      <c r="G292" s="649" t="s">
        <v>389</v>
      </c>
      <c r="H292" s="650" t="s">
        <v>706</v>
      </c>
      <c r="I292" s="708"/>
      <c r="J292" s="746">
        <f>'LBP NO. 2'!I1021</f>
        <v>35755</v>
      </c>
      <c r="K292" s="746">
        <f>'LBP NO. 2'!J1021</f>
        <v>0</v>
      </c>
      <c r="L292" s="746">
        <f>'LBP NO. 2'!K1021</f>
        <v>40000</v>
      </c>
      <c r="M292" s="746">
        <f>'LBP NO. 2'!L1021</f>
        <v>40000</v>
      </c>
      <c r="N292" s="746">
        <f>'LBP NO. 2'!M1021</f>
        <v>40000</v>
      </c>
    </row>
    <row r="293" spans="1:14" ht="18" hidden="1" customHeight="1">
      <c r="A293" s="646"/>
      <c r="B293" s="648"/>
      <c r="C293" s="648"/>
      <c r="D293" s="648" t="s">
        <v>955</v>
      </c>
      <c r="E293" s="648"/>
      <c r="F293" s="648"/>
      <c r="G293" s="649"/>
      <c r="H293" s="650" t="s">
        <v>956</v>
      </c>
      <c r="I293" s="708"/>
      <c r="J293" s="746">
        <f>'LBP NO. 2'!I1020</f>
        <v>98770.559999999998</v>
      </c>
      <c r="K293" s="746">
        <f>'LBP NO. 2'!J1020</f>
        <v>0</v>
      </c>
      <c r="L293" s="746">
        <f>'LBP NO. 2'!K1020</f>
        <v>450000</v>
      </c>
      <c r="M293" s="746">
        <f>'LBP NO. 2'!L1020</f>
        <v>450000</v>
      </c>
      <c r="N293" s="746">
        <f>'LBP NO. 2'!M1020</f>
        <v>276000</v>
      </c>
    </row>
    <row r="294" spans="1:14" ht="18" hidden="1" customHeight="1">
      <c r="A294" s="646"/>
      <c r="B294" s="648"/>
      <c r="C294" s="648"/>
      <c r="D294" s="648" t="s">
        <v>375</v>
      </c>
      <c r="E294" s="648"/>
      <c r="F294" s="648"/>
      <c r="G294" s="649" t="s">
        <v>623</v>
      </c>
      <c r="H294" s="650" t="s">
        <v>746</v>
      </c>
      <c r="I294" s="708"/>
      <c r="J294" s="746">
        <f>'LBP NO. 2'!I1022</f>
        <v>0</v>
      </c>
      <c r="K294" s="746">
        <f>'LBP NO. 2'!J1022</f>
        <v>270000</v>
      </c>
      <c r="L294" s="746">
        <f>'LBP NO. 2'!K1022</f>
        <v>0</v>
      </c>
      <c r="M294" s="746">
        <f>'LBP NO. 2'!L1022</f>
        <v>270000</v>
      </c>
      <c r="N294" s="746">
        <f>'LBP NO. 2'!M1022</f>
        <v>270000</v>
      </c>
    </row>
    <row r="295" spans="1:14" ht="18" hidden="1" customHeight="1" thickBot="1">
      <c r="A295" s="655"/>
      <c r="B295" s="656"/>
      <c r="C295" s="656"/>
      <c r="D295" s="656" t="s">
        <v>564</v>
      </c>
      <c r="E295" s="656"/>
      <c r="F295" s="656"/>
      <c r="G295" s="686" t="s">
        <v>390</v>
      </c>
      <c r="H295" s="658" t="s">
        <v>707</v>
      </c>
      <c r="I295" s="712"/>
      <c r="J295" s="756">
        <f>'LBP NO. 2'!I1023</f>
        <v>847500</v>
      </c>
      <c r="K295" s="756">
        <f>'LBP NO. 2'!J1023</f>
        <v>0</v>
      </c>
      <c r="L295" s="756">
        <f>'LBP NO. 2'!K1023</f>
        <v>0</v>
      </c>
      <c r="M295" s="756">
        <f>'LBP NO. 2'!L1023</f>
        <v>0</v>
      </c>
      <c r="N295" s="756">
        <f>'LBP NO. 2'!M1023</f>
        <v>0</v>
      </c>
    </row>
    <row r="296" spans="1:14" s="7" customFormat="1" ht="18" hidden="1" customHeight="1" thickBot="1">
      <c r="A296" s="665"/>
      <c r="B296" s="666"/>
      <c r="C296" s="666"/>
      <c r="D296" s="666" t="s">
        <v>752</v>
      </c>
      <c r="E296" s="666"/>
      <c r="F296" s="666"/>
      <c r="G296" s="713"/>
      <c r="H296" s="668"/>
      <c r="I296" s="714"/>
      <c r="J296" s="751">
        <f>SUM(J286:J295)</f>
        <v>3400869.6300000004</v>
      </c>
      <c r="K296" s="751">
        <f>SUM(K286:K295)</f>
        <v>1517819.58</v>
      </c>
      <c r="L296" s="752">
        <f>SUM(L286:L295)</f>
        <v>2282298.42</v>
      </c>
      <c r="M296" s="751">
        <f>SUM(M286:M295)</f>
        <v>3800118</v>
      </c>
      <c r="N296" s="751">
        <f>SUM(N286:N295)</f>
        <v>1156000</v>
      </c>
    </row>
    <row r="297" spans="1:14" s="7" customFormat="1" ht="18" hidden="1" customHeight="1">
      <c r="A297" s="672"/>
      <c r="B297" s="673"/>
      <c r="C297" s="673"/>
      <c r="D297" s="673"/>
      <c r="E297" s="673"/>
      <c r="F297" s="673"/>
      <c r="G297" s="715"/>
      <c r="H297" s="716"/>
      <c r="I297" s="717"/>
      <c r="J297" s="770"/>
      <c r="K297" s="770"/>
      <c r="L297" s="771"/>
      <c r="M297" s="770"/>
      <c r="N297" s="770"/>
    </row>
    <row r="298" spans="1:14" ht="18" hidden="1" customHeight="1">
      <c r="A298" s="646"/>
      <c r="B298" s="681" t="s">
        <v>565</v>
      </c>
      <c r="C298" s="681"/>
      <c r="D298" s="681"/>
      <c r="E298" s="681"/>
      <c r="F298" s="681"/>
      <c r="G298" s="649"/>
      <c r="H298" s="650"/>
      <c r="I298" s="708"/>
      <c r="J298" s="746"/>
      <c r="K298" s="747"/>
      <c r="L298" s="748"/>
      <c r="M298" s="747"/>
      <c r="N298" s="747"/>
    </row>
    <row r="299" spans="1:14" ht="18" hidden="1" customHeight="1">
      <c r="A299" s="646"/>
      <c r="B299" s="681"/>
      <c r="C299" s="681"/>
      <c r="D299" s="648" t="s">
        <v>686</v>
      </c>
      <c r="E299" s="681"/>
      <c r="F299" s="681"/>
      <c r="G299" s="649"/>
      <c r="H299" s="650" t="s">
        <v>847</v>
      </c>
      <c r="I299" s="708"/>
      <c r="J299" s="746">
        <f>'LBP NO. 2'!I1026</f>
        <v>59000</v>
      </c>
      <c r="K299" s="746">
        <f>'LBP NO. 2'!J1026</f>
        <v>0</v>
      </c>
      <c r="L299" s="746">
        <f>'LBP NO. 2'!K1026</f>
        <v>0</v>
      </c>
      <c r="M299" s="746">
        <f>'LBP NO. 2'!L1026</f>
        <v>0</v>
      </c>
      <c r="N299" s="746">
        <f>'LBP NO. 2'!M1026</f>
        <v>30000</v>
      </c>
    </row>
    <row r="300" spans="1:14" ht="18" hidden="1" customHeight="1">
      <c r="A300" s="646"/>
      <c r="B300" s="681"/>
      <c r="C300" s="681"/>
      <c r="D300" s="648" t="s">
        <v>855</v>
      </c>
      <c r="E300" s="681"/>
      <c r="F300" s="681"/>
      <c r="G300" s="649" t="s">
        <v>914</v>
      </c>
      <c r="H300" s="650" t="s">
        <v>856</v>
      </c>
      <c r="I300" s="708"/>
      <c r="J300" s="746">
        <f>'LBP NO. 2'!I1027</f>
        <v>0</v>
      </c>
      <c r="K300" s="746">
        <f>'LBP NO. 2'!J1027</f>
        <v>0</v>
      </c>
      <c r="L300" s="746">
        <f>'LBP NO. 2'!K1027</f>
        <v>20000</v>
      </c>
      <c r="M300" s="746">
        <f>'LBP NO. 2'!L1027</f>
        <v>20000</v>
      </c>
      <c r="N300" s="746">
        <f>'LBP NO. 2'!M1027</f>
        <v>0</v>
      </c>
    </row>
    <row r="301" spans="1:14" ht="18" hidden="1" customHeight="1">
      <c r="A301" s="646"/>
      <c r="B301" s="681"/>
      <c r="C301" s="681"/>
      <c r="D301" s="648" t="s">
        <v>1569</v>
      </c>
      <c r="E301" s="648"/>
      <c r="F301" s="709"/>
      <c r="G301" s="798"/>
      <c r="H301" s="650" t="s">
        <v>961</v>
      </c>
      <c r="I301" s="708"/>
      <c r="J301" s="746">
        <f>'LBP NO. 2'!I1028</f>
        <v>0</v>
      </c>
      <c r="K301" s="746">
        <f>'LBP NO. 2'!J1028</f>
        <v>14215</v>
      </c>
      <c r="L301" s="746">
        <f>'LBP NO. 2'!K1028</f>
        <v>785</v>
      </c>
      <c r="M301" s="746">
        <f>'LBP NO. 2'!L1028</f>
        <v>15000</v>
      </c>
      <c r="N301" s="746">
        <f>'LBP NO. 2'!M1028</f>
        <v>230000</v>
      </c>
    </row>
    <row r="302" spans="1:14" ht="18" hidden="1" customHeight="1">
      <c r="A302" s="646"/>
      <c r="B302" s="681"/>
      <c r="C302" s="681"/>
      <c r="D302" s="648" t="s">
        <v>1568</v>
      </c>
      <c r="E302" s="648"/>
      <c r="F302" s="709"/>
      <c r="G302" s="798"/>
      <c r="H302" s="650" t="s">
        <v>857</v>
      </c>
      <c r="I302" s="708"/>
      <c r="J302" s="746">
        <f>'LBP NO. 2'!I1029</f>
        <v>0</v>
      </c>
      <c r="K302" s="746">
        <f>'LBP NO. 2'!J1029</f>
        <v>0</v>
      </c>
      <c r="L302" s="746">
        <f>'LBP NO. 2'!K1029</f>
        <v>90000</v>
      </c>
      <c r="M302" s="746">
        <f>'LBP NO. 2'!L1029</f>
        <v>90000</v>
      </c>
      <c r="N302" s="746">
        <f>'LBP NO. 2'!M1029</f>
        <v>0</v>
      </c>
    </row>
    <row r="303" spans="1:14" ht="18" hidden="1" customHeight="1" thickBot="1">
      <c r="A303" s="646"/>
      <c r="B303" s="681"/>
      <c r="C303" s="681"/>
      <c r="D303" s="648" t="s">
        <v>1570</v>
      </c>
      <c r="E303" s="648"/>
      <c r="F303" s="709"/>
      <c r="G303" s="798"/>
      <c r="H303" s="650" t="s">
        <v>1571</v>
      </c>
      <c r="I303" s="708"/>
      <c r="J303" s="746">
        <f>'LBP NO. 2'!I1030</f>
        <v>0</v>
      </c>
      <c r="K303" s="746">
        <f>'LBP NO. 2'!J1030</f>
        <v>0</v>
      </c>
      <c r="L303" s="746">
        <f>'LBP NO. 2'!K1030</f>
        <v>15000</v>
      </c>
      <c r="M303" s="746">
        <f>'LBP NO. 2'!L1030</f>
        <v>15000</v>
      </c>
      <c r="N303" s="746">
        <f>'LBP NO. 2'!M1030</f>
        <v>0</v>
      </c>
    </row>
    <row r="304" spans="1:14" s="7" customFormat="1" ht="18" hidden="1" customHeight="1" thickBot="1">
      <c r="A304" s="665"/>
      <c r="B304" s="666"/>
      <c r="C304" s="666"/>
      <c r="D304" s="666" t="s">
        <v>753</v>
      </c>
      <c r="E304" s="666"/>
      <c r="F304" s="666"/>
      <c r="G304" s="667"/>
      <c r="H304" s="667"/>
      <c r="I304" s="714"/>
      <c r="J304" s="751">
        <f>SUM(J299:J303)</f>
        <v>59000</v>
      </c>
      <c r="K304" s="751">
        <f t="shared" ref="K304:N304" si="4">SUM(K299:K303)</f>
        <v>14215</v>
      </c>
      <c r="L304" s="751">
        <f t="shared" si="4"/>
        <v>125785</v>
      </c>
      <c r="M304" s="751">
        <f t="shared" si="4"/>
        <v>140000</v>
      </c>
      <c r="N304" s="751">
        <f t="shared" si="4"/>
        <v>260000</v>
      </c>
    </row>
    <row r="305" spans="1:14" s="7" customFormat="1" ht="18" hidden="1" customHeight="1">
      <c r="A305" s="672"/>
      <c r="B305" s="673"/>
      <c r="C305" s="673"/>
      <c r="D305" s="673"/>
      <c r="E305" s="673"/>
      <c r="F305" s="673"/>
      <c r="G305" s="674"/>
      <c r="H305" s="674"/>
      <c r="I305" s="717"/>
      <c r="J305" s="770"/>
      <c r="K305" s="770"/>
      <c r="L305" s="771"/>
      <c r="M305" s="770"/>
      <c r="N305" s="770"/>
    </row>
    <row r="306" spans="1:14" ht="18" hidden="1" customHeight="1">
      <c r="A306" s="646"/>
      <c r="B306" s="681" t="s">
        <v>566</v>
      </c>
      <c r="C306" s="648"/>
      <c r="D306" s="648"/>
      <c r="E306" s="648"/>
      <c r="F306" s="648"/>
      <c r="G306" s="649"/>
      <c r="H306" s="649"/>
      <c r="I306" s="708"/>
      <c r="J306" s="746"/>
      <c r="K306" s="747"/>
      <c r="L306" s="748"/>
      <c r="M306" s="747"/>
      <c r="N306" s="747"/>
    </row>
    <row r="307" spans="1:14" ht="18" hidden="1" customHeight="1" thickBot="1">
      <c r="A307" s="655"/>
      <c r="B307" s="656"/>
      <c r="C307" s="656"/>
      <c r="D307" s="656" t="s">
        <v>419</v>
      </c>
      <c r="E307" s="656"/>
      <c r="F307" s="656"/>
      <c r="G307" s="657"/>
      <c r="H307" s="657"/>
      <c r="I307" s="712"/>
      <c r="J307" s="749">
        <v>0</v>
      </c>
      <c r="K307" s="767">
        <f>0</f>
        <v>0</v>
      </c>
      <c r="L307" s="767">
        <v>0</v>
      </c>
      <c r="M307" s="750">
        <f>L307+K307</f>
        <v>0</v>
      </c>
      <c r="N307" s="750">
        <v>0</v>
      </c>
    </row>
    <row r="308" spans="1:14" s="7" customFormat="1" ht="18" hidden="1" customHeight="1" thickBot="1">
      <c r="A308" s="665" t="s">
        <v>19</v>
      </c>
      <c r="B308" s="666"/>
      <c r="C308" s="666"/>
      <c r="D308" s="666"/>
      <c r="E308" s="666"/>
      <c r="F308" s="666"/>
      <c r="G308" s="667"/>
      <c r="H308" s="667"/>
      <c r="I308" s="714"/>
      <c r="J308" s="690">
        <f>SUM(J307+J304+J296+J284)</f>
        <v>11955898.9</v>
      </c>
      <c r="K308" s="690">
        <f>SUM(K307+K304+K296+K284)</f>
        <v>5696819.7000000002</v>
      </c>
      <c r="L308" s="690">
        <f t="shared" ref="L308:M308" si="5">SUM(L307+L304+L296+L284)</f>
        <v>6848720.1899999995</v>
      </c>
      <c r="M308" s="690">
        <f t="shared" si="5"/>
        <v>12545539.890000001</v>
      </c>
      <c r="N308" s="690">
        <f>SUM(N307+N304+N296+N284)</f>
        <v>8625000</v>
      </c>
    </row>
    <row r="309" spans="1:14" s="7" customFormat="1" ht="18" hidden="1" customHeight="1" thickBot="1">
      <c r="A309" s="700" t="s">
        <v>570</v>
      </c>
      <c r="B309" s="666"/>
      <c r="C309" s="666"/>
      <c r="D309" s="666"/>
      <c r="E309" s="666"/>
      <c r="F309" s="666"/>
      <c r="G309" s="667"/>
      <c r="H309" s="667"/>
      <c r="I309" s="714"/>
      <c r="J309" s="730">
        <f>J247-J308</f>
        <v>1283094.5</v>
      </c>
      <c r="K309" s="730">
        <f>K247-K308</f>
        <v>4960334.7499999991</v>
      </c>
      <c r="L309" s="730">
        <f>L247-L308</f>
        <v>-1758889.8399999999</v>
      </c>
      <c r="M309" s="730">
        <f>M247-M308</f>
        <v>3201444.9099999983</v>
      </c>
      <c r="N309" s="730">
        <f>N247-N308</f>
        <v>0</v>
      </c>
    </row>
    <row r="310" spans="1:14" s="777" customFormat="1" ht="18" hidden="1" customHeight="1">
      <c r="A310" s="772"/>
      <c r="B310" s="772"/>
      <c r="C310" s="772"/>
      <c r="D310" s="772"/>
      <c r="E310" s="772"/>
      <c r="F310" s="772"/>
      <c r="G310" s="773"/>
      <c r="H310" s="774"/>
      <c r="I310" s="862"/>
      <c r="J310" s="775"/>
      <c r="K310" s="775"/>
      <c r="L310" s="776"/>
      <c r="M310" s="775"/>
      <c r="N310" s="775"/>
    </row>
    <row r="311" spans="1:14" s="777" customFormat="1" ht="18" hidden="1" customHeight="1">
      <c r="A311" s="772"/>
      <c r="B311" s="772"/>
      <c r="C311" s="772"/>
      <c r="D311" s="772"/>
      <c r="E311" s="772"/>
      <c r="F311" s="772"/>
      <c r="G311" s="773"/>
      <c r="H311" s="774"/>
      <c r="I311" s="862"/>
      <c r="J311" s="775"/>
      <c r="K311" s="775"/>
      <c r="L311" s="776"/>
      <c r="M311" s="775"/>
      <c r="N311" s="775"/>
    </row>
    <row r="312" spans="1:14" s="777" customFormat="1" ht="18" hidden="1" customHeight="1">
      <c r="A312" s="772"/>
      <c r="B312" s="772"/>
      <c r="C312" s="772"/>
      <c r="D312" s="772"/>
      <c r="E312" s="772"/>
      <c r="F312" s="772"/>
      <c r="G312" s="773"/>
      <c r="H312" s="774"/>
      <c r="I312" s="862"/>
      <c r="J312" s="775"/>
      <c r="K312" s="775"/>
      <c r="L312" s="776"/>
      <c r="M312" s="775"/>
      <c r="N312" s="775"/>
    </row>
    <row r="313" spans="1:14" ht="18" hidden="1" customHeight="1">
      <c r="A313" s="1243" t="s">
        <v>577</v>
      </c>
      <c r="B313" s="1243"/>
      <c r="C313" s="1243"/>
      <c r="D313" s="1243"/>
      <c r="E313" s="1243"/>
      <c r="F313" s="1243"/>
      <c r="G313" s="1243"/>
      <c r="H313" s="1243"/>
      <c r="I313" s="1243"/>
      <c r="J313" s="1243"/>
      <c r="K313" s="1243"/>
      <c r="L313" s="1243"/>
      <c r="M313" s="1243"/>
      <c r="N313" s="1243"/>
    </row>
    <row r="314" spans="1:14" ht="18" hidden="1" customHeight="1">
      <c r="A314" s="1243"/>
      <c r="B314" s="1243"/>
      <c r="C314" s="1243"/>
      <c r="D314" s="1243"/>
      <c r="E314" s="1243"/>
      <c r="F314" s="1243"/>
      <c r="G314" s="1243"/>
      <c r="H314" s="1243"/>
      <c r="I314" s="1243"/>
      <c r="J314" s="1243"/>
      <c r="K314" s="1243"/>
      <c r="L314" s="1243"/>
      <c r="M314" s="1243"/>
      <c r="N314" s="1243"/>
    </row>
    <row r="315" spans="1:14" ht="18" hidden="1" customHeight="1">
      <c r="A315" s="778"/>
      <c r="B315" s="779" t="s">
        <v>11</v>
      </c>
      <c r="C315" s="778"/>
      <c r="D315" s="778"/>
      <c r="E315" s="778"/>
      <c r="F315" s="778"/>
      <c r="G315" s="778"/>
      <c r="H315" s="778"/>
      <c r="I315" s="780"/>
      <c r="J315" s="778"/>
      <c r="K315" s="778"/>
      <c r="L315" s="781"/>
      <c r="M315" s="781"/>
      <c r="N315" s="778"/>
    </row>
    <row r="316" spans="1:14" ht="18" hidden="1" customHeight="1">
      <c r="A316" s="778"/>
      <c r="B316" s="778"/>
      <c r="C316" s="778"/>
      <c r="D316" s="778"/>
      <c r="E316" s="778"/>
      <c r="F316" s="778"/>
      <c r="G316" s="778"/>
      <c r="H316" s="778"/>
      <c r="I316" s="780"/>
      <c r="J316" s="778"/>
      <c r="K316" s="778"/>
      <c r="L316" s="781"/>
      <c r="M316" s="781"/>
      <c r="N316" s="778"/>
    </row>
    <row r="317" spans="1:14" ht="18" hidden="1" customHeight="1">
      <c r="A317" s="782"/>
      <c r="B317" s="783"/>
      <c r="C317" s="782"/>
      <c r="D317" s="782"/>
      <c r="E317" s="782"/>
      <c r="F317" s="782"/>
      <c r="G317" s="854"/>
      <c r="H317" s="854"/>
      <c r="I317" s="859"/>
      <c r="J317" s="854"/>
      <c r="K317" s="784"/>
      <c r="L317" s="785"/>
      <c r="M317" s="785"/>
      <c r="N317" s="784"/>
    </row>
    <row r="318" spans="1:14" ht="18" hidden="1" customHeight="1">
      <c r="A318" s="782"/>
      <c r="B318" s="783"/>
      <c r="C318" s="782"/>
      <c r="D318" s="786"/>
      <c r="E318" s="786"/>
      <c r="F318" s="853" t="s">
        <v>88</v>
      </c>
      <c r="G318" s="853"/>
      <c r="H318" s="1254" t="s">
        <v>17</v>
      </c>
      <c r="I318" s="1254"/>
      <c r="J318" s="1254"/>
      <c r="K318" s="787" t="s">
        <v>52</v>
      </c>
      <c r="L318" s="785"/>
      <c r="M318" s="1252" t="s">
        <v>798</v>
      </c>
      <c r="N318" s="1252"/>
    </row>
    <row r="319" spans="1:14" ht="18" hidden="1" customHeight="1">
      <c r="A319" s="782"/>
      <c r="B319" s="783"/>
      <c r="C319" s="782"/>
      <c r="D319" s="786"/>
      <c r="E319" s="786"/>
      <c r="F319" s="854" t="s">
        <v>1000</v>
      </c>
      <c r="G319" s="854"/>
      <c r="H319" s="1255" t="s">
        <v>18</v>
      </c>
      <c r="I319" s="1255"/>
      <c r="J319" s="1255"/>
      <c r="K319" s="788" t="s">
        <v>796</v>
      </c>
      <c r="L319" s="785"/>
      <c r="M319" s="1253" t="s">
        <v>242</v>
      </c>
      <c r="N319" s="1253"/>
    </row>
    <row r="320" spans="1:14" ht="18" hidden="1" customHeight="1">
      <c r="A320" s="782"/>
      <c r="B320" s="783"/>
      <c r="C320" s="782"/>
      <c r="D320" s="782"/>
      <c r="E320" s="782"/>
      <c r="F320" s="782"/>
      <c r="G320" s="854"/>
      <c r="H320" s="854"/>
      <c r="I320" s="859"/>
      <c r="J320" s="854"/>
      <c r="K320" s="784"/>
      <c r="L320" s="785"/>
      <c r="M320" s="785"/>
      <c r="N320" s="784"/>
    </row>
    <row r="321" spans="1:14" ht="18" hidden="1" customHeight="1">
      <c r="A321" s="782"/>
      <c r="B321" s="783"/>
      <c r="C321" s="782"/>
      <c r="D321" s="782"/>
      <c r="E321" s="782"/>
      <c r="F321" s="782"/>
      <c r="G321" s="854"/>
      <c r="H321" s="854"/>
      <c r="I321" s="859"/>
      <c r="J321" s="854"/>
      <c r="K321" s="784"/>
      <c r="L321" s="785"/>
      <c r="M321" s="785"/>
      <c r="N321" s="784"/>
    </row>
    <row r="322" spans="1:14" ht="18" hidden="1" customHeight="1">
      <c r="A322" s="782"/>
      <c r="B322" s="783"/>
      <c r="C322" s="782"/>
      <c r="D322" s="786"/>
      <c r="E322" s="782"/>
      <c r="F322" s="782" t="s">
        <v>258</v>
      </c>
      <c r="G322" s="854"/>
      <c r="H322" s="854"/>
      <c r="I322" s="859"/>
      <c r="J322" s="854"/>
      <c r="K322" s="784"/>
      <c r="L322" s="785"/>
      <c r="M322" s="785"/>
      <c r="N322" s="784"/>
    </row>
    <row r="323" spans="1:14" ht="18" hidden="1" customHeight="1">
      <c r="A323" s="782"/>
      <c r="B323" s="783"/>
      <c r="C323" s="782"/>
      <c r="D323" s="782"/>
      <c r="E323" s="782"/>
      <c r="F323" s="782"/>
      <c r="G323" s="854"/>
      <c r="H323" s="854"/>
      <c r="I323" s="859"/>
      <c r="J323" s="854"/>
      <c r="K323" s="784"/>
      <c r="L323" s="785"/>
      <c r="M323" s="785"/>
      <c r="N323" s="784"/>
    </row>
    <row r="324" spans="1:14" ht="18" hidden="1" customHeight="1">
      <c r="A324" s="782"/>
      <c r="B324" s="783"/>
      <c r="C324" s="782"/>
      <c r="D324" s="786"/>
      <c r="E324" s="782"/>
      <c r="F324" s="853" t="s">
        <v>1456</v>
      </c>
      <c r="G324" s="853"/>
      <c r="H324" s="854"/>
      <c r="I324" s="859"/>
      <c r="J324" s="854"/>
      <c r="K324" s="784"/>
      <c r="L324" s="785"/>
      <c r="M324" s="785"/>
      <c r="N324" s="784"/>
    </row>
    <row r="325" spans="1:14" ht="18" hidden="1" customHeight="1">
      <c r="A325" s="782"/>
      <c r="B325" s="783"/>
      <c r="C325" s="782"/>
      <c r="D325" s="786"/>
      <c r="E325" s="782"/>
      <c r="F325" s="854" t="s">
        <v>14</v>
      </c>
      <c r="G325" s="854"/>
      <c r="H325" s="854"/>
      <c r="I325" s="859"/>
      <c r="J325" s="854"/>
      <c r="K325" s="784"/>
      <c r="L325" s="785"/>
      <c r="M325" s="785"/>
      <c r="N325" s="784"/>
    </row>
    <row r="326" spans="1:14" ht="18" hidden="1" customHeight="1">
      <c r="A326" s="1258" t="s">
        <v>1758</v>
      </c>
      <c r="B326" s="1258"/>
      <c r="C326" s="1258"/>
      <c r="D326" s="1258"/>
      <c r="E326" s="1258"/>
      <c r="F326" s="1258"/>
      <c r="G326" s="1258"/>
      <c r="H326" s="1258"/>
      <c r="I326" s="1258"/>
      <c r="J326" s="1258"/>
      <c r="K326" s="1258"/>
      <c r="L326" s="1258"/>
      <c r="M326" s="1258"/>
      <c r="N326" s="1258"/>
    </row>
    <row r="327" spans="1:14" ht="9" hidden="1" customHeight="1">
      <c r="A327" s="782"/>
      <c r="B327" s="783"/>
      <c r="C327" s="782"/>
      <c r="D327" s="786"/>
      <c r="E327" s="782"/>
      <c r="F327" s="782"/>
      <c r="G327" s="854"/>
      <c r="H327" s="854"/>
      <c r="I327" s="859"/>
      <c r="J327" s="854"/>
      <c r="K327" s="784"/>
      <c r="L327" s="785"/>
      <c r="M327" s="785"/>
      <c r="N327" s="784"/>
    </row>
    <row r="328" spans="1:14" ht="18" hidden="1" customHeight="1">
      <c r="A328" s="1230">
        <v>7</v>
      </c>
      <c r="B328" s="1230"/>
      <c r="C328" s="1230"/>
      <c r="D328" s="1230"/>
      <c r="E328" s="1230"/>
      <c r="F328" s="1230"/>
      <c r="G328" s="1230"/>
      <c r="H328" s="1230"/>
      <c r="I328" s="1230"/>
      <c r="J328" s="1230"/>
      <c r="K328" s="1230"/>
      <c r="L328" s="1230"/>
      <c r="M328" s="1230"/>
      <c r="N328" s="1230"/>
    </row>
    <row r="329" spans="1:14" ht="18" customHeight="1">
      <c r="A329" s="782"/>
      <c r="B329" s="783"/>
      <c r="C329" s="782"/>
      <c r="D329" s="786"/>
      <c r="E329" s="782"/>
      <c r="F329" s="782"/>
      <c r="G329" s="854"/>
      <c r="H329" s="854"/>
      <c r="I329" s="859"/>
      <c r="J329" s="854"/>
      <c r="K329" s="784"/>
      <c r="L329" s="785"/>
      <c r="M329" s="785"/>
      <c r="N329" s="784"/>
    </row>
    <row r="330" spans="1:14" ht="18" customHeight="1">
      <c r="A330" s="782"/>
      <c r="B330" s="783"/>
      <c r="C330" s="782"/>
      <c r="D330" s="786"/>
      <c r="E330" s="782"/>
      <c r="F330" s="782"/>
      <c r="G330" s="854"/>
      <c r="H330" s="854"/>
      <c r="I330" s="859"/>
      <c r="J330" s="854"/>
      <c r="K330" s="784"/>
      <c r="L330" s="785"/>
      <c r="M330" s="785"/>
      <c r="N330" s="784"/>
    </row>
    <row r="331" spans="1:14" ht="18" customHeight="1">
      <c r="A331" s="782"/>
      <c r="B331" s="783"/>
      <c r="C331" s="782"/>
      <c r="D331" s="786"/>
      <c r="E331" s="782"/>
      <c r="F331" s="782"/>
      <c r="G331" s="854"/>
      <c r="H331" s="854"/>
      <c r="I331" s="859"/>
      <c r="J331" s="854"/>
      <c r="K331" s="784"/>
      <c r="L331" s="785"/>
      <c r="M331" s="785"/>
      <c r="N331" s="784"/>
    </row>
    <row r="332" spans="1:14" s="777" customFormat="1" ht="18" customHeight="1">
      <c r="A332" s="789"/>
      <c r="B332" s="772"/>
      <c r="C332" s="789"/>
      <c r="E332" s="789"/>
      <c r="F332" s="789"/>
      <c r="G332" s="774"/>
      <c r="H332" s="774"/>
      <c r="I332" s="862"/>
      <c r="J332" s="790"/>
      <c r="K332" s="775"/>
      <c r="L332" s="776"/>
      <c r="M332" s="776"/>
      <c r="N332" s="775"/>
    </row>
    <row r="333" spans="1:14" ht="18" customHeight="1">
      <c r="A333" s="782"/>
      <c r="B333" s="783"/>
      <c r="C333" s="782"/>
      <c r="D333" s="786"/>
      <c r="E333" s="782"/>
      <c r="F333" s="782"/>
      <c r="G333" s="854"/>
      <c r="H333" s="854"/>
      <c r="I333" s="859"/>
      <c r="J333" s="854"/>
      <c r="K333" s="784"/>
      <c r="L333" s="785"/>
      <c r="M333" s="785"/>
      <c r="N333" s="784"/>
    </row>
    <row r="334" spans="1:14" ht="18" customHeight="1">
      <c r="A334" s="782"/>
      <c r="B334" s="783"/>
      <c r="C334" s="782"/>
      <c r="D334" s="786"/>
      <c r="E334" s="782"/>
      <c r="F334" s="782"/>
      <c r="G334" s="854"/>
      <c r="H334" s="854"/>
      <c r="I334" s="859"/>
      <c r="J334" s="854"/>
      <c r="K334" s="784"/>
      <c r="L334" s="785"/>
      <c r="M334" s="785"/>
      <c r="N334" s="784"/>
    </row>
    <row r="335" spans="1:14" ht="18" customHeight="1">
      <c r="A335" s="782"/>
      <c r="B335" s="783"/>
      <c r="C335" s="782"/>
      <c r="D335" s="786"/>
      <c r="E335" s="782"/>
      <c r="F335" s="782"/>
      <c r="G335" s="854"/>
      <c r="H335" s="854"/>
      <c r="I335" s="859"/>
      <c r="J335" s="854"/>
      <c r="K335" s="784"/>
      <c r="L335" s="785"/>
      <c r="M335" s="785"/>
      <c r="N335" s="784"/>
    </row>
    <row r="336" spans="1:14" ht="18" customHeight="1">
      <c r="A336" s="782"/>
      <c r="B336" s="783"/>
      <c r="C336" s="782"/>
      <c r="D336" s="786"/>
      <c r="E336" s="782"/>
      <c r="F336" s="782"/>
      <c r="G336" s="854"/>
      <c r="H336" s="854"/>
      <c r="I336" s="859"/>
      <c r="J336" s="854"/>
      <c r="K336" s="784"/>
      <c r="L336" s="785"/>
      <c r="M336" s="785"/>
      <c r="N336" s="784"/>
    </row>
    <row r="337" spans="1:14" ht="18" customHeight="1">
      <c r="A337" s="782"/>
      <c r="B337" s="783"/>
      <c r="C337" s="782"/>
      <c r="D337" s="786"/>
      <c r="E337" s="782"/>
      <c r="F337" s="782"/>
      <c r="G337" s="854"/>
      <c r="H337" s="854"/>
      <c r="I337" s="859"/>
      <c r="J337" s="854"/>
      <c r="K337" s="784"/>
      <c r="L337" s="785"/>
      <c r="M337" s="785"/>
      <c r="N337" s="784"/>
    </row>
    <row r="338" spans="1:14" ht="18" customHeight="1">
      <c r="A338" s="782"/>
      <c r="B338" s="783"/>
      <c r="C338" s="782"/>
      <c r="D338" s="786"/>
      <c r="E338" s="782"/>
      <c r="F338" s="782"/>
      <c r="G338" s="854"/>
      <c r="H338" s="854"/>
      <c r="I338" s="859"/>
      <c r="J338" s="854"/>
      <c r="K338" s="784"/>
      <c r="L338" s="785"/>
      <c r="M338" s="785"/>
      <c r="N338" s="784"/>
    </row>
    <row r="339" spans="1:14" ht="18" customHeight="1">
      <c r="A339" s="782"/>
      <c r="B339" s="783"/>
      <c r="C339" s="782"/>
      <c r="D339" s="786"/>
      <c r="E339" s="782"/>
      <c r="F339" s="782"/>
      <c r="G339" s="854"/>
      <c r="H339" s="854"/>
      <c r="I339" s="859"/>
      <c r="J339" s="854"/>
      <c r="K339" s="784"/>
      <c r="L339" s="785"/>
      <c r="M339" s="785"/>
      <c r="N339" s="784"/>
    </row>
    <row r="340" spans="1:14" ht="18" customHeight="1">
      <c r="A340" s="782"/>
      <c r="B340" s="783"/>
      <c r="C340" s="782"/>
      <c r="D340" s="786"/>
      <c r="E340" s="782"/>
      <c r="F340" s="782"/>
      <c r="G340" s="854"/>
      <c r="H340" s="854"/>
      <c r="I340" s="859"/>
      <c r="J340" s="854"/>
      <c r="K340" s="784"/>
      <c r="L340" s="785"/>
      <c r="M340" s="785"/>
      <c r="N340" s="784"/>
    </row>
    <row r="341" spans="1:14" ht="18" customHeight="1">
      <c r="A341" s="782"/>
      <c r="B341" s="783"/>
      <c r="C341" s="782"/>
      <c r="D341" s="786"/>
      <c r="E341" s="782"/>
      <c r="F341" s="782"/>
      <c r="G341" s="854"/>
      <c r="H341" s="854"/>
      <c r="I341" s="859"/>
      <c r="J341" s="854"/>
      <c r="K341" s="784"/>
      <c r="L341" s="785"/>
      <c r="M341" s="785"/>
      <c r="N341" s="784"/>
    </row>
    <row r="342" spans="1:14" ht="18" customHeight="1">
      <c r="A342" s="782"/>
      <c r="B342" s="783"/>
      <c r="C342" s="782"/>
      <c r="D342" s="786"/>
      <c r="E342" s="782"/>
      <c r="F342" s="782"/>
      <c r="G342" s="854"/>
      <c r="H342" s="854"/>
      <c r="I342" s="859"/>
      <c r="J342" s="854"/>
      <c r="K342" s="784"/>
      <c r="L342" s="785"/>
      <c r="M342" s="785"/>
      <c r="N342" s="784"/>
    </row>
    <row r="343" spans="1:14" ht="18" customHeight="1">
      <c r="A343" s="782"/>
      <c r="B343" s="783"/>
      <c r="C343" s="782"/>
      <c r="D343" s="786"/>
      <c r="E343" s="782"/>
      <c r="F343" s="782"/>
      <c r="G343" s="854"/>
      <c r="H343" s="854"/>
      <c r="I343" s="859"/>
      <c r="J343" s="854"/>
      <c r="K343" s="784"/>
      <c r="L343" s="785"/>
      <c r="M343" s="785"/>
      <c r="N343" s="784"/>
    </row>
    <row r="344" spans="1:14" ht="18" customHeight="1">
      <c r="A344" s="782"/>
      <c r="B344" s="783"/>
      <c r="C344" s="782"/>
      <c r="D344" s="786"/>
      <c r="E344" s="782"/>
      <c r="F344" s="782"/>
      <c r="G344" s="854"/>
      <c r="H344" s="854"/>
      <c r="I344" s="859"/>
      <c r="J344" s="854"/>
      <c r="K344" s="784"/>
      <c r="L344" s="785"/>
      <c r="M344" s="785"/>
      <c r="N344" s="784"/>
    </row>
    <row r="345" spans="1:14" ht="18" customHeight="1">
      <c r="A345" s="782"/>
      <c r="B345" s="783"/>
      <c r="C345" s="782"/>
      <c r="D345" s="786"/>
      <c r="E345" s="782"/>
      <c r="F345" s="782"/>
      <c r="G345" s="854"/>
      <c r="H345" s="854"/>
      <c r="I345" s="859"/>
      <c r="J345" s="854"/>
      <c r="K345" s="784"/>
      <c r="L345" s="785"/>
      <c r="M345" s="785"/>
      <c r="N345" s="784"/>
    </row>
    <row r="346" spans="1:14" ht="18" customHeight="1">
      <c r="A346" s="782"/>
      <c r="B346" s="783"/>
      <c r="C346" s="782"/>
      <c r="D346" s="786"/>
      <c r="E346" s="782"/>
      <c r="F346" s="782"/>
      <c r="G346" s="854"/>
      <c r="H346" s="854"/>
      <c r="I346" s="859"/>
      <c r="J346" s="854"/>
      <c r="K346" s="784"/>
      <c r="L346" s="785"/>
      <c r="M346" s="785"/>
      <c r="N346" s="784"/>
    </row>
    <row r="347" spans="1:14" ht="18" customHeight="1">
      <c r="A347" s="782"/>
      <c r="B347" s="783"/>
      <c r="C347" s="782"/>
      <c r="D347" s="786"/>
      <c r="E347" s="782"/>
      <c r="F347" s="782"/>
      <c r="G347" s="854"/>
      <c r="H347" s="854"/>
      <c r="I347" s="859"/>
      <c r="J347" s="854"/>
      <c r="K347" s="784"/>
      <c r="L347" s="785"/>
      <c r="M347" s="785"/>
      <c r="N347" s="784"/>
    </row>
    <row r="348" spans="1:14" ht="18" customHeight="1">
      <c r="A348" s="782"/>
      <c r="B348" s="783"/>
      <c r="C348" s="782"/>
      <c r="D348" s="786"/>
      <c r="E348" s="782"/>
      <c r="F348" s="782"/>
      <c r="G348" s="854"/>
      <c r="H348" s="854"/>
      <c r="I348" s="859"/>
      <c r="J348" s="854"/>
      <c r="K348" s="784"/>
      <c r="L348" s="785"/>
      <c r="M348" s="785"/>
      <c r="N348" s="784"/>
    </row>
    <row r="349" spans="1:14" ht="18" customHeight="1">
      <c r="A349" s="782"/>
      <c r="B349" s="783"/>
      <c r="C349" s="782"/>
      <c r="D349" s="786"/>
      <c r="E349" s="782"/>
      <c r="F349" s="782"/>
      <c r="G349" s="854"/>
      <c r="H349" s="854"/>
      <c r="I349" s="859"/>
      <c r="J349" s="854"/>
      <c r="K349" s="784"/>
      <c r="L349" s="785"/>
      <c r="M349" s="785"/>
      <c r="N349" s="784"/>
    </row>
    <row r="350" spans="1:14" ht="18" customHeight="1">
      <c r="A350" s="782"/>
      <c r="B350" s="783"/>
      <c r="C350" s="782"/>
      <c r="D350" s="786"/>
      <c r="E350" s="782"/>
      <c r="F350" s="782"/>
      <c r="G350" s="854"/>
      <c r="H350" s="854"/>
      <c r="I350" s="859"/>
      <c r="J350" s="854"/>
      <c r="K350" s="784"/>
      <c r="L350" s="785"/>
      <c r="M350" s="785"/>
      <c r="N350" s="784"/>
    </row>
    <row r="351" spans="1:14" ht="18" customHeight="1">
      <c r="A351" s="782"/>
      <c r="B351" s="783"/>
      <c r="C351" s="782"/>
      <c r="D351" s="786"/>
      <c r="E351" s="782"/>
      <c r="F351" s="782"/>
      <c r="G351" s="854"/>
      <c r="H351" s="854"/>
      <c r="I351" s="859"/>
      <c r="J351" s="854"/>
      <c r="K351" s="784"/>
      <c r="L351" s="785"/>
      <c r="M351" s="785"/>
      <c r="N351" s="784"/>
    </row>
    <row r="352" spans="1:14" ht="18" customHeight="1">
      <c r="A352" s="782"/>
      <c r="B352" s="783"/>
      <c r="C352" s="782"/>
      <c r="D352" s="786"/>
      <c r="E352" s="782"/>
      <c r="F352" s="782"/>
      <c r="G352" s="854"/>
      <c r="H352" s="854"/>
      <c r="I352" s="859"/>
      <c r="J352" s="854"/>
      <c r="K352" s="784"/>
      <c r="L352" s="785"/>
      <c r="M352" s="785"/>
      <c r="N352" s="784"/>
    </row>
    <row r="353" spans="1:14" ht="18" customHeight="1">
      <c r="A353" s="782"/>
      <c r="B353" s="783"/>
      <c r="C353" s="782"/>
      <c r="D353" s="786"/>
      <c r="E353" s="782"/>
      <c r="F353" s="782"/>
      <c r="G353" s="854"/>
      <c r="H353" s="854"/>
      <c r="I353" s="859"/>
      <c r="J353" s="854"/>
      <c r="K353" s="784"/>
      <c r="L353" s="785"/>
      <c r="M353" s="785"/>
      <c r="N353" s="784"/>
    </row>
    <row r="354" spans="1:14" ht="18" customHeight="1">
      <c r="A354" s="782"/>
      <c r="B354" s="783"/>
      <c r="C354" s="782"/>
      <c r="D354" s="786"/>
      <c r="E354" s="782"/>
      <c r="F354" s="782"/>
      <c r="G354" s="854"/>
      <c r="H354" s="854"/>
      <c r="I354" s="859"/>
      <c r="J354" s="854"/>
      <c r="K354" s="784"/>
      <c r="L354" s="785"/>
      <c r="M354" s="785"/>
      <c r="N354" s="784"/>
    </row>
    <row r="355" spans="1:14" ht="18" customHeight="1">
      <c r="A355" s="782"/>
      <c r="B355" s="783"/>
      <c r="C355" s="782"/>
      <c r="D355" s="786"/>
      <c r="E355" s="782"/>
      <c r="F355" s="782"/>
      <c r="G355" s="854"/>
      <c r="H355" s="854"/>
      <c r="I355" s="859"/>
      <c r="J355" s="854"/>
      <c r="K355" s="784"/>
      <c r="L355" s="785"/>
      <c r="M355" s="785"/>
      <c r="N355" s="784"/>
    </row>
    <row r="356" spans="1:14" ht="18" customHeight="1">
      <c r="A356" s="782"/>
      <c r="B356" s="783"/>
      <c r="C356" s="782"/>
      <c r="D356" s="786"/>
      <c r="E356" s="782"/>
      <c r="F356" s="782"/>
      <c r="G356" s="854"/>
      <c r="H356" s="854"/>
      <c r="I356" s="859"/>
      <c r="J356" s="854"/>
      <c r="K356" s="784"/>
      <c r="L356" s="785"/>
      <c r="M356" s="785"/>
      <c r="N356" s="784"/>
    </row>
    <row r="357" spans="1:14" ht="18" customHeight="1">
      <c r="A357" s="782"/>
      <c r="B357" s="783"/>
      <c r="C357" s="782"/>
      <c r="D357" s="786"/>
      <c r="E357" s="782"/>
      <c r="F357" s="782"/>
      <c r="G357" s="854"/>
      <c r="H357" s="854"/>
      <c r="I357" s="859"/>
      <c r="J357" s="854"/>
      <c r="K357" s="784"/>
      <c r="L357" s="785"/>
      <c r="M357" s="785"/>
      <c r="N357" s="784"/>
    </row>
    <row r="358" spans="1:14" ht="18" customHeight="1">
      <c r="A358" s="782"/>
      <c r="B358" s="783"/>
      <c r="C358" s="782"/>
      <c r="D358" s="786"/>
      <c r="E358" s="782"/>
      <c r="F358" s="782"/>
      <c r="G358" s="854"/>
      <c r="H358" s="854"/>
      <c r="I358" s="859"/>
      <c r="J358" s="854"/>
      <c r="K358" s="784"/>
      <c r="L358" s="785"/>
      <c r="M358" s="785"/>
      <c r="N358" s="784"/>
    </row>
    <row r="359" spans="1:14" ht="18" customHeight="1">
      <c r="A359" s="782"/>
      <c r="B359" s="783"/>
      <c r="C359" s="782"/>
      <c r="D359" s="786"/>
      <c r="E359" s="782"/>
      <c r="F359" s="782"/>
      <c r="G359" s="854"/>
      <c r="H359" s="854"/>
      <c r="I359" s="859"/>
      <c r="J359" s="854"/>
      <c r="K359" s="784"/>
      <c r="L359" s="785"/>
      <c r="M359" s="785"/>
      <c r="N359" s="784"/>
    </row>
    <row r="360" spans="1:14" ht="18" customHeight="1">
      <c r="A360" s="782"/>
      <c r="B360" s="783"/>
      <c r="C360" s="782"/>
      <c r="D360" s="786"/>
      <c r="E360" s="782"/>
      <c r="F360" s="782"/>
      <c r="G360" s="854"/>
      <c r="H360" s="854"/>
      <c r="I360" s="859"/>
      <c r="J360" s="854"/>
      <c r="K360" s="784"/>
      <c r="L360" s="785"/>
      <c r="M360" s="785"/>
      <c r="N360" s="784"/>
    </row>
    <row r="361" spans="1:14" ht="18" customHeight="1">
      <c r="A361" s="782"/>
      <c r="B361" s="783"/>
      <c r="C361" s="782"/>
      <c r="D361" s="786"/>
      <c r="E361" s="782"/>
      <c r="F361" s="782"/>
      <c r="G361" s="854"/>
      <c r="H361" s="854"/>
      <c r="I361" s="859"/>
      <c r="J361" s="854"/>
      <c r="K361" s="784"/>
      <c r="L361" s="785"/>
      <c r="M361" s="785"/>
      <c r="N361" s="784"/>
    </row>
    <row r="362" spans="1:14" ht="18" customHeight="1">
      <c r="A362" s="782"/>
      <c r="B362" s="783"/>
      <c r="C362" s="782"/>
      <c r="D362" s="786"/>
      <c r="E362" s="782"/>
      <c r="F362" s="782"/>
      <c r="G362" s="854"/>
      <c r="H362" s="854"/>
      <c r="I362" s="859"/>
      <c r="J362" s="854"/>
      <c r="K362" s="784"/>
      <c r="L362" s="785"/>
      <c r="M362" s="785"/>
      <c r="N362" s="784"/>
    </row>
    <row r="363" spans="1:14" ht="18" customHeight="1">
      <c r="A363" s="782"/>
      <c r="B363" s="783"/>
      <c r="C363" s="782"/>
      <c r="D363" s="786"/>
      <c r="E363" s="782"/>
      <c r="F363" s="782"/>
      <c r="G363" s="854"/>
      <c r="H363" s="854"/>
      <c r="I363" s="859"/>
      <c r="J363" s="854"/>
      <c r="K363" s="784"/>
      <c r="L363" s="785"/>
      <c r="M363" s="785"/>
      <c r="N363" s="784"/>
    </row>
    <row r="364" spans="1:14" ht="18" customHeight="1">
      <c r="A364" s="782"/>
      <c r="B364" s="783"/>
      <c r="C364" s="782"/>
      <c r="D364" s="786"/>
      <c r="E364" s="782"/>
      <c r="F364" s="782"/>
      <c r="G364" s="854"/>
      <c r="H364" s="854"/>
      <c r="I364" s="859"/>
      <c r="J364" s="854"/>
      <c r="K364" s="784"/>
      <c r="L364" s="785"/>
      <c r="M364" s="785"/>
      <c r="N364" s="784"/>
    </row>
    <row r="365" spans="1:14" ht="18" customHeight="1">
      <c r="A365" s="782"/>
      <c r="B365" s="783"/>
      <c r="C365" s="782"/>
      <c r="D365" s="786"/>
      <c r="E365" s="782"/>
      <c r="F365" s="782"/>
      <c r="G365" s="854"/>
      <c r="H365" s="854"/>
      <c r="I365" s="859"/>
      <c r="J365" s="854"/>
      <c r="K365" s="784"/>
      <c r="L365" s="785"/>
      <c r="M365" s="785"/>
      <c r="N365" s="784"/>
    </row>
    <row r="366" spans="1:14" ht="18" customHeight="1">
      <c r="A366" s="782"/>
      <c r="B366" s="783"/>
      <c r="C366" s="782"/>
      <c r="D366" s="786"/>
      <c r="E366" s="782"/>
      <c r="F366" s="782"/>
      <c r="G366" s="854"/>
      <c r="H366" s="854"/>
      <c r="I366" s="859"/>
      <c r="J366" s="854"/>
      <c r="K366" s="784"/>
      <c r="L366" s="785"/>
      <c r="M366" s="785"/>
      <c r="N366" s="784"/>
    </row>
    <row r="367" spans="1:14" ht="18" customHeight="1">
      <c r="A367" s="782"/>
      <c r="B367" s="783"/>
      <c r="C367" s="782"/>
      <c r="D367" s="786"/>
      <c r="E367" s="782"/>
      <c r="F367" s="782"/>
      <c r="G367" s="854"/>
      <c r="H367" s="854"/>
      <c r="I367" s="859"/>
      <c r="J367" s="854"/>
      <c r="K367" s="784"/>
      <c r="L367" s="785"/>
      <c r="M367" s="785"/>
      <c r="N367" s="784"/>
    </row>
    <row r="368" spans="1:14" ht="18" customHeight="1">
      <c r="A368" s="782"/>
      <c r="B368" s="783"/>
      <c r="C368" s="782"/>
      <c r="D368" s="786"/>
      <c r="E368" s="782"/>
      <c r="F368" s="782"/>
      <c r="G368" s="854"/>
      <c r="H368" s="854"/>
      <c r="I368" s="859"/>
      <c r="J368" s="854"/>
      <c r="K368" s="784"/>
      <c r="L368" s="785"/>
      <c r="M368" s="785"/>
      <c r="N368" s="784"/>
    </row>
    <row r="369" spans="1:14" ht="18" customHeight="1">
      <c r="A369" s="782"/>
      <c r="B369" s="783"/>
      <c r="C369" s="782"/>
      <c r="D369" s="786"/>
      <c r="E369" s="782"/>
      <c r="F369" s="782"/>
      <c r="G369" s="854"/>
      <c r="H369" s="854"/>
      <c r="I369" s="859"/>
      <c r="J369" s="854"/>
      <c r="K369" s="784"/>
      <c r="L369" s="785"/>
      <c r="M369" s="785"/>
      <c r="N369" s="784"/>
    </row>
    <row r="370" spans="1:14" ht="18" customHeight="1">
      <c r="A370" s="782"/>
      <c r="B370" s="783"/>
      <c r="C370" s="782"/>
      <c r="D370" s="786"/>
      <c r="E370" s="782"/>
      <c r="F370" s="782"/>
      <c r="G370" s="854"/>
      <c r="H370" s="854"/>
      <c r="I370" s="859"/>
      <c r="J370" s="854"/>
      <c r="K370" s="784"/>
      <c r="L370" s="785"/>
      <c r="M370" s="785"/>
      <c r="N370" s="784"/>
    </row>
    <row r="371" spans="1:14" ht="18" customHeight="1">
      <c r="A371" s="782"/>
      <c r="B371" s="783"/>
      <c r="C371" s="782"/>
      <c r="D371" s="786"/>
      <c r="E371" s="782"/>
      <c r="F371" s="782"/>
      <c r="G371" s="854"/>
      <c r="H371" s="854"/>
      <c r="I371" s="859"/>
      <c r="J371" s="854"/>
      <c r="K371" s="784"/>
      <c r="L371" s="785"/>
      <c r="M371" s="785"/>
      <c r="N371" s="784"/>
    </row>
    <row r="372" spans="1:14" s="270" customFormat="1" ht="20.100000000000001" customHeight="1">
      <c r="A372" s="1244" t="s">
        <v>995</v>
      </c>
      <c r="B372" s="1244"/>
      <c r="C372" s="1244"/>
      <c r="D372" s="1244"/>
      <c r="E372" s="1244"/>
      <c r="F372" s="1244"/>
      <c r="G372" s="1244"/>
      <c r="H372" s="1244"/>
      <c r="I372" s="1244"/>
      <c r="J372" s="1244"/>
      <c r="K372" s="1244"/>
      <c r="L372" s="1244"/>
      <c r="M372" s="1244"/>
      <c r="N372" s="1244"/>
    </row>
    <row r="373" spans="1:14" ht="18" customHeight="1">
      <c r="A373" s="782"/>
      <c r="B373" s="783"/>
      <c r="C373" s="782"/>
      <c r="D373" s="786"/>
      <c r="E373" s="782"/>
      <c r="F373" s="782"/>
      <c r="G373" s="854"/>
      <c r="H373" s="854"/>
      <c r="I373" s="859"/>
      <c r="J373" s="854"/>
      <c r="K373" s="784"/>
      <c r="L373" s="785"/>
      <c r="M373" s="785"/>
      <c r="N373" s="784"/>
    </row>
    <row r="374" spans="1:14" ht="18" customHeight="1">
      <c r="A374" s="782"/>
      <c r="B374" s="783"/>
      <c r="C374" s="782"/>
      <c r="D374" s="786"/>
      <c r="E374" s="782"/>
      <c r="F374" s="782"/>
      <c r="G374" s="854"/>
      <c r="H374" s="854"/>
      <c r="I374" s="859"/>
      <c r="J374" s="854"/>
      <c r="K374" s="784"/>
      <c r="L374" s="785"/>
      <c r="M374" s="785"/>
      <c r="N374" s="784"/>
    </row>
    <row r="375" spans="1:14" ht="18" customHeight="1">
      <c r="A375" s="782"/>
      <c r="B375" s="783"/>
      <c r="C375" s="782"/>
      <c r="D375" s="786"/>
      <c r="E375" s="782"/>
      <c r="F375" s="782"/>
      <c r="G375" s="854"/>
      <c r="H375" s="854"/>
      <c r="I375" s="859"/>
      <c r="J375" s="854"/>
      <c r="K375" s="784"/>
      <c r="L375" s="785"/>
      <c r="M375" s="785"/>
      <c r="N375" s="784"/>
    </row>
    <row r="376" spans="1:14" ht="18" customHeight="1">
      <c r="A376" s="782"/>
      <c r="B376" s="783"/>
      <c r="C376" s="782"/>
      <c r="D376" s="786"/>
      <c r="E376" s="782"/>
      <c r="F376" s="782"/>
      <c r="G376" s="854"/>
      <c r="H376" s="854"/>
      <c r="I376" s="859"/>
      <c r="J376" s="854"/>
      <c r="K376" s="784"/>
      <c r="L376" s="785"/>
      <c r="M376" s="785"/>
      <c r="N376" s="784"/>
    </row>
    <row r="377" spans="1:14" ht="18" customHeight="1">
      <c r="A377" s="782"/>
      <c r="B377" s="783"/>
      <c r="C377" s="782"/>
      <c r="D377" s="786"/>
      <c r="E377" s="782"/>
      <c r="F377" s="782"/>
      <c r="G377" s="854"/>
      <c r="H377" s="854"/>
      <c r="I377" s="859"/>
      <c r="J377" s="854"/>
      <c r="K377" s="784"/>
      <c r="L377" s="785"/>
      <c r="M377" s="785"/>
      <c r="N377" s="784"/>
    </row>
    <row r="378" spans="1:14" ht="18" customHeight="1"/>
    <row r="379" spans="1:14" ht="18" customHeight="1">
      <c r="J379" s="863">
        <f>J380-J381</f>
        <v>-61669962.030000001</v>
      </c>
      <c r="K379" s="863">
        <f t="shared" ref="K379:N379" si="6">K380-K381</f>
        <v>-12954512.439999983</v>
      </c>
      <c r="L379" s="863">
        <f t="shared" si="6"/>
        <v>-20464487.560000032</v>
      </c>
      <c r="M379" s="863">
        <f t="shared" si="6"/>
        <v>-82776977.549999982</v>
      </c>
      <c r="N379" s="863">
        <f t="shared" si="6"/>
        <v>-93849329.780000001</v>
      </c>
    </row>
    <row r="380" spans="1:14" ht="18" customHeight="1">
      <c r="J380" s="801">
        <f>'LBP NO. 2a'!G234</f>
        <v>112798838.53</v>
      </c>
      <c r="K380" s="801">
        <f>'LBP NO. 2a'!H234</f>
        <v>95629549.99000001</v>
      </c>
      <c r="L380" s="801">
        <f>'LBP NO. 2a'!I234</f>
        <v>136889841.55999997</v>
      </c>
      <c r="M380" s="801">
        <f>'LBP NO. 2a'!J234</f>
        <v>116319372.00000003</v>
      </c>
      <c r="N380" s="801">
        <f>'LBP NO. 2a'!K234</f>
        <v>146310006</v>
      </c>
    </row>
    <row r="381" spans="1:14" s="792" customFormat="1" ht="18" customHeight="1">
      <c r="G381" s="791"/>
      <c r="I381" s="793"/>
      <c r="J381" s="775">
        <f>J308+J153</f>
        <v>174468800.56</v>
      </c>
      <c r="K381" s="775">
        <f>K308+K153</f>
        <v>108584062.42999999</v>
      </c>
      <c r="L381" s="776">
        <f>L308+L153</f>
        <v>157354329.12</v>
      </c>
      <c r="M381" s="775">
        <f>M308+M153</f>
        <v>199096349.55000001</v>
      </c>
      <c r="N381" s="775">
        <f>N308+N153</f>
        <v>240159335.78</v>
      </c>
    </row>
    <row r="382" spans="1:14" ht="18" customHeight="1"/>
    <row r="383" spans="1:14" ht="18" customHeight="1">
      <c r="J383" s="792">
        <v>145366136.61000001</v>
      </c>
      <c r="K383" s="792">
        <v>67622960.769999996</v>
      </c>
      <c r="L383" s="792">
        <v>123938310.43000001</v>
      </c>
      <c r="M383" s="792">
        <v>191561271.19999999</v>
      </c>
      <c r="N383" s="792">
        <v>185154952</v>
      </c>
    </row>
    <row r="384" spans="1:14" ht="18" customHeight="1">
      <c r="J384" s="801">
        <f>J383-J381</f>
        <v>-29102663.949999988</v>
      </c>
      <c r="K384" s="801">
        <f>K383-K381</f>
        <v>-40961101.659999996</v>
      </c>
      <c r="L384" s="801">
        <f>L383-L381</f>
        <v>-33416018.689999998</v>
      </c>
      <c r="M384" s="801">
        <f t="shared" ref="M384" si="7">M383-M381</f>
        <v>-7535078.3500000238</v>
      </c>
      <c r="N384" s="801">
        <f>N383-N381</f>
        <v>-55004383.780000001</v>
      </c>
    </row>
  </sheetData>
  <sheetProtection password="C1B6" sheet="1" objects="1" scenarios="1"/>
  <mergeCells count="45">
    <mergeCell ref="A7:N7"/>
    <mergeCell ref="A326:N326"/>
    <mergeCell ref="A328:N328"/>
    <mergeCell ref="A1:N1"/>
    <mergeCell ref="A2:N2"/>
    <mergeCell ref="A3:N3"/>
    <mergeCell ref="A4:N4"/>
    <mergeCell ref="A6:N6"/>
    <mergeCell ref="A214:N214"/>
    <mergeCell ref="A14:F14"/>
    <mergeCell ref="A17:F17"/>
    <mergeCell ref="K13:M13"/>
    <mergeCell ref="H165:J165"/>
    <mergeCell ref="H164:J164"/>
    <mergeCell ref="A211:N211"/>
    <mergeCell ref="M165:N165"/>
    <mergeCell ref="A159:N159"/>
    <mergeCell ref="A212:N212"/>
    <mergeCell ref="M164:N164"/>
    <mergeCell ref="A81:N81"/>
    <mergeCell ref="A82:N82"/>
    <mergeCell ref="K254:M254"/>
    <mergeCell ref="A255:F255"/>
    <mergeCell ref="K255:M255"/>
    <mergeCell ref="A372:N372"/>
    <mergeCell ref="M318:N318"/>
    <mergeCell ref="M319:N319"/>
    <mergeCell ref="H318:J318"/>
    <mergeCell ref="H319:J319"/>
    <mergeCell ref="A77:N77"/>
    <mergeCell ref="K14:M14"/>
    <mergeCell ref="K86:M86"/>
    <mergeCell ref="K216:M216"/>
    <mergeCell ref="A313:N314"/>
    <mergeCell ref="A79:N79"/>
    <mergeCell ref="A209:N209"/>
    <mergeCell ref="A84:N84"/>
    <mergeCell ref="K85:M85"/>
    <mergeCell ref="A86:F86"/>
    <mergeCell ref="A89:F89"/>
    <mergeCell ref="A216:F216"/>
    <mergeCell ref="K215:M215"/>
    <mergeCell ref="A250:N250"/>
    <mergeCell ref="A251:N251"/>
    <mergeCell ref="A253:N253"/>
  </mergeCells>
  <phoneticPr fontId="8" type="noConversion"/>
  <printOptions horizontalCentered="1"/>
  <pageMargins left="0.5" right="0" top="0.25" bottom="0" header="0.5" footer="0"/>
  <pageSetup paperSize="256" scale="65" orientation="portrait" r:id="rId1"/>
  <headerFooter alignWithMargins="0">
    <oddFooter xml:space="preserve">&amp;C&amp;"Times New Roman,Bold"&amp;14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opLeftCell="A7" workbookViewId="0">
      <selection activeCell="A51" sqref="A51:N51"/>
    </sheetView>
  </sheetViews>
  <sheetFormatPr defaultRowHeight="12.75"/>
  <cols>
    <col min="1" max="1" width="2.7109375" style="104" customWidth="1"/>
    <col min="2" max="2" width="2.140625" style="104" customWidth="1"/>
    <col min="3" max="5" width="1.7109375" style="104" customWidth="1"/>
    <col min="6" max="6" width="33.85546875" style="104" customWidth="1"/>
    <col min="7" max="7" width="4" style="1112" hidden="1" customWidth="1"/>
    <col min="8" max="8" width="12.28515625" style="104" customWidth="1"/>
    <col min="9" max="9" width="12" style="1" customWidth="1"/>
    <col min="10" max="10" width="14.7109375" style="104" customWidth="1"/>
    <col min="11" max="11" width="14.5703125" style="104" hidden="1" customWidth="1"/>
    <col min="12" max="12" width="14.7109375" style="739" hidden="1" customWidth="1"/>
    <col min="13" max="13" width="14.5703125" style="739" customWidth="1"/>
    <col min="14" max="14" width="15.5703125" style="104" customWidth="1"/>
    <col min="15" max="15" width="2.7109375" style="104" customWidth="1"/>
    <col min="16" max="16" width="9.140625" style="104"/>
    <col min="17" max="17" width="10.28515625" style="104" customWidth="1"/>
    <col min="18" max="16384" width="9.140625" style="104"/>
  </cols>
  <sheetData>
    <row r="1" spans="1:14" ht="18" customHeight="1">
      <c r="A1" s="1259" t="s">
        <v>883</v>
      </c>
      <c r="B1" s="1259"/>
      <c r="C1" s="1259"/>
      <c r="D1" s="1259"/>
      <c r="E1" s="1259"/>
      <c r="F1" s="1259"/>
      <c r="G1" s="1259"/>
      <c r="H1" s="1259"/>
      <c r="I1" s="1259"/>
      <c r="J1" s="1259"/>
      <c r="K1" s="1259"/>
      <c r="L1" s="1259"/>
      <c r="M1" s="1259"/>
      <c r="N1" s="1259"/>
    </row>
    <row r="2" spans="1:14" ht="18" customHeight="1">
      <c r="A2" s="1259" t="s">
        <v>178</v>
      </c>
      <c r="B2" s="1259"/>
      <c r="C2" s="1259"/>
      <c r="D2" s="1259"/>
      <c r="E2" s="1259"/>
      <c r="F2" s="1259"/>
      <c r="G2" s="1259"/>
      <c r="H2" s="1259"/>
      <c r="I2" s="1259"/>
      <c r="J2" s="1259"/>
      <c r="K2" s="1259"/>
      <c r="L2" s="1259"/>
      <c r="M2" s="1259"/>
      <c r="N2" s="1259"/>
    </row>
    <row r="3" spans="1:14" ht="18" customHeight="1">
      <c r="A3" s="1259" t="s">
        <v>1742</v>
      </c>
      <c r="B3" s="1259"/>
      <c r="C3" s="1259"/>
      <c r="D3" s="1259"/>
      <c r="E3" s="1259"/>
      <c r="F3" s="1259"/>
      <c r="G3" s="1259"/>
      <c r="H3" s="1259"/>
      <c r="I3" s="1259"/>
      <c r="J3" s="1259"/>
      <c r="K3" s="1259"/>
      <c r="L3" s="1259"/>
      <c r="M3" s="1259"/>
      <c r="N3" s="1259"/>
    </row>
    <row r="4" spans="1:14" ht="18" customHeight="1">
      <c r="A4" s="1259"/>
      <c r="B4" s="1259"/>
      <c r="C4" s="1259"/>
      <c r="D4" s="1259"/>
      <c r="E4" s="1259"/>
      <c r="F4" s="1259"/>
      <c r="G4" s="1259"/>
      <c r="H4" s="1259"/>
      <c r="I4" s="1259"/>
      <c r="J4" s="1259"/>
      <c r="K4" s="1259"/>
      <c r="L4" s="1259"/>
      <c r="M4" s="1259"/>
      <c r="N4" s="1259"/>
    </row>
    <row r="5" spans="1:14" ht="18" customHeight="1">
      <c r="A5" s="1113"/>
      <c r="B5" s="1113"/>
      <c r="C5" s="1113"/>
      <c r="D5" s="1113"/>
      <c r="E5" s="1113"/>
      <c r="F5" s="1113"/>
      <c r="G5" s="1145"/>
      <c r="H5" s="1113"/>
      <c r="I5" s="1160"/>
      <c r="J5" s="1113"/>
      <c r="K5" s="1113"/>
      <c r="L5" s="1146"/>
      <c r="M5" s="1146"/>
      <c r="N5" s="1113"/>
    </row>
    <row r="6" spans="1:14" ht="18" customHeight="1">
      <c r="A6" s="1232" t="s">
        <v>1743</v>
      </c>
      <c r="B6" s="1232"/>
      <c r="C6" s="1232"/>
      <c r="D6" s="1232"/>
      <c r="E6" s="1232"/>
      <c r="F6" s="1232"/>
      <c r="G6" s="1232"/>
      <c r="H6" s="1232"/>
      <c r="I6" s="1232"/>
      <c r="J6" s="1232"/>
      <c r="K6" s="1232"/>
      <c r="L6" s="1232"/>
      <c r="M6" s="1232"/>
      <c r="N6" s="1232"/>
    </row>
    <row r="7" spans="1:14" ht="18" customHeight="1">
      <c r="A7" s="1234" t="s">
        <v>1744</v>
      </c>
      <c r="B7" s="1234"/>
      <c r="C7" s="1234"/>
      <c r="D7" s="1234"/>
      <c r="E7" s="1234"/>
      <c r="F7" s="1234"/>
      <c r="G7" s="1234"/>
      <c r="H7" s="1234"/>
      <c r="I7" s="1234"/>
      <c r="J7" s="1234"/>
      <c r="K7" s="1234"/>
      <c r="L7" s="1234"/>
      <c r="M7" s="1234"/>
      <c r="N7" s="1234"/>
    </row>
    <row r="8" spans="1:14" s="146" customFormat="1" ht="15.75">
      <c r="A8" s="146" t="s">
        <v>1777</v>
      </c>
      <c r="G8" s="1162"/>
      <c r="I8" s="174"/>
      <c r="L8" s="1163"/>
      <c r="M8" s="1163"/>
    </row>
    <row r="9" spans="1:14" s="146" customFormat="1" ht="15.75">
      <c r="A9" s="146" t="s">
        <v>1776</v>
      </c>
      <c r="G9" s="1162"/>
      <c r="I9" s="174"/>
      <c r="L9" s="1163"/>
      <c r="M9" s="1163"/>
    </row>
    <row r="10" spans="1:14" s="146" customFormat="1" ht="8.1" customHeight="1">
      <c r="A10" s="1164" t="s">
        <v>1774</v>
      </c>
      <c r="G10" s="1162"/>
      <c r="I10" s="174"/>
      <c r="L10" s="1163"/>
      <c r="M10" s="1163"/>
    </row>
    <row r="11" spans="1:14" s="146" customFormat="1" ht="15.75">
      <c r="F11" s="146" t="s">
        <v>1778</v>
      </c>
      <c r="G11" s="1162"/>
      <c r="I11" s="174"/>
      <c r="L11" s="1163"/>
      <c r="M11" s="1163"/>
    </row>
    <row r="12" spans="1:14" s="146" customFormat="1" ht="16.5" thickBot="1">
      <c r="G12" s="1162"/>
      <c r="I12" s="174"/>
      <c r="L12" s="1163"/>
      <c r="M12" s="1163"/>
    </row>
    <row r="13" spans="1:14" s="1" customFormat="1" ht="18" customHeight="1">
      <c r="A13" s="623"/>
      <c r="B13" s="624"/>
      <c r="C13" s="624"/>
      <c r="D13" s="624"/>
      <c r="E13" s="624"/>
      <c r="F13" s="624"/>
      <c r="G13" s="625"/>
      <c r="H13" s="626"/>
      <c r="I13" s="626"/>
      <c r="J13" s="626"/>
      <c r="K13" s="1246"/>
      <c r="L13" s="1247"/>
      <c r="M13" s="1248"/>
      <c r="N13" s="627"/>
    </row>
    <row r="14" spans="1:14" s="1" customFormat="1" ht="18" customHeight="1">
      <c r="A14" s="1249" t="s">
        <v>3</v>
      </c>
      <c r="B14" s="1238"/>
      <c r="C14" s="1238"/>
      <c r="D14" s="1238"/>
      <c r="E14" s="1238"/>
      <c r="F14" s="1238"/>
      <c r="G14" s="628"/>
      <c r="H14" s="628" t="s">
        <v>1</v>
      </c>
      <c r="I14" s="629" t="s">
        <v>2</v>
      </c>
      <c r="J14" s="628" t="s">
        <v>6</v>
      </c>
      <c r="K14" s="1237" t="s">
        <v>630</v>
      </c>
      <c r="L14" s="1238"/>
      <c r="M14" s="1239"/>
      <c r="N14" s="630" t="s">
        <v>7</v>
      </c>
    </row>
    <row r="15" spans="1:14" s="1" customFormat="1" ht="18" customHeight="1">
      <c r="A15" s="631"/>
      <c r="B15" s="619"/>
      <c r="C15" s="619"/>
      <c r="D15" s="619"/>
      <c r="E15" s="619"/>
      <c r="F15" s="619"/>
      <c r="G15" s="632"/>
      <c r="H15" s="628" t="s">
        <v>4</v>
      </c>
      <c r="I15" s="629" t="s">
        <v>5</v>
      </c>
      <c r="J15" s="633">
        <v>2020</v>
      </c>
      <c r="K15" s="628" t="s">
        <v>571</v>
      </c>
      <c r="L15" s="634" t="s">
        <v>574</v>
      </c>
      <c r="M15" s="628">
        <v>2021</v>
      </c>
      <c r="N15" s="635">
        <v>2022</v>
      </c>
    </row>
    <row r="16" spans="1:14" s="1" customFormat="1" ht="18" customHeight="1">
      <c r="A16" s="631"/>
      <c r="B16" s="619"/>
      <c r="C16" s="619"/>
      <c r="D16" s="619"/>
      <c r="E16" s="619"/>
      <c r="F16" s="619"/>
      <c r="G16" s="632"/>
      <c r="H16" s="628"/>
      <c r="I16" s="628"/>
      <c r="J16" s="628" t="s">
        <v>571</v>
      </c>
      <c r="K16" s="628">
        <v>2021</v>
      </c>
      <c r="L16" s="628">
        <v>2021</v>
      </c>
      <c r="M16" s="634" t="s">
        <v>574</v>
      </c>
      <c r="N16" s="630" t="s">
        <v>576</v>
      </c>
    </row>
    <row r="17" spans="1:14" s="1" customFormat="1" ht="18" customHeight="1" thickBot="1">
      <c r="A17" s="631"/>
      <c r="B17" s="619"/>
      <c r="C17" s="619"/>
      <c r="D17" s="619"/>
      <c r="E17" s="619"/>
      <c r="F17" s="619"/>
      <c r="G17" s="632"/>
      <c r="H17" s="636"/>
      <c r="I17" s="636"/>
      <c r="J17" s="636"/>
      <c r="K17" s="636"/>
      <c r="L17" s="637"/>
      <c r="M17" s="637"/>
      <c r="N17" s="638"/>
    </row>
    <row r="18" spans="1:14" ht="18" customHeight="1">
      <c r="A18" s="639" t="s">
        <v>483</v>
      </c>
      <c r="B18" s="640" t="s">
        <v>484</v>
      </c>
      <c r="C18" s="640"/>
      <c r="D18" s="640"/>
      <c r="E18" s="640"/>
      <c r="F18" s="640"/>
      <c r="G18" s="740"/>
      <c r="H18" s="642"/>
      <c r="I18" s="741"/>
      <c r="J18" s="742">
        <v>0</v>
      </c>
      <c r="K18" s="742">
        <v>0</v>
      </c>
      <c r="L18" s="742">
        <v>0</v>
      </c>
      <c r="M18" s="742">
        <f>SUM(K18:L18)</f>
        <v>0</v>
      </c>
      <c r="N18" s="742">
        <f>SUM(L18:M18)</f>
        <v>0</v>
      </c>
    </row>
    <row r="19" spans="1:14" ht="18" customHeight="1">
      <c r="A19" s="680" t="s">
        <v>485</v>
      </c>
      <c r="B19" s="681" t="s">
        <v>486</v>
      </c>
      <c r="C19" s="681"/>
      <c r="D19" s="681"/>
      <c r="E19" s="681"/>
      <c r="F19" s="681"/>
      <c r="G19" s="649"/>
      <c r="H19" s="650"/>
      <c r="I19" s="708"/>
      <c r="J19" s="743"/>
      <c r="K19" s="744"/>
      <c r="L19" s="745"/>
      <c r="M19" s="744"/>
      <c r="N19" s="744"/>
    </row>
    <row r="20" spans="1:14" ht="18" customHeight="1">
      <c r="A20" s="680"/>
      <c r="B20" s="681" t="s">
        <v>518</v>
      </c>
      <c r="C20" s="681"/>
      <c r="D20" s="681"/>
      <c r="E20" s="681"/>
      <c r="F20" s="681"/>
      <c r="G20" s="649"/>
      <c r="H20" s="650"/>
      <c r="I20" s="708"/>
      <c r="J20" s="743"/>
      <c r="K20" s="744"/>
      <c r="L20" s="745"/>
      <c r="M20" s="744"/>
      <c r="N20" s="744"/>
    </row>
    <row r="21" spans="1:14" ht="18" customHeight="1">
      <c r="A21" s="646"/>
      <c r="B21" s="648"/>
      <c r="C21" s="648" t="s">
        <v>185</v>
      </c>
      <c r="D21" s="648"/>
      <c r="E21" s="648"/>
      <c r="F21" s="648"/>
      <c r="G21" s="649"/>
      <c r="H21" s="650"/>
      <c r="I21" s="708"/>
      <c r="J21" s="743"/>
      <c r="K21" s="744"/>
      <c r="L21" s="745"/>
      <c r="M21" s="744"/>
      <c r="N21" s="744"/>
    </row>
    <row r="22" spans="1:14" ht="18" customHeight="1">
      <c r="A22" s="646"/>
      <c r="B22" s="648"/>
      <c r="C22" s="648"/>
      <c r="D22" s="648" t="s">
        <v>487</v>
      </c>
      <c r="E22" s="648" t="s">
        <v>578</v>
      </c>
      <c r="F22" s="648"/>
      <c r="G22" s="649"/>
      <c r="H22" s="650"/>
      <c r="I22" s="708"/>
      <c r="J22" s="743"/>
      <c r="K22" s="744"/>
      <c r="L22" s="745"/>
      <c r="M22" s="744"/>
      <c r="N22" s="744"/>
    </row>
    <row r="23" spans="1:14" ht="18" customHeight="1">
      <c r="A23" s="646"/>
      <c r="B23" s="648"/>
      <c r="C23" s="648"/>
      <c r="D23" s="648"/>
      <c r="E23" s="648" t="s">
        <v>579</v>
      </c>
      <c r="F23" s="648"/>
      <c r="G23" s="685" t="s">
        <v>754</v>
      </c>
      <c r="H23" s="650" t="s">
        <v>747</v>
      </c>
      <c r="I23" s="708" t="s">
        <v>742</v>
      </c>
      <c r="J23" s="746">
        <v>4364257.92</v>
      </c>
      <c r="K23" s="747">
        <v>4880328.78</v>
      </c>
      <c r="L23" s="748">
        <v>1600000</v>
      </c>
      <c r="M23" s="747">
        <f>L23+K23</f>
        <v>6480328.7800000003</v>
      </c>
      <c r="N23" s="747">
        <v>0</v>
      </c>
    </row>
    <row r="24" spans="1:14" ht="18" customHeight="1" thickBot="1">
      <c r="A24" s="655"/>
      <c r="B24" s="656"/>
      <c r="C24" s="656"/>
      <c r="D24" s="656"/>
      <c r="E24" s="656" t="s">
        <v>580</v>
      </c>
      <c r="F24" s="656"/>
      <c r="G24" s="686" t="s">
        <v>755</v>
      </c>
      <c r="H24" s="658" t="s">
        <v>723</v>
      </c>
      <c r="I24" s="712" t="s">
        <v>742</v>
      </c>
      <c r="J24" s="749">
        <v>74217.67</v>
      </c>
      <c r="K24" s="750">
        <v>107939.05</v>
      </c>
      <c r="L24" s="748">
        <v>60000</v>
      </c>
      <c r="M24" s="750">
        <f>L24+K24</f>
        <v>167939.05</v>
      </c>
      <c r="N24" s="750">
        <v>0</v>
      </c>
    </row>
    <row r="25" spans="1:14" s="7" customFormat="1" ht="18" customHeight="1" thickBot="1">
      <c r="A25" s="665"/>
      <c r="B25" s="666"/>
      <c r="C25" s="666" t="s">
        <v>488</v>
      </c>
      <c r="D25" s="666"/>
      <c r="E25" s="666"/>
      <c r="F25" s="666"/>
      <c r="G25" s="667"/>
      <c r="H25" s="668"/>
      <c r="I25" s="714"/>
      <c r="J25" s="751">
        <f>SUM(J22:J24)</f>
        <v>4438475.59</v>
      </c>
      <c r="K25" s="751">
        <f>SUM(K22:K24)</f>
        <v>4988267.83</v>
      </c>
      <c r="L25" s="752">
        <f>SUM(L22:L24)</f>
        <v>1660000</v>
      </c>
      <c r="M25" s="751">
        <f>SUM(M22:M24)</f>
        <v>6648267.8300000001</v>
      </c>
      <c r="N25" s="751">
        <f>SUM(N22:N24)</f>
        <v>0</v>
      </c>
    </row>
    <row r="26" spans="1:14" ht="18" customHeight="1">
      <c r="A26" s="692"/>
      <c r="B26" s="693"/>
      <c r="C26" s="693" t="s">
        <v>186</v>
      </c>
      <c r="D26" s="693"/>
      <c r="E26" s="693"/>
      <c r="F26" s="693"/>
      <c r="G26" s="694"/>
      <c r="H26" s="675"/>
      <c r="I26" s="720"/>
      <c r="J26" s="753"/>
      <c r="K26" s="754"/>
      <c r="L26" s="755"/>
      <c r="M26" s="754"/>
      <c r="N26" s="754"/>
    </row>
    <row r="27" spans="1:14" ht="18" customHeight="1">
      <c r="A27" s="646"/>
      <c r="B27" s="648"/>
      <c r="C27" s="648"/>
      <c r="D27" s="648" t="s">
        <v>489</v>
      </c>
      <c r="E27" s="648"/>
      <c r="F27" s="648"/>
      <c r="G27" s="649"/>
      <c r="H27" s="650"/>
      <c r="I27" s="708"/>
      <c r="J27" s="746"/>
      <c r="K27" s="747"/>
      <c r="L27" s="748"/>
      <c r="M27" s="747"/>
      <c r="N27" s="747"/>
    </row>
    <row r="28" spans="1:14" ht="18" customHeight="1">
      <c r="A28" s="646"/>
      <c r="B28" s="648"/>
      <c r="C28" s="648"/>
      <c r="D28" s="648"/>
      <c r="E28" s="648" t="s">
        <v>582</v>
      </c>
      <c r="F28" s="648" t="s">
        <v>581</v>
      </c>
      <c r="G28" s="685" t="s">
        <v>756</v>
      </c>
      <c r="H28" s="650" t="s">
        <v>729</v>
      </c>
      <c r="I28" s="708" t="s">
        <v>742</v>
      </c>
      <c r="J28" s="746">
        <v>302543</v>
      </c>
      <c r="K28" s="747">
        <v>306454</v>
      </c>
      <c r="L28" s="748">
        <v>60000</v>
      </c>
      <c r="M28" s="747">
        <f t="shared" ref="M28:M43" si="0">L28+K28</f>
        <v>366454</v>
      </c>
      <c r="N28" s="747">
        <v>280000</v>
      </c>
    </row>
    <row r="29" spans="1:14" ht="18" customHeight="1">
      <c r="A29" s="646"/>
      <c r="B29" s="648"/>
      <c r="C29" s="648"/>
      <c r="D29" s="648"/>
      <c r="E29" s="648" t="s">
        <v>583</v>
      </c>
      <c r="F29" s="648"/>
      <c r="G29" s="685" t="s">
        <v>757</v>
      </c>
      <c r="H29" s="650" t="s">
        <v>731</v>
      </c>
      <c r="I29" s="708" t="s">
        <v>742</v>
      </c>
      <c r="J29" s="746">
        <v>878381.41</v>
      </c>
      <c r="K29" s="747">
        <v>906942.97</v>
      </c>
      <c r="L29" s="748">
        <v>110000</v>
      </c>
      <c r="M29" s="747">
        <f t="shared" si="0"/>
        <v>1016942.97</v>
      </c>
      <c r="N29" s="747">
        <v>850000</v>
      </c>
    </row>
    <row r="30" spans="1:14" ht="18" customHeight="1">
      <c r="A30" s="646"/>
      <c r="B30" s="648"/>
      <c r="C30" s="648"/>
      <c r="D30" s="648"/>
      <c r="E30" s="648" t="s">
        <v>1667</v>
      </c>
      <c r="F30" s="648"/>
      <c r="G30" s="685"/>
      <c r="H30" s="650" t="s">
        <v>731</v>
      </c>
      <c r="I30" s="708" t="s">
        <v>742</v>
      </c>
      <c r="J30" s="746">
        <v>0</v>
      </c>
      <c r="K30" s="747">
        <v>0</v>
      </c>
      <c r="L30" s="748">
        <v>0</v>
      </c>
      <c r="M30" s="747">
        <v>0</v>
      </c>
      <c r="N30" s="747">
        <v>60000</v>
      </c>
    </row>
    <row r="31" spans="1:14" ht="18" customHeight="1">
      <c r="A31" s="646"/>
      <c r="B31" s="648"/>
      <c r="C31" s="648"/>
      <c r="D31" s="648"/>
      <c r="E31" s="648" t="s">
        <v>1668</v>
      </c>
      <c r="F31" s="648"/>
      <c r="G31" s="685" t="s">
        <v>758</v>
      </c>
      <c r="H31" s="650" t="s">
        <v>748</v>
      </c>
      <c r="I31" s="708" t="s">
        <v>742</v>
      </c>
      <c r="J31" s="746">
        <v>47744.2</v>
      </c>
      <c r="K31" s="747">
        <v>40410</v>
      </c>
      <c r="L31" s="748">
        <v>3000</v>
      </c>
      <c r="M31" s="747">
        <f t="shared" si="0"/>
        <v>43410</v>
      </c>
      <c r="N31" s="747">
        <v>40000</v>
      </c>
    </row>
    <row r="32" spans="1:14" ht="18" customHeight="1">
      <c r="A32" s="646"/>
      <c r="B32" s="648"/>
      <c r="C32" s="648"/>
      <c r="D32" s="648"/>
      <c r="E32" s="648" t="s">
        <v>1669</v>
      </c>
      <c r="F32" s="648"/>
      <c r="G32" s="685"/>
      <c r="H32" s="650" t="s">
        <v>734</v>
      </c>
      <c r="I32" s="708" t="s">
        <v>742</v>
      </c>
      <c r="J32" s="746">
        <v>0</v>
      </c>
      <c r="K32" s="747">
        <v>0</v>
      </c>
      <c r="L32" s="748"/>
      <c r="M32" s="747"/>
      <c r="N32" s="747">
        <v>700000</v>
      </c>
    </row>
    <row r="33" spans="1:14" ht="18" customHeight="1">
      <c r="A33" s="646"/>
      <c r="B33" s="648"/>
      <c r="C33" s="648"/>
      <c r="D33" s="648"/>
      <c r="E33" s="648" t="s">
        <v>1670</v>
      </c>
      <c r="F33" s="648"/>
      <c r="G33" s="685"/>
      <c r="H33" s="650" t="s">
        <v>748</v>
      </c>
      <c r="I33" s="708" t="s">
        <v>742</v>
      </c>
      <c r="J33" s="746">
        <v>0</v>
      </c>
      <c r="K33" s="747">
        <v>0</v>
      </c>
      <c r="L33" s="748"/>
      <c r="M33" s="747"/>
      <c r="N33" s="747">
        <v>45000</v>
      </c>
    </row>
    <row r="34" spans="1:14" ht="18" customHeight="1">
      <c r="A34" s="646"/>
      <c r="B34" s="648"/>
      <c r="C34" s="648"/>
      <c r="D34" s="648" t="s">
        <v>509</v>
      </c>
      <c r="E34" s="648"/>
      <c r="F34" s="648"/>
      <c r="G34" s="649"/>
      <c r="H34" s="650"/>
      <c r="I34" s="708"/>
      <c r="J34" s="746"/>
      <c r="K34" s="747"/>
      <c r="L34" s="748"/>
      <c r="M34" s="747"/>
      <c r="N34" s="747"/>
    </row>
    <row r="35" spans="1:14" ht="18" customHeight="1">
      <c r="A35" s="646"/>
      <c r="B35" s="648"/>
      <c r="C35" s="648"/>
      <c r="D35" s="648"/>
      <c r="E35" s="648" t="s">
        <v>584</v>
      </c>
      <c r="F35" s="648"/>
      <c r="G35" s="685" t="s">
        <v>759</v>
      </c>
      <c r="H35" s="650" t="s">
        <v>737</v>
      </c>
      <c r="I35" s="708" t="s">
        <v>742</v>
      </c>
      <c r="J35" s="746">
        <v>244670</v>
      </c>
      <c r="K35" s="747">
        <v>250510</v>
      </c>
      <c r="L35" s="748">
        <v>30000</v>
      </c>
      <c r="M35" s="747">
        <f t="shared" si="0"/>
        <v>280510</v>
      </c>
      <c r="N35" s="747">
        <v>230000</v>
      </c>
    </row>
    <row r="36" spans="1:14" ht="18" customHeight="1">
      <c r="A36" s="646"/>
      <c r="B36" s="648"/>
      <c r="C36" s="648"/>
      <c r="D36" s="648"/>
      <c r="E36" s="648" t="s">
        <v>585</v>
      </c>
      <c r="F36" s="648"/>
      <c r="G36" s="685" t="s">
        <v>760</v>
      </c>
      <c r="H36" s="650" t="s">
        <v>749</v>
      </c>
      <c r="I36" s="708" t="s">
        <v>742</v>
      </c>
      <c r="J36" s="746">
        <v>1068502</v>
      </c>
      <c r="K36" s="747">
        <v>204000</v>
      </c>
      <c r="L36" s="748">
        <v>896000</v>
      </c>
      <c r="M36" s="747">
        <f t="shared" si="0"/>
        <v>1100000</v>
      </c>
      <c r="N36" s="747">
        <v>300000</v>
      </c>
    </row>
    <row r="37" spans="1:14" ht="18" customHeight="1">
      <c r="A37" s="646"/>
      <c r="B37" s="648"/>
      <c r="C37" s="648"/>
      <c r="D37" s="648"/>
      <c r="E37" s="648" t="s">
        <v>586</v>
      </c>
      <c r="F37" s="648"/>
      <c r="G37" s="685" t="s">
        <v>761</v>
      </c>
      <c r="H37" s="650" t="s">
        <v>749</v>
      </c>
      <c r="I37" s="708" t="s">
        <v>742</v>
      </c>
      <c r="J37" s="746">
        <v>287550</v>
      </c>
      <c r="K37" s="747">
        <v>64040</v>
      </c>
      <c r="L37" s="748">
        <v>195960</v>
      </c>
      <c r="M37" s="747">
        <f t="shared" si="0"/>
        <v>260000</v>
      </c>
      <c r="N37" s="747">
        <v>100000</v>
      </c>
    </row>
    <row r="38" spans="1:14" ht="18" customHeight="1">
      <c r="A38" s="646"/>
      <c r="B38" s="648"/>
      <c r="C38" s="648"/>
      <c r="D38" s="648"/>
      <c r="E38" s="648" t="s">
        <v>587</v>
      </c>
      <c r="F38" s="648"/>
      <c r="G38" s="685" t="s">
        <v>762</v>
      </c>
      <c r="H38" s="650" t="s">
        <v>750</v>
      </c>
      <c r="I38" s="708" t="s">
        <v>742</v>
      </c>
      <c r="J38" s="746">
        <v>339135</v>
      </c>
      <c r="K38" s="747">
        <v>316975</v>
      </c>
      <c r="L38" s="748">
        <v>3025</v>
      </c>
      <c r="M38" s="747">
        <f t="shared" si="0"/>
        <v>320000</v>
      </c>
      <c r="N38" s="747">
        <v>320000</v>
      </c>
    </row>
    <row r="39" spans="1:14" ht="18" customHeight="1">
      <c r="A39" s="646"/>
      <c r="B39" s="648"/>
      <c r="C39" s="648"/>
      <c r="D39" s="648"/>
      <c r="E39" s="648" t="s">
        <v>588</v>
      </c>
      <c r="F39" s="648"/>
      <c r="G39" s="649"/>
      <c r="H39" s="650"/>
      <c r="I39" s="708"/>
      <c r="J39" s="746"/>
      <c r="K39" s="747"/>
      <c r="L39" s="748"/>
      <c r="M39" s="747"/>
      <c r="N39" s="747"/>
    </row>
    <row r="40" spans="1:14" ht="18" customHeight="1">
      <c r="A40" s="646"/>
      <c r="B40" s="648"/>
      <c r="C40" s="648"/>
      <c r="D40" s="648"/>
      <c r="E40" s="648"/>
      <c r="F40" s="648" t="s">
        <v>589</v>
      </c>
      <c r="G40" s="685" t="s">
        <v>763</v>
      </c>
      <c r="H40" s="650" t="s">
        <v>751</v>
      </c>
      <c r="I40" s="708" t="s">
        <v>742</v>
      </c>
      <c r="J40" s="746">
        <v>2677346</v>
      </c>
      <c r="K40" s="747">
        <v>1883214</v>
      </c>
      <c r="L40" s="748">
        <f>2900000-K40</f>
        <v>1016786</v>
      </c>
      <c r="M40" s="747">
        <f t="shared" si="0"/>
        <v>2900000</v>
      </c>
      <c r="N40" s="747">
        <v>2900000</v>
      </c>
    </row>
    <row r="41" spans="1:14" s="7" customFormat="1" ht="18" customHeight="1">
      <c r="A41" s="646"/>
      <c r="B41" s="648"/>
      <c r="C41" s="648"/>
      <c r="D41" s="648"/>
      <c r="E41" s="648"/>
      <c r="F41" s="648" t="s">
        <v>590</v>
      </c>
      <c r="G41" s="685" t="s">
        <v>764</v>
      </c>
      <c r="H41" s="650" t="s">
        <v>751</v>
      </c>
      <c r="I41" s="708" t="s">
        <v>742</v>
      </c>
      <c r="J41" s="746">
        <v>1606630</v>
      </c>
      <c r="K41" s="747">
        <v>908860</v>
      </c>
      <c r="L41" s="748">
        <v>591140</v>
      </c>
      <c r="M41" s="747">
        <f t="shared" si="0"/>
        <v>1500000</v>
      </c>
      <c r="N41" s="747">
        <v>1500000</v>
      </c>
    </row>
    <row r="42" spans="1:14" s="7" customFormat="1" ht="18" customHeight="1">
      <c r="A42" s="646"/>
      <c r="B42" s="648"/>
      <c r="C42" s="648"/>
      <c r="D42" s="648"/>
      <c r="E42" s="648"/>
      <c r="F42" s="648" t="s">
        <v>591</v>
      </c>
      <c r="G42" s="685" t="s">
        <v>765</v>
      </c>
      <c r="H42" s="650" t="s">
        <v>751</v>
      </c>
      <c r="I42" s="708" t="s">
        <v>742</v>
      </c>
      <c r="J42" s="746">
        <v>1348016.2</v>
      </c>
      <c r="K42" s="747">
        <v>776080.65</v>
      </c>
      <c r="L42" s="748">
        <v>523919.35</v>
      </c>
      <c r="M42" s="747">
        <f t="shared" si="0"/>
        <v>1300000</v>
      </c>
      <c r="N42" s="747">
        <v>1300000</v>
      </c>
    </row>
    <row r="43" spans="1:14" s="7" customFormat="1" ht="18" customHeight="1" thickBot="1">
      <c r="A43" s="655"/>
      <c r="B43" s="656"/>
      <c r="C43" s="656"/>
      <c r="D43" s="656"/>
      <c r="E43" s="656"/>
      <c r="F43" s="656" t="s">
        <v>592</v>
      </c>
      <c r="G43" s="686" t="s">
        <v>766</v>
      </c>
      <c r="H43" s="658" t="s">
        <v>751</v>
      </c>
      <c r="I43" s="712" t="s">
        <v>742</v>
      </c>
      <c r="J43" s="756">
        <v>0</v>
      </c>
      <c r="K43" s="757">
        <v>11400</v>
      </c>
      <c r="L43" s="748">
        <v>0</v>
      </c>
      <c r="M43" s="757">
        <f t="shared" si="0"/>
        <v>11400</v>
      </c>
      <c r="N43" s="758">
        <v>0</v>
      </c>
    </row>
    <row r="44" spans="1:14" s="7" customFormat="1" ht="18" customHeight="1" thickBot="1">
      <c r="A44" s="700"/>
      <c r="B44" s="666"/>
      <c r="C44" s="666" t="s">
        <v>8</v>
      </c>
      <c r="D44" s="666"/>
      <c r="E44" s="666"/>
      <c r="F44" s="666"/>
      <c r="G44" s="667"/>
      <c r="H44" s="668"/>
      <c r="I44" s="714"/>
      <c r="J44" s="751">
        <f>SUM(J28:J43)</f>
        <v>8800517.8100000005</v>
      </c>
      <c r="K44" s="751">
        <f>SUM(K28:K43)</f>
        <v>5668886.6200000001</v>
      </c>
      <c r="L44" s="752">
        <f>SUM(L28:L43)</f>
        <v>3429830.35</v>
      </c>
      <c r="M44" s="751">
        <f>SUM(M28:M43)</f>
        <v>9098716.9699999988</v>
      </c>
      <c r="N44" s="759">
        <f>SUM(N28:N43)</f>
        <v>8625000</v>
      </c>
    </row>
    <row r="45" spans="1:14" s="7" customFormat="1" ht="18" customHeight="1" thickBot="1">
      <c r="A45" s="700" t="s">
        <v>9</v>
      </c>
      <c r="B45" s="666"/>
      <c r="C45" s="666"/>
      <c r="D45" s="666"/>
      <c r="E45" s="666"/>
      <c r="F45" s="666"/>
      <c r="G45" s="667"/>
      <c r="H45" s="668"/>
      <c r="I45" s="714"/>
      <c r="J45" s="751">
        <f>SUM(J44+J25+J18)</f>
        <v>13238993.4</v>
      </c>
      <c r="K45" s="751">
        <f>SUM(K44+K25+K18)</f>
        <v>10657154.449999999</v>
      </c>
      <c r="L45" s="752">
        <f>SUM(L44+L25+L18)</f>
        <v>5089830.3499999996</v>
      </c>
      <c r="M45" s="751">
        <f>SUM(M44+M25+M18)</f>
        <v>15746984.799999999</v>
      </c>
      <c r="N45" s="759">
        <f>SUM(N44+N25+N18)</f>
        <v>8625000</v>
      </c>
    </row>
    <row r="46" spans="1:14" s="7" customFormat="1" ht="18" customHeight="1">
      <c r="A46" s="702"/>
      <c r="B46" s="702"/>
      <c r="C46" s="702"/>
      <c r="D46" s="702"/>
      <c r="E46" s="702"/>
      <c r="F46" s="702"/>
      <c r="G46" s="1099"/>
      <c r="H46" s="885"/>
      <c r="I46" s="703"/>
      <c r="J46" s="760"/>
      <c r="K46" s="760"/>
      <c r="L46" s="761"/>
      <c r="M46" s="761"/>
      <c r="N46" s="760"/>
    </row>
    <row r="47" spans="1:14" s="7" customFormat="1" ht="18" customHeight="1">
      <c r="A47" s="1264" t="s">
        <v>1779</v>
      </c>
      <c r="B47" s="1264"/>
      <c r="C47" s="1264"/>
      <c r="D47" s="1264"/>
      <c r="E47" s="1264"/>
      <c r="F47" s="1264"/>
      <c r="G47" s="1264"/>
      <c r="H47" s="1264"/>
      <c r="I47" s="1264"/>
      <c r="J47" s="1264"/>
      <c r="K47" s="1264"/>
      <c r="L47" s="1264"/>
      <c r="M47" s="1264"/>
      <c r="N47" s="1264"/>
    </row>
    <row r="48" spans="1:14" s="7" customFormat="1" ht="18" customHeight="1">
      <c r="A48" s="1264"/>
      <c r="B48" s="1264"/>
      <c r="C48" s="1264"/>
      <c r="D48" s="1264"/>
      <c r="E48" s="1264"/>
      <c r="F48" s="1264"/>
      <c r="G48" s="1264"/>
      <c r="H48" s="1264"/>
      <c r="I48" s="1264"/>
      <c r="J48" s="1264"/>
      <c r="K48" s="1264"/>
      <c r="L48" s="1264"/>
      <c r="M48" s="1264"/>
      <c r="N48" s="1264"/>
    </row>
    <row r="49" spans="1:14" s="7" customFormat="1" ht="18" customHeight="1">
      <c r="A49" s="1264"/>
      <c r="B49" s="1264"/>
      <c r="C49" s="1264"/>
      <c r="D49" s="1264"/>
      <c r="E49" s="1264"/>
      <c r="F49" s="1264"/>
      <c r="G49" s="1264"/>
      <c r="H49" s="1264"/>
      <c r="I49" s="1264"/>
      <c r="J49" s="1264"/>
      <c r="K49" s="1264"/>
      <c r="L49" s="1264"/>
      <c r="M49" s="1264"/>
      <c r="N49" s="1264"/>
    </row>
    <row r="50" spans="1:14" s="7" customFormat="1" ht="18" customHeight="1">
      <c r="A50" s="146"/>
      <c r="B50" s="146"/>
      <c r="C50" s="146"/>
      <c r="D50" s="146"/>
      <c r="E50" s="146"/>
      <c r="F50" s="146"/>
      <c r="G50" s="1162"/>
      <c r="H50" s="146"/>
      <c r="I50" s="174"/>
      <c r="J50" s="146"/>
      <c r="K50" s="146"/>
      <c r="L50" s="1163"/>
      <c r="M50" s="1163"/>
      <c r="N50" s="146"/>
    </row>
    <row r="51" spans="1:14" s="7" customFormat="1" ht="18" customHeight="1">
      <c r="A51" s="1236" t="s">
        <v>1758</v>
      </c>
      <c r="B51" s="1236"/>
      <c r="C51" s="1236"/>
      <c r="D51" s="1236"/>
      <c r="E51" s="1236"/>
      <c r="F51" s="1236"/>
      <c r="G51" s="1236"/>
      <c r="H51" s="1236"/>
      <c r="I51" s="1236"/>
      <c r="J51" s="1236"/>
      <c r="K51" s="1236"/>
      <c r="L51" s="1236"/>
      <c r="M51" s="1236"/>
      <c r="N51" s="1236"/>
    </row>
    <row r="52" spans="1:14" s="7" customFormat="1" ht="18" customHeight="1">
      <c r="A52" s="218"/>
      <c r="B52" s="218"/>
      <c r="C52" s="218"/>
      <c r="D52" s="218"/>
      <c r="E52" s="218"/>
      <c r="F52" s="218"/>
      <c r="G52" s="218"/>
      <c r="H52" s="218"/>
      <c r="I52" s="218"/>
      <c r="J52" s="218"/>
      <c r="K52" s="218"/>
      <c r="L52" s="218"/>
      <c r="M52" s="218"/>
      <c r="N52" s="218"/>
    </row>
    <row r="53" spans="1:14" s="7" customFormat="1" ht="18" customHeight="1">
      <c r="A53" s="218"/>
      <c r="B53" s="218"/>
      <c r="C53" s="218"/>
      <c r="D53" s="218"/>
      <c r="E53" s="218"/>
      <c r="F53" s="218"/>
      <c r="G53" s="218"/>
      <c r="H53" s="218"/>
      <c r="I53" s="218"/>
      <c r="J53" s="218"/>
      <c r="K53" s="218"/>
      <c r="L53" s="218"/>
      <c r="M53" s="218"/>
      <c r="N53" s="218"/>
    </row>
    <row r="54" spans="1:14" s="7" customFormat="1" ht="18" customHeight="1">
      <c r="A54" s="218"/>
      <c r="B54" s="218"/>
      <c r="C54" s="218"/>
      <c r="D54" s="218"/>
      <c r="E54" s="218"/>
      <c r="F54" s="218"/>
      <c r="G54" s="218"/>
      <c r="H54" s="218"/>
      <c r="I54" s="218"/>
      <c r="J54" s="218"/>
      <c r="K54" s="218"/>
      <c r="L54" s="218"/>
      <c r="M54" s="218"/>
      <c r="N54" s="218"/>
    </row>
    <row r="55" spans="1:14" s="7" customFormat="1" ht="18" customHeight="1">
      <c r="A55" s="218"/>
      <c r="B55" s="218"/>
      <c r="C55" s="218"/>
      <c r="D55" s="218"/>
      <c r="E55" s="218"/>
      <c r="F55" s="218"/>
      <c r="G55" s="218"/>
      <c r="H55" s="218"/>
      <c r="I55" s="218"/>
      <c r="J55" s="218"/>
      <c r="K55" s="218"/>
      <c r="L55" s="218"/>
      <c r="M55" s="218"/>
      <c r="N55" s="218"/>
    </row>
    <row r="56" spans="1:14" s="7" customFormat="1" ht="18" customHeight="1">
      <c r="A56" s="218"/>
      <c r="B56" s="218"/>
      <c r="C56" s="218"/>
      <c r="D56" s="218"/>
      <c r="E56" s="218"/>
      <c r="F56" s="218"/>
      <c r="G56" s="218"/>
      <c r="H56" s="218"/>
      <c r="I56" s="218"/>
      <c r="J56" s="218"/>
      <c r="K56" s="218"/>
      <c r="L56" s="218"/>
      <c r="M56" s="218"/>
      <c r="N56" s="218"/>
    </row>
    <row r="57" spans="1:14" s="7" customFormat="1" ht="18" customHeight="1">
      <c r="A57" s="218"/>
      <c r="B57" s="218"/>
      <c r="C57" s="218"/>
      <c r="D57" s="218"/>
      <c r="E57" s="218"/>
      <c r="F57" s="218"/>
      <c r="G57" s="218"/>
      <c r="H57" s="218"/>
      <c r="I57" s="218"/>
      <c r="J57" s="218"/>
      <c r="K57" s="218"/>
      <c r="L57" s="218"/>
      <c r="M57" s="218"/>
      <c r="N57" s="218"/>
    </row>
    <row r="58" spans="1:14" s="7" customFormat="1" ht="18" customHeight="1">
      <c r="A58" s="1263" t="s">
        <v>1616</v>
      </c>
      <c r="B58" s="1263"/>
      <c r="C58" s="1263"/>
      <c r="D58" s="1263"/>
      <c r="E58" s="1263"/>
      <c r="F58" s="1263"/>
      <c r="G58" s="1263"/>
      <c r="H58" s="1263"/>
      <c r="I58" s="1263"/>
      <c r="J58" s="1263"/>
      <c r="K58" s="1263"/>
      <c r="L58" s="1263"/>
      <c r="M58" s="1263"/>
      <c r="N58" s="1263"/>
    </row>
    <row r="59" spans="1:14" s="7" customFormat="1" ht="18" customHeight="1">
      <c r="A59" s="702"/>
      <c r="B59" s="702"/>
      <c r="C59" s="702"/>
      <c r="D59" s="702"/>
      <c r="E59" s="702"/>
      <c r="F59" s="702"/>
      <c r="G59" s="1099"/>
      <c r="H59" s="885"/>
      <c r="I59" s="703"/>
      <c r="J59" s="760"/>
      <c r="K59" s="760"/>
      <c r="L59" s="761"/>
      <c r="M59" s="761"/>
      <c r="N59" s="760"/>
    </row>
    <row r="60" spans="1:14" s="7" customFormat="1" ht="18" customHeight="1">
      <c r="A60" s="702"/>
      <c r="B60" s="702"/>
      <c r="C60" s="702"/>
      <c r="D60" s="702"/>
      <c r="E60" s="702"/>
      <c r="F60" s="702"/>
      <c r="G60" s="1099"/>
      <c r="H60" s="885"/>
      <c r="I60" s="703"/>
      <c r="J60" s="760"/>
      <c r="K60" s="760"/>
      <c r="L60" s="761"/>
      <c r="M60" s="761"/>
      <c r="N60" s="760"/>
    </row>
    <row r="61" spans="1:14" s="7" customFormat="1" ht="18" customHeight="1">
      <c r="A61" s="702"/>
      <c r="B61" s="702"/>
      <c r="C61" s="702"/>
      <c r="D61" s="702"/>
      <c r="E61" s="702"/>
      <c r="F61" s="702"/>
      <c r="G61" s="1099"/>
      <c r="H61" s="885"/>
      <c r="I61" s="703"/>
      <c r="J61" s="760"/>
      <c r="K61" s="760"/>
      <c r="L61" s="761"/>
      <c r="M61" s="761"/>
      <c r="N61" s="760"/>
    </row>
    <row r="62" spans="1:14" s="7" customFormat="1" ht="18" customHeight="1">
      <c r="A62" s="702"/>
      <c r="B62" s="702"/>
      <c r="C62" s="702"/>
      <c r="D62" s="702"/>
      <c r="E62" s="702"/>
      <c r="F62" s="702"/>
      <c r="G62" s="1099"/>
      <c r="H62" s="885"/>
      <c r="I62" s="703"/>
      <c r="J62" s="760"/>
      <c r="K62" s="760"/>
      <c r="L62" s="761"/>
      <c r="M62" s="761"/>
      <c r="N62" s="760"/>
    </row>
    <row r="63" spans="1:14" s="7" customFormat="1" ht="18" customHeight="1">
      <c r="A63" s="702"/>
      <c r="B63" s="702"/>
      <c r="C63" s="702"/>
      <c r="D63" s="702"/>
      <c r="E63" s="702"/>
      <c r="F63" s="702"/>
      <c r="G63" s="1099"/>
      <c r="H63" s="885"/>
      <c r="I63" s="703"/>
      <c r="J63" s="760"/>
      <c r="K63" s="760"/>
      <c r="L63" s="761"/>
      <c r="M63" s="761"/>
      <c r="N63" s="760"/>
    </row>
    <row r="64" spans="1:14" s="7" customFormat="1" ht="18" customHeight="1">
      <c r="A64" s="702"/>
      <c r="B64" s="702"/>
      <c r="C64" s="702"/>
      <c r="D64" s="702"/>
      <c r="E64" s="702"/>
      <c r="F64" s="702"/>
      <c r="G64" s="1099"/>
      <c r="H64" s="885"/>
      <c r="I64" s="703"/>
      <c r="J64" s="760"/>
      <c r="K64" s="760"/>
      <c r="L64" s="761"/>
      <c r="M64" s="761"/>
      <c r="N64" s="760"/>
    </row>
    <row r="65" spans="1:14" s="7" customFormat="1" ht="18" customHeight="1">
      <c r="A65" s="702"/>
      <c r="B65" s="702"/>
      <c r="C65" s="702"/>
      <c r="D65" s="702"/>
      <c r="E65" s="702"/>
      <c r="F65" s="702"/>
      <c r="G65" s="1099"/>
      <c r="H65" s="885"/>
      <c r="I65" s="703"/>
      <c r="J65" s="760"/>
      <c r="K65" s="760"/>
      <c r="L65" s="761"/>
      <c r="M65" s="761"/>
      <c r="N65" s="760"/>
    </row>
  </sheetData>
  <sheetProtection password="C1B6" sheet="1" objects="1" scenarios="1"/>
  <mergeCells count="12">
    <mergeCell ref="A58:N58"/>
    <mergeCell ref="A1:N1"/>
    <mergeCell ref="A2:N2"/>
    <mergeCell ref="A3:N3"/>
    <mergeCell ref="A4:N4"/>
    <mergeCell ref="A6:N6"/>
    <mergeCell ref="A7:N7"/>
    <mergeCell ref="K13:M13"/>
    <mergeCell ref="A14:F14"/>
    <mergeCell ref="K14:M14"/>
    <mergeCell ref="A47:N49"/>
    <mergeCell ref="A51:N51"/>
  </mergeCells>
  <printOptions horizontalCentered="1"/>
  <pageMargins left="0.5" right="0" top="0.5" bottom="0" header="0.5" footer="0"/>
  <pageSetup paperSize="256" scale="85" orientation="portrait" r:id="rId1"/>
  <headerFooter alignWithMargins="0">
    <oddFooter xml:space="preserve">&amp;C&amp;"Times New Roman,Bold"&amp;14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58"/>
  <sheetViews>
    <sheetView topLeftCell="A19" workbookViewId="0">
      <selection activeCell="P1009" sqref="P1009"/>
    </sheetView>
  </sheetViews>
  <sheetFormatPr defaultRowHeight="15"/>
  <cols>
    <col min="1" max="1" width="2.7109375" style="918" customWidth="1"/>
    <col min="2" max="2" width="3.140625" style="918" customWidth="1"/>
    <col min="3" max="5" width="1.7109375" style="918" customWidth="1"/>
    <col min="6" max="6" width="33.140625" style="918" customWidth="1"/>
    <col min="7" max="7" width="4.85546875" style="918" hidden="1" customWidth="1"/>
    <col min="8" max="8" width="12" style="917" customWidth="1"/>
    <col min="9" max="9" width="14.85546875" style="917" customWidth="1"/>
    <col min="10" max="10" width="14.140625" style="917" hidden="1" customWidth="1"/>
    <col min="11" max="11" width="14.42578125" style="917" hidden="1" customWidth="1"/>
    <col min="12" max="12" width="23.28515625" style="917" customWidth="1"/>
    <col min="13" max="13" width="14.140625" style="917" customWidth="1"/>
    <col min="14" max="14" width="9.140625" style="918"/>
    <col min="15" max="15" width="14" style="918" bestFit="1" customWidth="1"/>
    <col min="16" max="16" width="17.5703125" style="918" bestFit="1" customWidth="1"/>
    <col min="17" max="21" width="14" style="918" bestFit="1" customWidth="1"/>
    <col min="22" max="16384" width="9.140625" style="918"/>
  </cols>
  <sheetData>
    <row r="1" spans="1:14" s="1113" customFormat="1" ht="15" customHeight="1">
      <c r="A1" s="1259" t="s">
        <v>883</v>
      </c>
      <c r="B1" s="1259"/>
      <c r="C1" s="1259"/>
      <c r="D1" s="1259"/>
      <c r="E1" s="1259"/>
      <c r="F1" s="1259"/>
      <c r="G1" s="1259"/>
      <c r="H1" s="1259"/>
      <c r="I1" s="1259"/>
      <c r="J1" s="1259"/>
      <c r="K1" s="1259"/>
      <c r="L1" s="1259"/>
      <c r="M1" s="1259"/>
      <c r="N1" s="1165"/>
    </row>
    <row r="2" spans="1:14" s="1113" customFormat="1" ht="15" customHeight="1">
      <c r="A2" s="1259" t="s">
        <v>178</v>
      </c>
      <c r="B2" s="1259"/>
      <c r="C2" s="1259"/>
      <c r="D2" s="1259"/>
      <c r="E2" s="1259"/>
      <c r="F2" s="1259"/>
      <c r="G2" s="1259"/>
      <c r="H2" s="1259"/>
      <c r="I2" s="1259"/>
      <c r="J2" s="1259"/>
      <c r="K2" s="1259"/>
      <c r="L2" s="1259"/>
      <c r="M2" s="1259"/>
      <c r="N2" s="1165"/>
    </row>
    <row r="3" spans="1:14" s="1113" customFormat="1" ht="15" customHeight="1">
      <c r="A3" s="1259" t="s">
        <v>1742</v>
      </c>
      <c r="B3" s="1259"/>
      <c r="C3" s="1259"/>
      <c r="D3" s="1259"/>
      <c r="E3" s="1259"/>
      <c r="F3" s="1259"/>
      <c r="G3" s="1259"/>
      <c r="H3" s="1259"/>
      <c r="I3" s="1259"/>
      <c r="J3" s="1259"/>
      <c r="K3" s="1259"/>
      <c r="L3" s="1259"/>
      <c r="M3" s="1259"/>
      <c r="N3" s="1165"/>
    </row>
    <row r="4" spans="1:14" s="1113" customFormat="1" ht="15" customHeight="1">
      <c r="A4" s="1259"/>
      <c r="B4" s="1259"/>
      <c r="C4" s="1259"/>
      <c r="D4" s="1259"/>
      <c r="E4" s="1259"/>
      <c r="F4" s="1259"/>
      <c r="G4" s="1259"/>
      <c r="H4" s="1259"/>
      <c r="I4" s="1259"/>
      <c r="J4" s="1259"/>
      <c r="K4" s="1259"/>
      <c r="L4" s="1259"/>
      <c r="M4" s="1259"/>
      <c r="N4" s="1165"/>
    </row>
    <row r="5" spans="1:14" s="1113" customFormat="1" ht="15" customHeight="1">
      <c r="A5" s="1145"/>
      <c r="B5" s="1145"/>
      <c r="C5" s="1145"/>
      <c r="D5" s="1145"/>
      <c r="E5" s="1145"/>
      <c r="F5" s="1145"/>
      <c r="G5" s="1145"/>
      <c r="H5" s="1145"/>
      <c r="I5" s="1145"/>
      <c r="J5" s="1145"/>
      <c r="K5" s="1145"/>
      <c r="L5" s="1145"/>
      <c r="M5" s="1145"/>
      <c r="N5" s="1165"/>
    </row>
    <row r="6" spans="1:14" s="1113" customFormat="1" ht="15" customHeight="1">
      <c r="A6" s="1145"/>
      <c r="B6" s="1145"/>
      <c r="C6" s="1145"/>
      <c r="D6" s="1145"/>
      <c r="E6" s="1145"/>
      <c r="F6" s="1145"/>
      <c r="G6" s="1145"/>
      <c r="H6" s="1145"/>
      <c r="I6" s="1145"/>
      <c r="J6" s="1145"/>
      <c r="K6" s="1145"/>
      <c r="L6" s="1145"/>
      <c r="M6" s="1145"/>
      <c r="N6" s="1165"/>
    </row>
    <row r="7" spans="1:14" s="1113" customFormat="1" ht="15" customHeight="1">
      <c r="A7" s="1145"/>
      <c r="B7" s="1145"/>
      <c r="C7" s="1145"/>
      <c r="D7" s="1145"/>
      <c r="E7" s="1145"/>
      <c r="F7" s="1145"/>
      <c r="G7" s="1145"/>
      <c r="H7" s="1145"/>
      <c r="I7" s="1145"/>
      <c r="J7" s="1145"/>
      <c r="K7" s="1145"/>
      <c r="L7" s="1145"/>
      <c r="M7" s="1145"/>
      <c r="N7" s="1165"/>
    </row>
    <row r="8" spans="1:14" s="1113" customFormat="1" ht="18" customHeight="1">
      <c r="A8" s="1232" t="s">
        <v>1743</v>
      </c>
      <c r="B8" s="1232"/>
      <c r="C8" s="1232"/>
      <c r="D8" s="1232"/>
      <c r="E8" s="1232"/>
      <c r="F8" s="1232"/>
      <c r="G8" s="1232"/>
      <c r="H8" s="1232"/>
      <c r="I8" s="1232"/>
      <c r="J8" s="1232"/>
      <c r="K8" s="1232"/>
      <c r="L8" s="1232"/>
      <c r="M8" s="1232"/>
      <c r="N8" s="1166"/>
    </row>
    <row r="9" spans="1:14" s="1113" customFormat="1">
      <c r="A9" s="1234" t="s">
        <v>1780</v>
      </c>
      <c r="B9" s="1234"/>
      <c r="C9" s="1234"/>
      <c r="D9" s="1234"/>
      <c r="E9" s="1234"/>
      <c r="F9" s="1234"/>
      <c r="G9" s="1234"/>
      <c r="H9" s="1234"/>
      <c r="I9" s="1234"/>
      <c r="J9" s="1234"/>
      <c r="K9" s="1234"/>
      <c r="L9" s="1234"/>
      <c r="M9" s="1234"/>
      <c r="N9" s="1167"/>
    </row>
    <row r="10" spans="1:14" s="1113" customFormat="1" ht="15.75">
      <c r="A10" s="1113" t="s">
        <v>1781</v>
      </c>
      <c r="G10" s="1145"/>
      <c r="I10" s="1160"/>
      <c r="L10" s="1146"/>
      <c r="M10" s="1146"/>
    </row>
    <row r="11" spans="1:14" s="1113" customFormat="1" ht="15.75">
      <c r="A11" s="1113" t="s">
        <v>1776</v>
      </c>
      <c r="G11" s="1145"/>
      <c r="I11" s="1160"/>
      <c r="L11" s="1146"/>
      <c r="M11" s="1146"/>
    </row>
    <row r="12" spans="1:14" s="1113" customFormat="1" ht="8.1" customHeight="1">
      <c r="A12" s="1161" t="s">
        <v>1774</v>
      </c>
      <c r="G12" s="1145"/>
      <c r="I12" s="1160"/>
      <c r="L12" s="1146"/>
      <c r="M12" s="1146"/>
    </row>
    <row r="13" spans="1:14" s="1113" customFormat="1" ht="15.75" customHeight="1">
      <c r="A13" s="1113" t="s">
        <v>287</v>
      </c>
      <c r="C13" s="1275" t="s">
        <v>1782</v>
      </c>
      <c r="D13" s="1275"/>
      <c r="E13" s="1275"/>
      <c r="F13" s="1275"/>
      <c r="G13" s="1275"/>
      <c r="H13" s="1275"/>
      <c r="I13" s="1275"/>
      <c r="J13" s="1275"/>
      <c r="K13" s="1275"/>
      <c r="L13" s="1275"/>
      <c r="M13" s="1275"/>
      <c r="N13" s="1144"/>
    </row>
    <row r="14" spans="1:14" s="1113" customFormat="1" ht="15.75" customHeight="1">
      <c r="C14" s="1275"/>
      <c r="D14" s="1275"/>
      <c r="E14" s="1275"/>
      <c r="F14" s="1275"/>
      <c r="G14" s="1275"/>
      <c r="H14" s="1275"/>
      <c r="I14" s="1275"/>
      <c r="J14" s="1275"/>
      <c r="K14" s="1275"/>
      <c r="L14" s="1275"/>
      <c r="M14" s="1275"/>
      <c r="N14" s="1144"/>
    </row>
    <row r="15" spans="1:14" s="1113" customFormat="1" ht="15.75" customHeight="1">
      <c r="C15" s="1275"/>
      <c r="D15" s="1275"/>
      <c r="E15" s="1275"/>
      <c r="F15" s="1275"/>
      <c r="G15" s="1275"/>
      <c r="H15" s="1275"/>
      <c r="I15" s="1275"/>
      <c r="J15" s="1275"/>
      <c r="K15" s="1275"/>
      <c r="L15" s="1275"/>
      <c r="M15" s="1275"/>
      <c r="N15" s="1144"/>
    </row>
    <row r="16" spans="1:14" ht="15.75" customHeight="1" thickBot="1">
      <c r="A16" s="1265"/>
      <c r="B16" s="1265"/>
      <c r="C16" s="1265"/>
      <c r="D16" s="1265"/>
      <c r="E16" s="1265"/>
      <c r="F16" s="1265"/>
      <c r="G16" s="1265"/>
      <c r="H16" s="1265"/>
      <c r="I16" s="1265"/>
      <c r="J16" s="1265"/>
      <c r="K16" s="1265"/>
      <c r="L16" s="1265"/>
      <c r="M16" s="1265"/>
    </row>
    <row r="17" spans="1:24" ht="18" customHeight="1">
      <c r="A17" s="919"/>
      <c r="B17" s="920"/>
      <c r="C17" s="920"/>
      <c r="D17" s="920"/>
      <c r="E17" s="920"/>
      <c r="F17" s="921"/>
      <c r="G17" s="922"/>
      <c r="H17" s="923"/>
      <c r="I17" s="923" t="s">
        <v>6</v>
      </c>
      <c r="J17" s="1266" t="s">
        <v>630</v>
      </c>
      <c r="K17" s="1267"/>
      <c r="L17" s="1268"/>
      <c r="M17" s="924" t="s">
        <v>7</v>
      </c>
    </row>
    <row r="18" spans="1:24" ht="18" customHeight="1">
      <c r="A18" s="1269"/>
      <c r="B18" s="1270"/>
      <c r="C18" s="1270"/>
      <c r="D18" s="1270"/>
      <c r="E18" s="1270"/>
      <c r="F18" s="1271"/>
      <c r="G18" s="1106"/>
      <c r="H18" s="925"/>
      <c r="I18" s="925">
        <v>2020</v>
      </c>
      <c r="J18" s="925" t="s">
        <v>572</v>
      </c>
      <c r="K18" s="925" t="s">
        <v>573</v>
      </c>
      <c r="L18" s="925">
        <v>2021</v>
      </c>
      <c r="M18" s="926">
        <v>2022</v>
      </c>
    </row>
    <row r="19" spans="1:24" ht="18" customHeight="1">
      <c r="A19" s="1269" t="s">
        <v>21</v>
      </c>
      <c r="B19" s="1270"/>
      <c r="C19" s="1270"/>
      <c r="D19" s="1270"/>
      <c r="E19" s="1270"/>
      <c r="F19" s="1271"/>
      <c r="G19" s="927"/>
      <c r="H19" s="928" t="s">
        <v>624</v>
      </c>
      <c r="I19" s="925" t="s">
        <v>933</v>
      </c>
      <c r="J19" s="925" t="s">
        <v>571</v>
      </c>
      <c r="K19" s="925" t="s">
        <v>574</v>
      </c>
      <c r="L19" s="925" t="s">
        <v>933</v>
      </c>
      <c r="M19" s="926" t="s">
        <v>933</v>
      </c>
    </row>
    <row r="20" spans="1:24" ht="18" customHeight="1">
      <c r="A20" s="929"/>
      <c r="B20" s="930"/>
      <c r="C20" s="930"/>
      <c r="D20" s="930"/>
      <c r="E20" s="930"/>
      <c r="F20" s="931"/>
      <c r="G20" s="927"/>
      <c r="H20" s="925"/>
      <c r="I20" s="1220" t="s">
        <v>571</v>
      </c>
      <c r="J20" s="925">
        <v>2021</v>
      </c>
      <c r="K20" s="925">
        <v>2021</v>
      </c>
      <c r="L20" s="1220" t="s">
        <v>934</v>
      </c>
      <c r="M20" s="1221" t="s">
        <v>576</v>
      </c>
    </row>
    <row r="21" spans="1:24" ht="18" customHeight="1" thickBot="1">
      <c r="A21" s="1272"/>
      <c r="B21" s="1273"/>
      <c r="C21" s="1273"/>
      <c r="D21" s="1273"/>
      <c r="E21" s="1273"/>
      <c r="F21" s="1274"/>
      <c r="G21" s="1107"/>
      <c r="H21" s="932"/>
      <c r="I21" s="932"/>
      <c r="J21" s="932"/>
      <c r="K21" s="932"/>
      <c r="L21" s="932"/>
      <c r="M21" s="933"/>
    </row>
    <row r="22" spans="1:24" ht="18" customHeight="1">
      <c r="A22" s="934"/>
      <c r="B22" s="935" t="s">
        <v>366</v>
      </c>
      <c r="C22" s="936"/>
      <c r="D22" s="935"/>
      <c r="E22" s="935"/>
      <c r="F22" s="937"/>
      <c r="G22" s="938"/>
      <c r="H22" s="939"/>
      <c r="I22" s="940"/>
      <c r="J22" s="941"/>
      <c r="K22" s="941"/>
      <c r="L22" s="941"/>
      <c r="M22" s="941"/>
    </row>
    <row r="23" spans="1:24" ht="18" customHeight="1">
      <c r="A23" s="942"/>
      <c r="B23" s="943"/>
      <c r="C23" s="943" t="s">
        <v>525</v>
      </c>
      <c r="D23" s="943"/>
      <c r="E23" s="943"/>
      <c r="F23" s="944"/>
      <c r="G23" s="945"/>
      <c r="H23" s="946"/>
      <c r="I23" s="947"/>
      <c r="J23" s="948"/>
      <c r="K23" s="948"/>
      <c r="L23" s="948"/>
      <c r="M23" s="948"/>
    </row>
    <row r="24" spans="1:24" ht="18" customHeight="1">
      <c r="A24" s="942"/>
      <c r="B24" s="943"/>
      <c r="C24" s="943"/>
      <c r="D24" s="943" t="s">
        <v>526</v>
      </c>
      <c r="E24" s="943"/>
      <c r="F24" s="944"/>
      <c r="G24" s="945" t="s">
        <v>594</v>
      </c>
      <c r="H24" s="949" t="s">
        <v>687</v>
      </c>
      <c r="I24" s="950">
        <v>3226204.69</v>
      </c>
      <c r="J24" s="951">
        <v>1632186</v>
      </c>
      <c r="K24" s="951">
        <f>3374658-J24</f>
        <v>1742472</v>
      </c>
      <c r="L24" s="951">
        <f>SUM(K24+J24)</f>
        <v>3374658</v>
      </c>
      <c r="M24" s="951">
        <f>3513513+508320+461076+461076+144072+144072+144072+144072</f>
        <v>5520273</v>
      </c>
      <c r="O24" s="989"/>
      <c r="P24" s="989"/>
      <c r="Q24" s="989"/>
      <c r="R24" s="989"/>
      <c r="S24" s="989"/>
      <c r="T24" s="989"/>
    </row>
    <row r="25" spans="1:24" ht="18" customHeight="1">
      <c r="A25" s="942"/>
      <c r="B25" s="943"/>
      <c r="C25" s="943"/>
      <c r="D25" s="943" t="s">
        <v>428</v>
      </c>
      <c r="E25" s="943"/>
      <c r="F25" s="944"/>
      <c r="G25" s="945"/>
      <c r="H25" s="949" t="s">
        <v>689</v>
      </c>
      <c r="I25" s="950">
        <v>0</v>
      </c>
      <c r="J25" s="951">
        <v>132977</v>
      </c>
      <c r="K25" s="951">
        <f>368244-J25</f>
        <v>235267</v>
      </c>
      <c r="L25" s="951">
        <f>SUM(K25+J25)</f>
        <v>368244</v>
      </c>
      <c r="M25" s="951">
        <f>1659684</f>
        <v>1659684</v>
      </c>
      <c r="O25" s="989"/>
      <c r="P25" s="989"/>
      <c r="Q25" s="989"/>
      <c r="R25" s="989"/>
      <c r="S25" s="989"/>
    </row>
    <row r="26" spans="1:24" ht="18" customHeight="1">
      <c r="A26" s="942"/>
      <c r="B26" s="943"/>
      <c r="C26" s="943" t="s">
        <v>527</v>
      </c>
      <c r="D26" s="943"/>
      <c r="E26" s="943"/>
      <c r="F26" s="944"/>
      <c r="G26" s="945"/>
      <c r="H26" s="952"/>
      <c r="I26" s="950"/>
      <c r="J26" s="951"/>
      <c r="K26" s="951"/>
      <c r="L26" s="951"/>
      <c r="M26" s="951"/>
    </row>
    <row r="27" spans="1:24" ht="18" customHeight="1">
      <c r="A27" s="942"/>
      <c r="B27" s="943"/>
      <c r="C27" s="943"/>
      <c r="D27" s="943" t="s">
        <v>528</v>
      </c>
      <c r="E27" s="943"/>
      <c r="F27" s="944"/>
      <c r="G27" s="945" t="s">
        <v>595</v>
      </c>
      <c r="H27" s="949" t="s">
        <v>688</v>
      </c>
      <c r="I27" s="950">
        <v>262000</v>
      </c>
      <c r="J27" s="951">
        <v>144000</v>
      </c>
      <c r="K27" s="951">
        <f>336000-J27</f>
        <v>192000</v>
      </c>
      <c r="L27" s="951">
        <f t="shared" ref="L27:L45" si="0">SUM(K27+J27)</f>
        <v>336000</v>
      </c>
      <c r="M27" s="951">
        <f>264000+312000+24000+24000+24000+24000+24000+24000+24000</f>
        <v>744000</v>
      </c>
      <c r="O27" s="989"/>
      <c r="P27" s="989"/>
      <c r="Q27" s="989"/>
      <c r="R27" s="989"/>
      <c r="S27" s="989"/>
    </row>
    <row r="28" spans="1:24" ht="18" customHeight="1">
      <c r="A28" s="942"/>
      <c r="B28" s="943"/>
      <c r="C28" s="943"/>
      <c r="D28" s="943" t="s">
        <v>538</v>
      </c>
      <c r="E28" s="943"/>
      <c r="F28" s="944"/>
      <c r="G28" s="945" t="s">
        <v>596</v>
      </c>
      <c r="H28" s="949" t="s">
        <v>689</v>
      </c>
      <c r="I28" s="950">
        <v>91800</v>
      </c>
      <c r="J28" s="951">
        <v>45900</v>
      </c>
      <c r="K28" s="951">
        <f>91800-J28</f>
        <v>45900</v>
      </c>
      <c r="L28" s="951">
        <f t="shared" si="0"/>
        <v>91800</v>
      </c>
      <c r="M28" s="951">
        <f>91800</f>
        <v>91800</v>
      </c>
      <c r="O28" s="989"/>
      <c r="P28" s="989"/>
      <c r="Q28" s="989"/>
      <c r="R28" s="989"/>
      <c r="S28" s="989"/>
      <c r="T28" s="989"/>
      <c r="U28" s="989"/>
      <c r="V28" s="989"/>
      <c r="W28" s="989"/>
      <c r="X28" s="989"/>
    </row>
    <row r="29" spans="1:24" ht="18" customHeight="1">
      <c r="A29" s="942"/>
      <c r="B29" s="943"/>
      <c r="C29" s="943"/>
      <c r="D29" s="943" t="s">
        <v>537</v>
      </c>
      <c r="E29" s="943"/>
      <c r="F29" s="944"/>
      <c r="G29" s="945" t="s">
        <v>597</v>
      </c>
      <c r="H29" s="949" t="s">
        <v>690</v>
      </c>
      <c r="I29" s="950">
        <v>0</v>
      </c>
      <c r="J29" s="951">
        <v>0</v>
      </c>
      <c r="K29" s="951">
        <f>91800-J29</f>
        <v>91800</v>
      </c>
      <c r="L29" s="951">
        <f t="shared" si="0"/>
        <v>91800</v>
      </c>
      <c r="M29" s="951">
        <f>91800</f>
        <v>91800</v>
      </c>
      <c r="O29" s="989"/>
      <c r="P29" s="989"/>
      <c r="Q29" s="989"/>
      <c r="R29" s="989"/>
      <c r="S29" s="989"/>
    </row>
    <row r="30" spans="1:24" ht="18" customHeight="1">
      <c r="A30" s="942"/>
      <c r="B30" s="943"/>
      <c r="C30" s="943"/>
      <c r="D30" s="943" t="s">
        <v>539</v>
      </c>
      <c r="E30" s="943"/>
      <c r="F30" s="944"/>
      <c r="G30" s="945" t="s">
        <v>598</v>
      </c>
      <c r="H30" s="949" t="s">
        <v>691</v>
      </c>
      <c r="I30" s="950">
        <v>60000</v>
      </c>
      <c r="J30" s="951">
        <v>66000</v>
      </c>
      <c r="K30" s="951">
        <f>84000-J30</f>
        <v>18000</v>
      </c>
      <c r="L30" s="951">
        <f t="shared" si="0"/>
        <v>84000</v>
      </c>
      <c r="M30" s="951">
        <f>66000+78000+6000+6000+6000+6000+6000+6000+6000</f>
        <v>186000</v>
      </c>
      <c r="O30" s="989"/>
      <c r="P30" s="989"/>
      <c r="Q30" s="989"/>
      <c r="R30" s="989"/>
      <c r="S30" s="989"/>
    </row>
    <row r="31" spans="1:24" ht="18" customHeight="1">
      <c r="A31" s="942"/>
      <c r="B31" s="943"/>
      <c r="C31" s="943"/>
      <c r="D31" s="943" t="s">
        <v>685</v>
      </c>
      <c r="E31" s="943"/>
      <c r="F31" s="944"/>
      <c r="G31" s="945" t="s">
        <v>600</v>
      </c>
      <c r="H31" s="949" t="s">
        <v>692</v>
      </c>
      <c r="I31" s="950">
        <v>55000</v>
      </c>
      <c r="J31" s="951">
        <v>0</v>
      </c>
      <c r="K31" s="951">
        <f>70000-J31</f>
        <v>70000</v>
      </c>
      <c r="L31" s="951">
        <f t="shared" si="0"/>
        <v>70000</v>
      </c>
      <c r="M31" s="951">
        <f>55000+65000+5000+5000+5000+5000+5000+5000+5000</f>
        <v>155000</v>
      </c>
      <c r="O31" s="989"/>
      <c r="P31" s="989"/>
      <c r="Q31" s="989"/>
      <c r="R31" s="989"/>
      <c r="S31" s="989"/>
    </row>
    <row r="32" spans="1:24" ht="18" customHeight="1">
      <c r="A32" s="942"/>
      <c r="B32" s="943"/>
      <c r="C32" s="943"/>
      <c r="D32" s="943" t="s">
        <v>541</v>
      </c>
      <c r="E32" s="943"/>
      <c r="F32" s="944"/>
      <c r="G32" s="945" t="s">
        <v>433</v>
      </c>
      <c r="H32" s="949" t="s">
        <v>693</v>
      </c>
      <c r="I32" s="950">
        <v>5000</v>
      </c>
      <c r="J32" s="951">
        <v>0</v>
      </c>
      <c r="K32" s="951">
        <f>0-J32</f>
        <v>0</v>
      </c>
      <c r="L32" s="951">
        <f t="shared" si="0"/>
        <v>0</v>
      </c>
      <c r="M32" s="951">
        <v>0</v>
      </c>
      <c r="O32" s="989"/>
      <c r="P32" s="989"/>
      <c r="Q32" s="989"/>
      <c r="R32" s="989"/>
      <c r="S32" s="989"/>
    </row>
    <row r="33" spans="1:19" ht="18" customHeight="1">
      <c r="A33" s="942"/>
      <c r="B33" s="943"/>
      <c r="C33" s="943"/>
      <c r="D33" s="943" t="s">
        <v>1513</v>
      </c>
      <c r="E33" s="943"/>
      <c r="F33" s="944"/>
      <c r="G33" s="945"/>
      <c r="H33" s="949" t="s">
        <v>693</v>
      </c>
      <c r="I33" s="950">
        <v>137915.28</v>
      </c>
      <c r="J33" s="951">
        <v>0</v>
      </c>
      <c r="K33" s="951">
        <f>2000000-J33</f>
        <v>2000000</v>
      </c>
      <c r="L33" s="951">
        <f t="shared" si="0"/>
        <v>2000000</v>
      </c>
      <c r="M33" s="951">
        <v>0</v>
      </c>
      <c r="O33" s="989"/>
      <c r="P33" s="989"/>
      <c r="Q33" s="989"/>
      <c r="R33" s="989"/>
      <c r="S33" s="989"/>
    </row>
    <row r="34" spans="1:19" ht="18" customHeight="1">
      <c r="A34" s="942"/>
      <c r="B34" s="943"/>
      <c r="C34" s="943"/>
      <c r="D34" s="943" t="s">
        <v>544</v>
      </c>
      <c r="E34" s="943"/>
      <c r="F34" s="944"/>
      <c r="G34" s="945" t="s">
        <v>603</v>
      </c>
      <c r="H34" s="949" t="s">
        <v>694</v>
      </c>
      <c r="I34" s="950">
        <v>55000</v>
      </c>
      <c r="J34" s="951">
        <v>0</v>
      </c>
      <c r="K34" s="951">
        <f>70000-J34</f>
        <v>70000</v>
      </c>
      <c r="L34" s="951">
        <f t="shared" si="0"/>
        <v>70000</v>
      </c>
      <c r="M34" s="951">
        <f>55000+65000+5000+5000+5000+5000+5000+5000+5000</f>
        <v>155000</v>
      </c>
      <c r="O34" s="989"/>
      <c r="P34" s="989"/>
      <c r="Q34" s="989"/>
      <c r="R34" s="989"/>
      <c r="S34" s="989"/>
    </row>
    <row r="35" spans="1:19" ht="18" customHeight="1">
      <c r="A35" s="942"/>
      <c r="B35" s="943"/>
      <c r="C35" s="943"/>
      <c r="D35" s="943" t="s">
        <v>805</v>
      </c>
      <c r="E35" s="943"/>
      <c r="F35" s="943"/>
      <c r="G35" s="953" t="s">
        <v>433</v>
      </c>
      <c r="H35" s="949" t="s">
        <v>693</v>
      </c>
      <c r="I35" s="950">
        <v>270497</v>
      </c>
      <c r="J35" s="951">
        <v>264168</v>
      </c>
      <c r="K35" s="951">
        <f>311764-J35</f>
        <v>47596</v>
      </c>
      <c r="L35" s="951">
        <f t="shared" si="0"/>
        <v>311764</v>
      </c>
      <c r="M35" s="951">
        <f>291640+138307+42360+38423+38423+48024</f>
        <v>597177</v>
      </c>
      <c r="O35" s="989"/>
      <c r="P35" s="989"/>
      <c r="Q35" s="989"/>
      <c r="R35" s="989"/>
      <c r="S35" s="989"/>
    </row>
    <row r="36" spans="1:19" ht="18" customHeight="1">
      <c r="A36" s="942"/>
      <c r="B36" s="943"/>
      <c r="C36" s="943"/>
      <c r="D36" s="943" t="s">
        <v>1630</v>
      </c>
      <c r="E36" s="943"/>
      <c r="F36" s="943"/>
      <c r="G36" s="953"/>
      <c r="H36" s="949" t="s">
        <v>693</v>
      </c>
      <c r="I36" s="950">
        <v>0</v>
      </c>
      <c r="J36" s="951">
        <v>33000</v>
      </c>
      <c r="K36" s="951">
        <f>57000-J36</f>
        <v>24000</v>
      </c>
      <c r="L36" s="951">
        <f t="shared" si="0"/>
        <v>57000</v>
      </c>
      <c r="M36" s="951">
        <v>0</v>
      </c>
      <c r="O36" s="989"/>
      <c r="P36" s="989"/>
      <c r="Q36" s="989"/>
      <c r="R36" s="989"/>
      <c r="S36" s="989"/>
    </row>
    <row r="37" spans="1:19" ht="18" customHeight="1">
      <c r="A37" s="942"/>
      <c r="B37" s="943"/>
      <c r="C37" s="943"/>
      <c r="D37" s="943" t="s">
        <v>543</v>
      </c>
      <c r="E37" s="943"/>
      <c r="F37" s="944"/>
      <c r="G37" s="953" t="s">
        <v>601</v>
      </c>
      <c r="H37" s="949" t="s">
        <v>709</v>
      </c>
      <c r="I37" s="950">
        <v>499958.74</v>
      </c>
      <c r="J37" s="951">
        <v>0</v>
      </c>
      <c r="K37" s="951">
        <f>0-J37</f>
        <v>0</v>
      </c>
      <c r="L37" s="951">
        <f t="shared" si="0"/>
        <v>0</v>
      </c>
      <c r="M37" s="951">
        <v>0</v>
      </c>
      <c r="O37" s="989"/>
      <c r="P37" s="989"/>
      <c r="Q37" s="989"/>
      <c r="R37" s="989"/>
      <c r="S37" s="989"/>
    </row>
    <row r="38" spans="1:19" ht="18" customHeight="1">
      <c r="A38" s="942"/>
      <c r="B38" s="943"/>
      <c r="C38" s="943"/>
      <c r="D38" s="943" t="s">
        <v>545</v>
      </c>
      <c r="E38" s="943"/>
      <c r="F38" s="944"/>
      <c r="G38" s="945" t="s">
        <v>604</v>
      </c>
      <c r="H38" s="949" t="s">
        <v>695</v>
      </c>
      <c r="I38" s="950">
        <v>270668</v>
      </c>
      <c r="J38" s="951">
        <v>0</v>
      </c>
      <c r="K38" s="951">
        <f>312006-J38</f>
        <v>312006</v>
      </c>
      <c r="L38" s="951">
        <f t="shared" si="0"/>
        <v>312006</v>
      </c>
      <c r="M38" s="951">
        <f>294270+138307+42360+38423+38423+48024</f>
        <v>599807</v>
      </c>
      <c r="O38" s="989"/>
      <c r="P38" s="989"/>
      <c r="Q38" s="989"/>
      <c r="R38" s="989"/>
      <c r="S38" s="989"/>
    </row>
    <row r="39" spans="1:19" ht="18" customHeight="1">
      <c r="A39" s="942"/>
      <c r="B39" s="943"/>
      <c r="C39" s="943"/>
      <c r="D39" s="943" t="s">
        <v>658</v>
      </c>
      <c r="E39" s="943"/>
      <c r="F39" s="944"/>
      <c r="G39" s="945" t="s">
        <v>605</v>
      </c>
      <c r="H39" s="949" t="s">
        <v>696</v>
      </c>
      <c r="I39" s="950">
        <v>387628.34</v>
      </c>
      <c r="J39" s="951">
        <v>198331.92</v>
      </c>
      <c r="K39" s="951">
        <f>455000-J39</f>
        <v>256668.08</v>
      </c>
      <c r="L39" s="951">
        <f t="shared" si="0"/>
        <v>455000</v>
      </c>
      <c r="M39" s="951">
        <f>423000+201500+61000+55500+55500+70000</f>
        <v>866500</v>
      </c>
      <c r="O39" s="989"/>
      <c r="P39" s="989"/>
      <c r="Q39" s="989"/>
      <c r="R39" s="989"/>
      <c r="S39" s="989"/>
    </row>
    <row r="40" spans="1:19" ht="18" customHeight="1">
      <c r="A40" s="942"/>
      <c r="B40" s="943"/>
      <c r="C40" s="943"/>
      <c r="D40" s="943" t="s">
        <v>546</v>
      </c>
      <c r="E40" s="943"/>
      <c r="F40" s="944"/>
      <c r="G40" s="945" t="s">
        <v>606</v>
      </c>
      <c r="H40" s="949" t="s">
        <v>697</v>
      </c>
      <c r="I40" s="950">
        <v>13100</v>
      </c>
      <c r="J40" s="951">
        <v>7100</v>
      </c>
      <c r="K40" s="951">
        <f>25200-J40</f>
        <v>18100</v>
      </c>
      <c r="L40" s="951">
        <f t="shared" si="0"/>
        <v>25200</v>
      </c>
      <c r="M40" s="951">
        <f>19800+23400+1800+1800+1800+7200</f>
        <v>55800</v>
      </c>
      <c r="O40" s="989"/>
      <c r="P40" s="989"/>
      <c r="Q40" s="989"/>
      <c r="R40" s="989"/>
      <c r="S40" s="989"/>
    </row>
    <row r="41" spans="1:19" ht="18" customHeight="1">
      <c r="A41" s="942"/>
      <c r="B41" s="943"/>
      <c r="C41" s="943"/>
      <c r="D41" s="943" t="s">
        <v>547</v>
      </c>
      <c r="E41" s="943"/>
      <c r="F41" s="944"/>
      <c r="G41" s="945" t="s">
        <v>607</v>
      </c>
      <c r="H41" s="949" t="s">
        <v>698</v>
      </c>
      <c r="I41" s="950">
        <v>38925</v>
      </c>
      <c r="J41" s="951">
        <v>21030</v>
      </c>
      <c r="K41" s="951">
        <f>68600-J41</f>
        <v>47570</v>
      </c>
      <c r="L41" s="951">
        <f t="shared" si="0"/>
        <v>68600</v>
      </c>
      <c r="M41" s="951">
        <f>71000+35100+10200+9300+9300+12000</f>
        <v>146900</v>
      </c>
      <c r="O41" s="989"/>
      <c r="P41" s="989"/>
      <c r="Q41" s="989"/>
      <c r="R41" s="989"/>
      <c r="S41" s="989"/>
    </row>
    <row r="42" spans="1:19" ht="18" customHeight="1">
      <c r="A42" s="942"/>
      <c r="B42" s="943"/>
      <c r="C42" s="943"/>
      <c r="D42" s="943" t="s">
        <v>654</v>
      </c>
      <c r="E42" s="943"/>
      <c r="F42" s="944"/>
      <c r="G42" s="945" t="s">
        <v>608</v>
      </c>
      <c r="H42" s="949" t="s">
        <v>699</v>
      </c>
      <c r="I42" s="950">
        <v>13098.18</v>
      </c>
      <c r="J42" s="951">
        <v>6800</v>
      </c>
      <c r="K42" s="951">
        <f>16800-J42</f>
        <v>10000</v>
      </c>
      <c r="L42" s="951">
        <f t="shared" si="0"/>
        <v>16800</v>
      </c>
      <c r="M42" s="951">
        <f>13200+15600+1200+1200+1200+4800</f>
        <v>37200</v>
      </c>
      <c r="O42" s="989"/>
      <c r="P42" s="989"/>
      <c r="Q42" s="989"/>
      <c r="R42" s="989"/>
      <c r="S42" s="989"/>
    </row>
    <row r="43" spans="1:19" ht="18" customHeight="1">
      <c r="A43" s="942"/>
      <c r="B43" s="943"/>
      <c r="C43" s="943"/>
      <c r="D43" s="943" t="s">
        <v>372</v>
      </c>
      <c r="E43" s="943"/>
      <c r="F43" s="944"/>
      <c r="G43" s="945" t="s">
        <v>609</v>
      </c>
      <c r="H43" s="949" t="s">
        <v>700</v>
      </c>
      <c r="I43" s="950">
        <v>0</v>
      </c>
      <c r="J43" s="951">
        <v>0</v>
      </c>
      <c r="K43" s="951">
        <f>1000000-J43</f>
        <v>1000000</v>
      </c>
      <c r="L43" s="951">
        <f t="shared" si="0"/>
        <v>1000000</v>
      </c>
      <c r="M43" s="951">
        <v>1300000</v>
      </c>
      <c r="O43" s="989"/>
      <c r="P43" s="989"/>
      <c r="Q43" s="989"/>
      <c r="R43" s="989"/>
      <c r="S43" s="989"/>
    </row>
    <row r="44" spans="1:19" ht="18" customHeight="1">
      <c r="A44" s="942"/>
      <c r="B44" s="943"/>
      <c r="C44" s="943"/>
      <c r="D44" s="943" t="s">
        <v>549</v>
      </c>
      <c r="E44" s="943"/>
      <c r="F44" s="944"/>
      <c r="G44" s="945" t="s">
        <v>396</v>
      </c>
      <c r="H44" s="949" t="s">
        <v>711</v>
      </c>
      <c r="I44" s="950">
        <v>254578.66</v>
      </c>
      <c r="J44" s="951">
        <v>159055.29</v>
      </c>
      <c r="K44" s="951">
        <f>160028.82-J44</f>
        <v>973.52999999999884</v>
      </c>
      <c r="L44" s="951">
        <f t="shared" si="0"/>
        <v>160028.82</v>
      </c>
      <c r="M44" s="951">
        <v>0</v>
      </c>
      <c r="O44" s="989"/>
      <c r="P44" s="989"/>
      <c r="Q44" s="989"/>
      <c r="R44" s="989"/>
      <c r="S44" s="989"/>
    </row>
    <row r="45" spans="1:19" ht="18" customHeight="1">
      <c r="A45" s="942"/>
      <c r="B45" s="943"/>
      <c r="C45" s="943"/>
      <c r="D45" s="943" t="s">
        <v>1514</v>
      </c>
      <c r="E45" s="943"/>
      <c r="F45" s="944"/>
      <c r="G45" s="945"/>
      <c r="H45" s="949" t="s">
        <v>711</v>
      </c>
      <c r="I45" s="950">
        <v>110000</v>
      </c>
      <c r="J45" s="951">
        <v>0</v>
      </c>
      <c r="K45" s="951">
        <f>0-J45</f>
        <v>0</v>
      </c>
      <c r="L45" s="951">
        <f t="shared" si="0"/>
        <v>0</v>
      </c>
      <c r="M45" s="951">
        <v>0</v>
      </c>
      <c r="O45" s="989"/>
      <c r="P45" s="989"/>
      <c r="Q45" s="989"/>
      <c r="R45" s="989"/>
      <c r="S45" s="989"/>
    </row>
    <row r="46" spans="1:19" s="959" customFormat="1" ht="18" customHeight="1">
      <c r="A46" s="954"/>
      <c r="B46" s="955"/>
      <c r="C46" s="955"/>
      <c r="D46" s="955" t="s">
        <v>371</v>
      </c>
      <c r="E46" s="955"/>
      <c r="F46" s="956"/>
      <c r="G46" s="957"/>
      <c r="H46" s="946"/>
      <c r="I46" s="958">
        <f>SUM(I24:I45)</f>
        <v>5751373.8899999997</v>
      </c>
      <c r="J46" s="958">
        <f>SUM(J24:J45)</f>
        <v>2710548.21</v>
      </c>
      <c r="K46" s="958">
        <f>SUM(K24:K45)</f>
        <v>6182352.6100000003</v>
      </c>
      <c r="L46" s="958">
        <f>SUM(L24:L45)</f>
        <v>8892900.8200000003</v>
      </c>
      <c r="M46" s="958">
        <f>SUM(M24:M45)</f>
        <v>12206941</v>
      </c>
    </row>
    <row r="47" spans="1:19" ht="18" customHeight="1">
      <c r="A47" s="942"/>
      <c r="B47" s="943" t="s">
        <v>550</v>
      </c>
      <c r="C47" s="943"/>
      <c r="D47" s="943"/>
      <c r="E47" s="943"/>
      <c r="F47" s="944"/>
      <c r="G47" s="945"/>
      <c r="H47" s="952"/>
      <c r="I47" s="950"/>
      <c r="J47" s="951"/>
      <c r="K47" s="951"/>
      <c r="L47" s="951"/>
      <c r="M47" s="951"/>
    </row>
    <row r="48" spans="1:19" ht="18" customHeight="1">
      <c r="A48" s="942"/>
      <c r="B48" s="943"/>
      <c r="C48" s="943"/>
      <c r="D48" s="943" t="s">
        <v>551</v>
      </c>
      <c r="E48" s="943"/>
      <c r="F48" s="944"/>
      <c r="G48" s="945" t="s">
        <v>384</v>
      </c>
      <c r="H48" s="949" t="s">
        <v>701</v>
      </c>
      <c r="I48" s="950">
        <v>468005</v>
      </c>
      <c r="J48" s="951">
        <v>249030</v>
      </c>
      <c r="K48" s="951">
        <f>632000-J48</f>
        <v>382970</v>
      </c>
      <c r="L48" s="951">
        <f t="shared" ref="L48:L56" si="1">SUM(K48+J48)</f>
        <v>632000</v>
      </c>
      <c r="M48" s="951">
        <f>650000</f>
        <v>650000</v>
      </c>
    </row>
    <row r="49" spans="1:19" ht="18" customHeight="1">
      <c r="A49" s="942"/>
      <c r="B49" s="943"/>
      <c r="C49" s="943"/>
      <c r="D49" s="943" t="s">
        <v>429</v>
      </c>
      <c r="E49" s="943"/>
      <c r="F49" s="944"/>
      <c r="G49" s="945" t="s">
        <v>385</v>
      </c>
      <c r="H49" s="949" t="s">
        <v>702</v>
      </c>
      <c r="I49" s="950">
        <v>55550</v>
      </c>
      <c r="J49" s="951">
        <v>15800</v>
      </c>
      <c r="K49" s="951">
        <f>450000-J49</f>
        <v>434200</v>
      </c>
      <c r="L49" s="951">
        <f t="shared" si="1"/>
        <v>450000</v>
      </c>
      <c r="M49" s="951">
        <f>450000</f>
        <v>450000</v>
      </c>
    </row>
    <row r="50" spans="1:19" ht="18" customHeight="1">
      <c r="A50" s="942"/>
      <c r="B50" s="943"/>
      <c r="C50" s="943"/>
      <c r="D50" s="943" t="s">
        <v>378</v>
      </c>
      <c r="E50" s="943"/>
      <c r="F50" s="944"/>
      <c r="G50" s="945" t="s">
        <v>387</v>
      </c>
      <c r="H50" s="949" t="s">
        <v>703</v>
      </c>
      <c r="I50" s="950">
        <v>941688.75</v>
      </c>
      <c r="J50" s="951">
        <v>600017.1</v>
      </c>
      <c r="K50" s="951">
        <f>1250000-J50</f>
        <v>649982.9</v>
      </c>
      <c r="L50" s="951">
        <f t="shared" si="1"/>
        <v>1250000</v>
      </c>
      <c r="M50" s="951">
        <f>1300000</f>
        <v>1300000</v>
      </c>
      <c r="N50" s="960"/>
    </row>
    <row r="51" spans="1:19" ht="18" customHeight="1">
      <c r="A51" s="942"/>
      <c r="B51" s="943"/>
      <c r="C51" s="943"/>
      <c r="D51" s="943" t="s">
        <v>555</v>
      </c>
      <c r="E51" s="943"/>
      <c r="F51" s="944"/>
      <c r="G51" s="945" t="s">
        <v>613</v>
      </c>
      <c r="H51" s="949" t="s">
        <v>704</v>
      </c>
      <c r="I51" s="950">
        <v>0</v>
      </c>
      <c r="J51" s="951">
        <v>0</v>
      </c>
      <c r="K51" s="951">
        <f>10000-J51</f>
        <v>10000</v>
      </c>
      <c r="L51" s="951">
        <f t="shared" si="1"/>
        <v>10000</v>
      </c>
      <c r="M51" s="951">
        <f>10000</f>
        <v>10000</v>
      </c>
    </row>
    <row r="52" spans="1:19" ht="18" customHeight="1">
      <c r="A52" s="942"/>
      <c r="B52" s="943"/>
      <c r="C52" s="943"/>
      <c r="D52" s="943" t="s">
        <v>557</v>
      </c>
      <c r="E52" s="943"/>
      <c r="F52" s="944"/>
      <c r="G52" s="945" t="s">
        <v>388</v>
      </c>
      <c r="H52" s="949" t="s">
        <v>705</v>
      </c>
      <c r="I52" s="950">
        <v>42000</v>
      </c>
      <c r="J52" s="951">
        <v>36000</v>
      </c>
      <c r="K52" s="951">
        <f>72000-J52</f>
        <v>36000</v>
      </c>
      <c r="L52" s="951">
        <f t="shared" si="1"/>
        <v>72000</v>
      </c>
      <c r="M52" s="951">
        <f>72000</f>
        <v>72000</v>
      </c>
    </row>
    <row r="53" spans="1:19" ht="18" customHeight="1">
      <c r="A53" s="942"/>
      <c r="B53" s="943"/>
      <c r="C53" s="943"/>
      <c r="D53" s="943" t="s">
        <v>926</v>
      </c>
      <c r="E53" s="943"/>
      <c r="F53" s="944"/>
      <c r="G53" s="945" t="s">
        <v>389</v>
      </c>
      <c r="H53" s="949" t="s">
        <v>706</v>
      </c>
      <c r="I53" s="950">
        <v>17100</v>
      </c>
      <c r="J53" s="951">
        <v>32450</v>
      </c>
      <c r="K53" s="951">
        <f>300000-J53</f>
        <v>267550</v>
      </c>
      <c r="L53" s="951">
        <f t="shared" si="1"/>
        <v>300000</v>
      </c>
      <c r="M53" s="951">
        <f>300000</f>
        <v>300000</v>
      </c>
      <c r="O53" s="989"/>
      <c r="P53" s="989"/>
      <c r="Q53" s="989"/>
      <c r="R53" s="989"/>
      <c r="S53" s="989"/>
    </row>
    <row r="54" spans="1:19" ht="18" customHeight="1">
      <c r="A54" s="942"/>
      <c r="B54" s="943"/>
      <c r="C54" s="943"/>
      <c r="D54" s="943" t="s">
        <v>561</v>
      </c>
      <c r="E54" s="943"/>
      <c r="F54" s="944"/>
      <c r="G54" s="945" t="s">
        <v>618</v>
      </c>
      <c r="H54" s="949" t="s">
        <v>719</v>
      </c>
      <c r="I54" s="950">
        <v>0</v>
      </c>
      <c r="J54" s="951">
        <v>0</v>
      </c>
      <c r="K54" s="951">
        <f>69366-J54</f>
        <v>69366</v>
      </c>
      <c r="L54" s="951">
        <f t="shared" si="1"/>
        <v>69366</v>
      </c>
      <c r="M54" s="951">
        <f>55755</f>
        <v>55755</v>
      </c>
    </row>
    <row r="55" spans="1:19" ht="18" customHeight="1">
      <c r="A55" s="942"/>
      <c r="B55" s="943"/>
      <c r="C55" s="943"/>
      <c r="D55" s="943" t="s">
        <v>564</v>
      </c>
      <c r="E55" s="943"/>
      <c r="F55" s="944"/>
      <c r="G55" s="945" t="s">
        <v>390</v>
      </c>
      <c r="H55" s="949" t="s">
        <v>707</v>
      </c>
      <c r="I55" s="950">
        <v>520084.6</v>
      </c>
      <c r="J55" s="951">
        <v>124265</v>
      </c>
      <c r="K55" s="951">
        <f>250000-J55</f>
        <v>125735</v>
      </c>
      <c r="L55" s="951">
        <f t="shared" si="1"/>
        <v>250000</v>
      </c>
      <c r="M55" s="951">
        <f>300000</f>
        <v>300000</v>
      </c>
    </row>
    <row r="56" spans="1:19" ht="18" customHeight="1">
      <c r="A56" s="942"/>
      <c r="B56" s="943"/>
      <c r="C56" s="943"/>
      <c r="D56" s="943" t="s">
        <v>1631</v>
      </c>
      <c r="E56" s="943"/>
      <c r="F56" s="944"/>
      <c r="G56" s="945"/>
      <c r="H56" s="949" t="s">
        <v>707</v>
      </c>
      <c r="I56" s="950">
        <v>548500</v>
      </c>
      <c r="J56" s="951">
        <v>0</v>
      </c>
      <c r="K56" s="951">
        <f>0-J56</f>
        <v>0</v>
      </c>
      <c r="L56" s="951">
        <f t="shared" si="1"/>
        <v>0</v>
      </c>
      <c r="M56" s="951"/>
    </row>
    <row r="57" spans="1:19" s="959" customFormat="1" ht="18" customHeight="1">
      <c r="A57" s="954"/>
      <c r="B57" s="955"/>
      <c r="C57" s="955"/>
      <c r="D57" s="955" t="s">
        <v>752</v>
      </c>
      <c r="E57" s="955"/>
      <c r="F57" s="956"/>
      <c r="G57" s="957"/>
      <c r="H57" s="946"/>
      <c r="I57" s="958">
        <f>SUM(I48:I56)</f>
        <v>2592928.35</v>
      </c>
      <c r="J57" s="958">
        <f>SUM(J48:J56)</f>
        <v>1057562.1000000001</v>
      </c>
      <c r="K57" s="958">
        <f>SUM(K48:K56)</f>
        <v>1975803.9</v>
      </c>
      <c r="L57" s="958">
        <f>SUM(L48:L56)</f>
        <v>3033366</v>
      </c>
      <c r="M57" s="958">
        <f>SUM(M48:M56)</f>
        <v>3137755</v>
      </c>
      <c r="O57" s="1032"/>
      <c r="P57" s="1032"/>
      <c r="Q57" s="1032"/>
      <c r="R57" s="1032"/>
      <c r="S57" s="1032"/>
    </row>
    <row r="58" spans="1:19" ht="18" customHeight="1">
      <c r="A58" s="942"/>
      <c r="B58" s="943" t="s">
        <v>565</v>
      </c>
      <c r="C58" s="943"/>
      <c r="D58" s="943"/>
      <c r="E58" s="943"/>
      <c r="F58" s="944"/>
      <c r="G58" s="945"/>
      <c r="H58" s="952"/>
      <c r="I58" s="950"/>
      <c r="J58" s="951"/>
      <c r="K58" s="951"/>
      <c r="L58" s="951"/>
      <c r="M58" s="951"/>
    </row>
    <row r="59" spans="1:19" ht="18" customHeight="1">
      <c r="A59" s="942"/>
      <c r="B59" s="943"/>
      <c r="C59" s="943"/>
      <c r="D59" s="943" t="s">
        <v>686</v>
      </c>
      <c r="E59" s="943"/>
      <c r="F59" s="944"/>
      <c r="G59" s="945" t="s">
        <v>846</v>
      </c>
      <c r="H59" s="949" t="s">
        <v>847</v>
      </c>
      <c r="I59" s="950">
        <v>1045670</v>
      </c>
      <c r="J59" s="950">
        <v>46408</v>
      </c>
      <c r="K59" s="950">
        <f>100000-J59</f>
        <v>53592</v>
      </c>
      <c r="L59" s="951">
        <f t="shared" ref="L59:L66" si="2">SUM(K59+J59)</f>
        <v>100000</v>
      </c>
      <c r="M59" s="951">
        <v>400000</v>
      </c>
    </row>
    <row r="60" spans="1:19" ht="18" customHeight="1">
      <c r="A60" s="942"/>
      <c r="B60" s="943"/>
      <c r="C60" s="943"/>
      <c r="D60" s="943" t="s">
        <v>852</v>
      </c>
      <c r="E60" s="943"/>
      <c r="F60" s="944"/>
      <c r="G60" s="945" t="s">
        <v>940</v>
      </c>
      <c r="H60" s="949" t="s">
        <v>853</v>
      </c>
      <c r="I60" s="950">
        <v>5999866</v>
      </c>
      <c r="J60" s="951">
        <v>0</v>
      </c>
      <c r="K60" s="950">
        <f>0-J60</f>
        <v>0</v>
      </c>
      <c r="L60" s="951">
        <f t="shared" si="2"/>
        <v>0</v>
      </c>
      <c r="M60" s="951">
        <v>0</v>
      </c>
    </row>
    <row r="61" spans="1:19" ht="18" customHeight="1">
      <c r="A61" s="942"/>
      <c r="B61" s="943"/>
      <c r="C61" s="943"/>
      <c r="D61" s="943" t="s">
        <v>1486</v>
      </c>
      <c r="E61" s="943"/>
      <c r="F61" s="944"/>
      <c r="G61" s="945"/>
      <c r="H61" s="949" t="s">
        <v>1485</v>
      </c>
      <c r="I61" s="950">
        <v>849241.73</v>
      </c>
      <c r="J61" s="951">
        <v>0</v>
      </c>
      <c r="K61" s="950">
        <f>0-J61</f>
        <v>0</v>
      </c>
      <c r="L61" s="951">
        <f t="shared" si="2"/>
        <v>0</v>
      </c>
      <c r="M61" s="951">
        <v>0</v>
      </c>
    </row>
    <row r="62" spans="1:19" ht="18" customHeight="1">
      <c r="A62" s="942"/>
      <c r="B62" s="943"/>
      <c r="C62" s="943"/>
      <c r="D62" s="943" t="s">
        <v>854</v>
      </c>
      <c r="E62" s="943"/>
      <c r="F62" s="944"/>
      <c r="G62" s="945" t="s">
        <v>941</v>
      </c>
      <c r="H62" s="949" t="s">
        <v>857</v>
      </c>
      <c r="I62" s="950">
        <f>1885200</f>
        <v>1885200</v>
      </c>
      <c r="J62" s="951">
        <v>0</v>
      </c>
      <c r="K62" s="950">
        <f>600000-J62</f>
        <v>600000</v>
      </c>
      <c r="L62" s="951">
        <f t="shared" si="2"/>
        <v>600000</v>
      </c>
      <c r="M62" s="951">
        <v>8800000</v>
      </c>
    </row>
    <row r="63" spans="1:19" ht="18" customHeight="1">
      <c r="A63" s="942"/>
      <c r="B63" s="943"/>
      <c r="C63" s="943"/>
      <c r="D63" s="943" t="s">
        <v>1482</v>
      </c>
      <c r="E63" s="943"/>
      <c r="F63" s="944"/>
      <c r="G63" s="945"/>
      <c r="H63" s="949" t="s">
        <v>950</v>
      </c>
      <c r="I63" s="950">
        <v>3480053.49</v>
      </c>
      <c r="J63" s="951">
        <v>2198847.61</v>
      </c>
      <c r="K63" s="950">
        <f>2700000-J63</f>
        <v>501152.39000000013</v>
      </c>
      <c r="L63" s="951">
        <f t="shared" si="2"/>
        <v>2700000</v>
      </c>
      <c r="M63" s="951">
        <v>0</v>
      </c>
    </row>
    <row r="64" spans="1:19" ht="18" customHeight="1">
      <c r="A64" s="942"/>
      <c r="B64" s="943"/>
      <c r="C64" s="943"/>
      <c r="D64" s="943" t="s">
        <v>1563</v>
      </c>
      <c r="E64" s="943"/>
      <c r="F64" s="944"/>
      <c r="G64" s="945"/>
      <c r="H64" s="949" t="s">
        <v>1562</v>
      </c>
      <c r="I64" s="950">
        <v>0</v>
      </c>
      <c r="J64" s="951">
        <v>0</v>
      </c>
      <c r="K64" s="950">
        <f>700000-J64</f>
        <v>700000</v>
      </c>
      <c r="L64" s="951">
        <f t="shared" si="2"/>
        <v>700000</v>
      </c>
      <c r="M64" s="951">
        <v>0</v>
      </c>
    </row>
    <row r="65" spans="1:19" ht="18" customHeight="1">
      <c r="A65" s="942"/>
      <c r="B65" s="943"/>
      <c r="C65" s="943"/>
      <c r="D65" s="943" t="s">
        <v>1720</v>
      </c>
      <c r="E65" s="943"/>
      <c r="F65" s="944"/>
      <c r="G65" s="945"/>
      <c r="H65" s="949" t="s">
        <v>1721</v>
      </c>
      <c r="I65" s="950">
        <v>0</v>
      </c>
      <c r="J65" s="951">
        <v>0</v>
      </c>
      <c r="K65" s="950">
        <v>0</v>
      </c>
      <c r="L65" s="951">
        <v>0</v>
      </c>
      <c r="M65" s="951">
        <v>0</v>
      </c>
    </row>
    <row r="66" spans="1:19" ht="18" customHeight="1">
      <c r="A66" s="942"/>
      <c r="B66" s="943"/>
      <c r="C66" s="943"/>
      <c r="D66" s="943" t="s">
        <v>927</v>
      </c>
      <c r="E66" s="943"/>
      <c r="F66" s="944"/>
      <c r="G66" s="945" t="s">
        <v>951</v>
      </c>
      <c r="H66" s="949" t="s">
        <v>928</v>
      </c>
      <c r="I66" s="950">
        <v>399566</v>
      </c>
      <c r="J66" s="951">
        <v>0</v>
      </c>
      <c r="K66" s="950">
        <f>900000-J66</f>
        <v>900000</v>
      </c>
      <c r="L66" s="951">
        <f t="shared" si="2"/>
        <v>900000</v>
      </c>
      <c r="M66" s="951">
        <v>300000</v>
      </c>
    </row>
    <row r="67" spans="1:19" s="959" customFormat="1" ht="18" customHeight="1">
      <c r="A67" s="954"/>
      <c r="B67" s="955"/>
      <c r="C67" s="955"/>
      <c r="D67" s="955" t="s">
        <v>797</v>
      </c>
      <c r="E67" s="955"/>
      <c r="F67" s="956"/>
      <c r="G67" s="957"/>
      <c r="H67" s="946"/>
      <c r="I67" s="958">
        <f>SUM(I59:I66)</f>
        <v>13659597.220000001</v>
      </c>
      <c r="J67" s="958">
        <f>SUM(J59:J66)</f>
        <v>2245255.61</v>
      </c>
      <c r="K67" s="958">
        <f>SUM(K59:K66)</f>
        <v>2754744.39</v>
      </c>
      <c r="L67" s="958">
        <f>SUM(L59:L66)</f>
        <v>5000000</v>
      </c>
      <c r="M67" s="958">
        <f>SUM(M59:M66)</f>
        <v>9500000</v>
      </c>
      <c r="N67" s="1168"/>
      <c r="O67" s="1032"/>
      <c r="P67" s="1032"/>
      <c r="Q67" s="1032"/>
      <c r="R67" s="1032"/>
      <c r="S67" s="1032"/>
    </row>
    <row r="68" spans="1:19" s="959" customFormat="1" ht="18" customHeight="1">
      <c r="A68" s="954"/>
      <c r="B68" s="955"/>
      <c r="C68" s="955"/>
      <c r="D68" s="955"/>
      <c r="E68" s="955"/>
      <c r="F68" s="956"/>
      <c r="G68" s="957"/>
      <c r="H68" s="946"/>
      <c r="I68" s="958"/>
      <c r="J68" s="961"/>
      <c r="K68" s="961"/>
      <c r="L68" s="961"/>
      <c r="M68" s="961"/>
    </row>
    <row r="69" spans="1:19" s="959" customFormat="1" ht="18" customHeight="1">
      <c r="A69" s="962" t="s">
        <v>625</v>
      </c>
      <c r="B69" s="963"/>
      <c r="C69" s="963"/>
      <c r="D69" s="963"/>
      <c r="E69" s="963"/>
      <c r="F69" s="964"/>
      <c r="G69" s="965"/>
      <c r="H69" s="966"/>
      <c r="I69" s="967">
        <f>SUM(I67+I57+I46)</f>
        <v>22003899.460000001</v>
      </c>
      <c r="J69" s="967">
        <f>SUM(J67+J57+J46)</f>
        <v>6013365.9199999999</v>
      </c>
      <c r="K69" s="967">
        <f>SUM(K67+K57+K46)</f>
        <v>10912900.9</v>
      </c>
      <c r="L69" s="967">
        <f>SUM(L67+L57+L46)</f>
        <v>16926266.82</v>
      </c>
      <c r="M69" s="967">
        <f>SUM(M67+M57+M46)</f>
        <v>24844696</v>
      </c>
    </row>
    <row r="70" spans="1:19" ht="18" customHeight="1">
      <c r="A70" s="930"/>
      <c r="B70" s="968"/>
      <c r="C70" s="930"/>
      <c r="D70" s="930"/>
      <c r="E70" s="930"/>
      <c r="F70" s="930"/>
      <c r="G70" s="930"/>
      <c r="H70" s="969"/>
      <c r="I70" s="969"/>
      <c r="J70" s="970"/>
      <c r="K70" s="970"/>
      <c r="L70" s="970"/>
      <c r="M70" s="970"/>
    </row>
    <row r="71" spans="1:19" s="917" customFormat="1" ht="18" customHeight="1">
      <c r="A71" s="1278" t="s">
        <v>1758</v>
      </c>
      <c r="B71" s="1278"/>
      <c r="C71" s="1278"/>
      <c r="D71" s="1278"/>
      <c r="E71" s="1278"/>
      <c r="F71" s="1278"/>
      <c r="G71" s="1278"/>
      <c r="H71" s="1278"/>
      <c r="I71" s="1278"/>
      <c r="J71" s="1278"/>
      <c r="K71" s="1278"/>
      <c r="L71" s="1278"/>
      <c r="M71" s="1278"/>
    </row>
    <row r="72" spans="1:19" s="917" customFormat="1" ht="18" customHeight="1">
      <c r="A72" s="915"/>
      <c r="B72" s="914"/>
      <c r="C72" s="915"/>
      <c r="D72" s="915"/>
      <c r="E72" s="915"/>
      <c r="F72" s="971"/>
      <c r="G72" s="972"/>
      <c r="H72" s="969"/>
      <c r="I72" s="969"/>
      <c r="K72" s="973"/>
      <c r="L72" s="973"/>
      <c r="M72" s="970"/>
    </row>
    <row r="73" spans="1:19" s="917" customFormat="1" ht="20.100000000000001" customHeight="1">
      <c r="A73" s="1276" t="s">
        <v>1617</v>
      </c>
      <c r="B73" s="1276"/>
      <c r="C73" s="1276"/>
      <c r="D73" s="1276"/>
      <c r="E73" s="1276"/>
      <c r="F73" s="1276"/>
      <c r="G73" s="1276"/>
      <c r="H73" s="1276"/>
      <c r="I73" s="1276"/>
      <c r="J73" s="1276"/>
      <c r="K73" s="1276"/>
      <c r="L73" s="1276"/>
      <c r="M73" s="1276"/>
    </row>
    <row r="74" spans="1:19" s="917" customFormat="1" ht="18" customHeight="1">
      <c r="A74" s="914"/>
      <c r="B74" s="915"/>
      <c r="C74" s="915"/>
      <c r="D74" s="915"/>
      <c r="E74" s="915"/>
      <c r="F74" s="915"/>
      <c r="G74" s="915"/>
      <c r="H74" s="915"/>
      <c r="I74" s="915"/>
      <c r="J74" s="915"/>
      <c r="K74" s="915"/>
      <c r="L74" s="915"/>
      <c r="M74" s="916"/>
    </row>
    <row r="75" spans="1:19" s="917" customFormat="1" ht="18" customHeight="1">
      <c r="A75" s="914"/>
      <c r="B75" s="915"/>
      <c r="C75" s="915"/>
      <c r="D75" s="915"/>
      <c r="E75" s="915"/>
      <c r="F75" s="915"/>
      <c r="G75" s="915"/>
      <c r="H75" s="915"/>
      <c r="I75" s="915"/>
      <c r="J75" s="915"/>
      <c r="K75" s="915"/>
      <c r="L75" s="915"/>
      <c r="M75" s="916"/>
    </row>
    <row r="76" spans="1:19" s="1113" customFormat="1" ht="15" customHeight="1">
      <c r="A76" s="1259" t="s">
        <v>883</v>
      </c>
      <c r="B76" s="1259"/>
      <c r="C76" s="1259"/>
      <c r="D76" s="1259"/>
      <c r="E76" s="1259"/>
      <c r="F76" s="1259"/>
      <c r="G76" s="1259"/>
      <c r="H76" s="1259"/>
      <c r="I76" s="1259"/>
      <c r="J76" s="1259"/>
      <c r="K76" s="1259"/>
      <c r="L76" s="1259"/>
      <c r="M76" s="1259"/>
      <c r="N76" s="1165"/>
    </row>
    <row r="77" spans="1:19" s="1113" customFormat="1" ht="15" customHeight="1">
      <c r="A77" s="1259" t="s">
        <v>178</v>
      </c>
      <c r="B77" s="1259"/>
      <c r="C77" s="1259"/>
      <c r="D77" s="1259"/>
      <c r="E77" s="1259"/>
      <c r="F77" s="1259"/>
      <c r="G77" s="1259"/>
      <c r="H77" s="1259"/>
      <c r="I77" s="1259"/>
      <c r="J77" s="1259"/>
      <c r="K77" s="1259"/>
      <c r="L77" s="1259"/>
      <c r="M77" s="1259"/>
      <c r="N77" s="1165"/>
    </row>
    <row r="78" spans="1:19" s="1113" customFormat="1" ht="15" customHeight="1">
      <c r="A78" s="1259" t="s">
        <v>1742</v>
      </c>
      <c r="B78" s="1259"/>
      <c r="C78" s="1259"/>
      <c r="D78" s="1259"/>
      <c r="E78" s="1259"/>
      <c r="F78" s="1259"/>
      <c r="G78" s="1259"/>
      <c r="H78" s="1259"/>
      <c r="I78" s="1259"/>
      <c r="J78" s="1259"/>
      <c r="K78" s="1259"/>
      <c r="L78" s="1259"/>
      <c r="M78" s="1259"/>
      <c r="N78" s="1165"/>
    </row>
    <row r="79" spans="1:19" s="1113" customFormat="1" ht="15" customHeight="1">
      <c r="A79" s="1259"/>
      <c r="B79" s="1259"/>
      <c r="C79" s="1259"/>
      <c r="D79" s="1259"/>
      <c r="E79" s="1259"/>
      <c r="F79" s="1259"/>
      <c r="G79" s="1259"/>
      <c r="H79" s="1259"/>
      <c r="I79" s="1259"/>
      <c r="J79" s="1259"/>
      <c r="K79" s="1259"/>
      <c r="L79" s="1259"/>
      <c r="M79" s="1259"/>
      <c r="N79" s="1165"/>
    </row>
    <row r="80" spans="1:19" s="1113" customFormat="1" ht="15" customHeight="1">
      <c r="A80" s="1145"/>
      <c r="B80" s="1145"/>
      <c r="C80" s="1145"/>
      <c r="D80" s="1145"/>
      <c r="E80" s="1145"/>
      <c r="F80" s="1145"/>
      <c r="G80" s="1145"/>
      <c r="H80" s="1145"/>
      <c r="I80" s="1145"/>
      <c r="J80" s="1145"/>
      <c r="K80" s="1145"/>
      <c r="L80" s="1145"/>
      <c r="M80" s="1145"/>
      <c r="N80" s="1165"/>
    </row>
    <row r="81" spans="1:16" s="1113" customFormat="1" ht="15" customHeight="1">
      <c r="A81" s="1145"/>
      <c r="B81" s="1145"/>
      <c r="C81" s="1145"/>
      <c r="D81" s="1145"/>
      <c r="E81" s="1145"/>
      <c r="F81" s="1145"/>
      <c r="G81" s="1145"/>
      <c r="H81" s="1145"/>
      <c r="I81" s="1145"/>
      <c r="J81" s="1145"/>
      <c r="K81" s="1145"/>
      <c r="L81" s="1145"/>
      <c r="M81" s="1145"/>
      <c r="N81" s="1165"/>
    </row>
    <row r="82" spans="1:16" s="1113" customFormat="1" ht="15" customHeight="1">
      <c r="A82" s="1145"/>
      <c r="B82" s="1145"/>
      <c r="C82" s="1145"/>
      <c r="D82" s="1145"/>
      <c r="E82" s="1145"/>
      <c r="F82" s="1145"/>
      <c r="G82" s="1145"/>
      <c r="H82" s="1145"/>
      <c r="I82" s="1145"/>
      <c r="J82" s="1145"/>
      <c r="K82" s="1145"/>
      <c r="L82" s="1145"/>
      <c r="M82" s="1145"/>
      <c r="N82" s="1165"/>
    </row>
    <row r="83" spans="1:16" s="1113" customFormat="1" ht="18" customHeight="1">
      <c r="A83" s="1232" t="s">
        <v>1743</v>
      </c>
      <c r="B83" s="1232"/>
      <c r="C83" s="1232"/>
      <c r="D83" s="1232"/>
      <c r="E83" s="1232"/>
      <c r="F83" s="1232"/>
      <c r="G83" s="1232"/>
      <c r="H83" s="1232"/>
      <c r="I83" s="1232"/>
      <c r="J83" s="1232"/>
      <c r="K83" s="1232"/>
      <c r="L83" s="1232"/>
      <c r="M83" s="1232"/>
      <c r="N83" s="1166"/>
    </row>
    <row r="84" spans="1:16" s="1113" customFormat="1">
      <c r="A84" s="1234" t="s">
        <v>1780</v>
      </c>
      <c r="B84" s="1234"/>
      <c r="C84" s="1234"/>
      <c r="D84" s="1234"/>
      <c r="E84" s="1234"/>
      <c r="F84" s="1234"/>
      <c r="G84" s="1234"/>
      <c r="H84" s="1234"/>
      <c r="I84" s="1234"/>
      <c r="J84" s="1234"/>
      <c r="K84" s="1234"/>
      <c r="L84" s="1234"/>
      <c r="M84" s="1234"/>
      <c r="N84" s="1167"/>
    </row>
    <row r="85" spans="1:16" s="786" customFormat="1" ht="18" customHeight="1">
      <c r="A85" s="1113" t="s">
        <v>1783</v>
      </c>
      <c r="B85" s="1113"/>
      <c r="C85" s="1113"/>
      <c r="D85" s="1113"/>
      <c r="E85" s="1113"/>
      <c r="F85" s="1113"/>
      <c r="G85" s="1145"/>
      <c r="H85" s="1113"/>
      <c r="I85" s="1160"/>
      <c r="J85" s="1113"/>
      <c r="K85" s="1113"/>
      <c r="L85" s="1146"/>
      <c r="M85" s="1146"/>
    </row>
    <row r="86" spans="1:16" s="786" customFormat="1" ht="18" customHeight="1">
      <c r="A86" s="1113" t="s">
        <v>1776</v>
      </c>
      <c r="B86" s="1113"/>
      <c r="C86" s="1113"/>
      <c r="D86" s="1113"/>
      <c r="E86" s="1113"/>
      <c r="F86" s="1113"/>
      <c r="G86" s="1145"/>
      <c r="H86" s="1113"/>
      <c r="I86" s="1160"/>
      <c r="J86" s="1113"/>
      <c r="K86" s="1113"/>
      <c r="L86" s="1146"/>
      <c r="M86" s="1146"/>
    </row>
    <row r="87" spans="1:16" s="786" customFormat="1" ht="8.1" customHeight="1">
      <c r="A87" s="1161" t="s">
        <v>1774</v>
      </c>
      <c r="B87" s="1113"/>
      <c r="C87" s="1113"/>
      <c r="D87" s="1113"/>
      <c r="E87" s="1113"/>
      <c r="F87" s="1113"/>
      <c r="G87" s="1145"/>
      <c r="H87" s="1113"/>
      <c r="I87" s="1160"/>
      <c r="J87" s="1113"/>
      <c r="K87" s="1113"/>
      <c r="L87" s="1146"/>
      <c r="M87" s="1146"/>
    </row>
    <row r="88" spans="1:16" s="786" customFormat="1" ht="18" customHeight="1">
      <c r="A88" s="1113" t="s">
        <v>330</v>
      </c>
      <c r="B88" s="1113"/>
      <c r="C88" s="1275" t="s">
        <v>1784</v>
      </c>
      <c r="D88" s="1275"/>
      <c r="E88" s="1275"/>
      <c r="F88" s="1275"/>
      <c r="G88" s="1275"/>
      <c r="H88" s="1275"/>
      <c r="I88" s="1275"/>
      <c r="J88" s="1275"/>
      <c r="K88" s="1275"/>
      <c r="L88" s="1275"/>
      <c r="M88" s="1275"/>
    </row>
    <row r="89" spans="1:16" ht="18" customHeight="1" thickBot="1">
      <c r="A89" s="1265"/>
      <c r="B89" s="1265"/>
      <c r="C89" s="1265"/>
      <c r="D89" s="1265"/>
      <c r="E89" s="1265"/>
      <c r="F89" s="1265"/>
      <c r="G89" s="1265"/>
      <c r="H89" s="1265"/>
      <c r="I89" s="1265"/>
      <c r="J89" s="1265"/>
      <c r="K89" s="1265"/>
      <c r="L89" s="1265"/>
      <c r="M89" s="1265"/>
    </row>
    <row r="90" spans="1:16" ht="18" customHeight="1">
      <c r="A90" s="919"/>
      <c r="B90" s="920"/>
      <c r="C90" s="920"/>
      <c r="D90" s="920"/>
      <c r="E90" s="920"/>
      <c r="F90" s="921"/>
      <c r="G90" s="922"/>
      <c r="H90" s="923"/>
      <c r="I90" s="923" t="s">
        <v>6</v>
      </c>
      <c r="J90" s="1266" t="s">
        <v>630</v>
      </c>
      <c r="K90" s="1267"/>
      <c r="L90" s="1268"/>
      <c r="M90" s="924" t="s">
        <v>7</v>
      </c>
    </row>
    <row r="91" spans="1:16" ht="18" customHeight="1">
      <c r="A91" s="1269"/>
      <c r="B91" s="1270"/>
      <c r="C91" s="1270"/>
      <c r="D91" s="1270"/>
      <c r="E91" s="1270"/>
      <c r="F91" s="1271"/>
      <c r="G91" s="1106"/>
      <c r="H91" s="925"/>
      <c r="I91" s="925">
        <v>2020</v>
      </c>
      <c r="J91" s="925" t="s">
        <v>572</v>
      </c>
      <c r="K91" s="925" t="s">
        <v>573</v>
      </c>
      <c r="L91" s="925">
        <v>2021</v>
      </c>
      <c r="M91" s="926">
        <v>2022</v>
      </c>
    </row>
    <row r="92" spans="1:16" ht="18" customHeight="1">
      <c r="A92" s="1269" t="s">
        <v>21</v>
      </c>
      <c r="B92" s="1270"/>
      <c r="C92" s="1270"/>
      <c r="D92" s="1270"/>
      <c r="E92" s="1270"/>
      <c r="F92" s="1271"/>
      <c r="G92" s="927"/>
      <c r="H92" s="928" t="s">
        <v>624</v>
      </c>
      <c r="I92" s="925" t="s">
        <v>933</v>
      </c>
      <c r="J92" s="925" t="s">
        <v>571</v>
      </c>
      <c r="K92" s="925" t="s">
        <v>574</v>
      </c>
      <c r="L92" s="925" t="s">
        <v>933</v>
      </c>
      <c r="M92" s="926" t="s">
        <v>933</v>
      </c>
    </row>
    <row r="93" spans="1:16" ht="18" customHeight="1" thickBot="1">
      <c r="A93" s="929"/>
      <c r="B93" s="930"/>
      <c r="C93" s="930"/>
      <c r="D93" s="930"/>
      <c r="E93" s="930"/>
      <c r="F93" s="931"/>
      <c r="G93" s="927"/>
      <c r="H93" s="925"/>
      <c r="I93" s="1220" t="s">
        <v>571</v>
      </c>
      <c r="J93" s="925">
        <v>2021</v>
      </c>
      <c r="K93" s="925">
        <v>2021</v>
      </c>
      <c r="L93" s="1220" t="s">
        <v>934</v>
      </c>
      <c r="M93" s="1221" t="s">
        <v>576</v>
      </c>
    </row>
    <row r="94" spans="1:16" ht="18" customHeight="1" thickBot="1">
      <c r="A94" s="1272"/>
      <c r="B94" s="1273"/>
      <c r="C94" s="1273"/>
      <c r="D94" s="1273"/>
      <c r="E94" s="1273"/>
      <c r="F94" s="1274"/>
      <c r="G94" s="1107"/>
      <c r="H94" s="932"/>
      <c r="I94" s="932"/>
      <c r="J94" s="932"/>
      <c r="K94" s="932"/>
      <c r="L94" s="932"/>
      <c r="M94" s="933"/>
      <c r="P94" s="1222"/>
    </row>
    <row r="95" spans="1:16" ht="18" customHeight="1">
      <c r="A95" s="934"/>
      <c r="B95" s="935" t="s">
        <v>366</v>
      </c>
      <c r="C95" s="936"/>
      <c r="D95" s="935"/>
      <c r="E95" s="935"/>
      <c r="F95" s="937"/>
      <c r="G95" s="938"/>
      <c r="H95" s="974"/>
      <c r="I95" s="975"/>
      <c r="J95" s="976"/>
      <c r="K95" s="976"/>
      <c r="L95" s="976"/>
      <c r="M95" s="976"/>
    </row>
    <row r="96" spans="1:16" ht="18" customHeight="1">
      <c r="A96" s="942"/>
      <c r="B96" s="943"/>
      <c r="C96" s="943" t="s">
        <v>525</v>
      </c>
      <c r="D96" s="943"/>
      <c r="E96" s="943"/>
      <c r="F96" s="944"/>
      <c r="G96" s="945"/>
      <c r="H96" s="977"/>
      <c r="I96" s="978"/>
      <c r="J96" s="979"/>
      <c r="K96" s="979"/>
      <c r="L96" s="979"/>
      <c r="M96" s="979"/>
    </row>
    <row r="97" spans="1:13" ht="18" customHeight="1">
      <c r="A97" s="942"/>
      <c r="B97" s="943"/>
      <c r="C97" s="943"/>
      <c r="D97" s="943" t="s">
        <v>526</v>
      </c>
      <c r="E97" s="943"/>
      <c r="F97" s="944"/>
      <c r="G97" s="945" t="s">
        <v>594</v>
      </c>
      <c r="H97" s="949" t="s">
        <v>687</v>
      </c>
      <c r="I97" s="950">
        <f>11644179</f>
        <v>11644179</v>
      </c>
      <c r="J97" s="951">
        <v>5950932</v>
      </c>
      <c r="K97" s="951">
        <f>12162108-J97</f>
        <v>6211176</v>
      </c>
      <c r="L97" s="951">
        <f>SUM(K97+J97)</f>
        <v>12162108</v>
      </c>
      <c r="M97" s="951">
        <f>12246886+226344+144072</f>
        <v>12617302</v>
      </c>
    </row>
    <row r="98" spans="1:13" ht="18" customHeight="1">
      <c r="A98" s="942"/>
      <c r="B98" s="943"/>
      <c r="C98" s="943" t="s">
        <v>527</v>
      </c>
      <c r="D98" s="943"/>
      <c r="E98" s="943"/>
      <c r="F98" s="944"/>
      <c r="G98" s="945"/>
      <c r="H98" s="977"/>
      <c r="I98" s="950"/>
      <c r="J98" s="951"/>
      <c r="K98" s="951"/>
      <c r="L98" s="951"/>
      <c r="M98" s="951"/>
    </row>
    <row r="99" spans="1:13" ht="18" customHeight="1">
      <c r="A99" s="942"/>
      <c r="B99" s="943"/>
      <c r="C99" s="943"/>
      <c r="D99" s="943" t="s">
        <v>528</v>
      </c>
      <c r="E99" s="943"/>
      <c r="F99" s="944"/>
      <c r="G99" s="945" t="s">
        <v>595</v>
      </c>
      <c r="H99" s="949" t="s">
        <v>688</v>
      </c>
      <c r="I99" s="950">
        <f>432000</f>
        <v>432000</v>
      </c>
      <c r="J99" s="951">
        <v>216000</v>
      </c>
      <c r="K99" s="951">
        <f>432000-J99</f>
        <v>216000</v>
      </c>
      <c r="L99" s="951">
        <f t="shared" ref="L99:L116" si="3">SUM(K99+J99)</f>
        <v>432000</v>
      </c>
      <c r="M99" s="951">
        <f>432000+24000+24000</f>
        <v>480000</v>
      </c>
    </row>
    <row r="100" spans="1:13" ht="18" customHeight="1">
      <c r="A100" s="942"/>
      <c r="B100" s="943"/>
      <c r="C100" s="943"/>
      <c r="D100" s="943" t="s">
        <v>538</v>
      </c>
      <c r="E100" s="943"/>
      <c r="F100" s="944"/>
      <c r="G100" s="945" t="s">
        <v>596</v>
      </c>
      <c r="H100" s="949" t="s">
        <v>689</v>
      </c>
      <c r="I100" s="950">
        <f>928200</f>
        <v>928200</v>
      </c>
      <c r="J100" s="951">
        <v>456875</v>
      </c>
      <c r="K100" s="951">
        <f>928200-J100</f>
        <v>471325</v>
      </c>
      <c r="L100" s="951">
        <f t="shared" si="3"/>
        <v>928200</v>
      </c>
      <c r="M100" s="951">
        <f>928200</f>
        <v>928200</v>
      </c>
    </row>
    <row r="101" spans="1:13" ht="18" customHeight="1">
      <c r="A101" s="942"/>
      <c r="B101" s="943"/>
      <c r="C101" s="943"/>
      <c r="D101" s="943" t="s">
        <v>537</v>
      </c>
      <c r="E101" s="943"/>
      <c r="F101" s="944"/>
      <c r="G101" s="945" t="s">
        <v>597</v>
      </c>
      <c r="H101" s="949" t="s">
        <v>690</v>
      </c>
      <c r="I101" s="950">
        <f>841500</f>
        <v>841500</v>
      </c>
      <c r="J101" s="951">
        <v>427975</v>
      </c>
      <c r="K101" s="951">
        <f>928200-J101</f>
        <v>500225</v>
      </c>
      <c r="L101" s="951">
        <f t="shared" si="3"/>
        <v>928200</v>
      </c>
      <c r="M101" s="951">
        <f>928200</f>
        <v>928200</v>
      </c>
    </row>
    <row r="102" spans="1:13" ht="18" customHeight="1">
      <c r="A102" s="942"/>
      <c r="B102" s="943"/>
      <c r="C102" s="943"/>
      <c r="D102" s="943" t="s">
        <v>539</v>
      </c>
      <c r="E102" s="943"/>
      <c r="F102" s="944"/>
      <c r="G102" s="945" t="s">
        <v>598</v>
      </c>
      <c r="H102" s="949" t="s">
        <v>691</v>
      </c>
      <c r="I102" s="950">
        <f>108000</f>
        <v>108000</v>
      </c>
      <c r="J102" s="951">
        <v>108000</v>
      </c>
      <c r="K102" s="951">
        <f>108000-J102</f>
        <v>0</v>
      </c>
      <c r="L102" s="951">
        <f t="shared" si="3"/>
        <v>108000</v>
      </c>
      <c r="M102" s="951">
        <f>108000+6000+6000</f>
        <v>120000</v>
      </c>
    </row>
    <row r="103" spans="1:13" ht="18" customHeight="1">
      <c r="A103" s="942"/>
      <c r="B103" s="943"/>
      <c r="C103" s="943"/>
      <c r="D103" s="943" t="s">
        <v>685</v>
      </c>
      <c r="E103" s="943"/>
      <c r="F103" s="944"/>
      <c r="G103" s="945" t="s">
        <v>600</v>
      </c>
      <c r="H103" s="949" t="s">
        <v>692</v>
      </c>
      <c r="I103" s="950">
        <f>90000</f>
        <v>90000</v>
      </c>
      <c r="J103" s="951">
        <v>0</v>
      </c>
      <c r="K103" s="951">
        <f>90000-J103</f>
        <v>90000</v>
      </c>
      <c r="L103" s="951">
        <f t="shared" si="3"/>
        <v>90000</v>
      </c>
      <c r="M103" s="951">
        <f>90000+5000+5000</f>
        <v>100000</v>
      </c>
    </row>
    <row r="104" spans="1:13" ht="18" customHeight="1">
      <c r="A104" s="942"/>
      <c r="B104" s="943"/>
      <c r="C104" s="943"/>
      <c r="D104" s="943" t="s">
        <v>541</v>
      </c>
      <c r="E104" s="943"/>
      <c r="F104" s="944"/>
      <c r="G104" s="945" t="s">
        <v>433</v>
      </c>
      <c r="H104" s="949" t="s">
        <v>693</v>
      </c>
      <c r="I104" s="950">
        <v>0</v>
      </c>
      <c r="J104" s="951">
        <v>0</v>
      </c>
      <c r="K104" s="951">
        <f>0-J104</f>
        <v>0</v>
      </c>
      <c r="L104" s="951">
        <f t="shared" si="3"/>
        <v>0</v>
      </c>
      <c r="M104" s="951">
        <f>10000</f>
        <v>10000</v>
      </c>
    </row>
    <row r="105" spans="1:13" ht="18" customHeight="1">
      <c r="A105" s="942"/>
      <c r="B105" s="943"/>
      <c r="C105" s="943"/>
      <c r="D105" s="943" t="s">
        <v>1630</v>
      </c>
      <c r="E105" s="943"/>
      <c r="F105" s="944"/>
      <c r="G105" s="945" t="s">
        <v>433</v>
      </c>
      <c r="H105" s="949" t="s">
        <v>693</v>
      </c>
      <c r="I105" s="950"/>
      <c r="J105" s="951">
        <v>54000</v>
      </c>
      <c r="K105" s="951">
        <f>54000-J105</f>
        <v>0</v>
      </c>
      <c r="L105" s="951">
        <f t="shared" si="3"/>
        <v>54000</v>
      </c>
      <c r="M105" s="951">
        <v>0</v>
      </c>
    </row>
    <row r="106" spans="1:13" ht="18" customHeight="1">
      <c r="A106" s="942"/>
      <c r="B106" s="943"/>
      <c r="C106" s="943"/>
      <c r="D106" s="943" t="s">
        <v>1513</v>
      </c>
      <c r="E106" s="943"/>
      <c r="F106" s="944"/>
      <c r="G106" s="945"/>
      <c r="H106" s="949" t="s">
        <v>693</v>
      </c>
      <c r="I106" s="950">
        <f>610513.13</f>
        <v>610513.13</v>
      </c>
      <c r="J106" s="951">
        <v>0</v>
      </c>
      <c r="K106" s="951"/>
      <c r="L106" s="951">
        <f t="shared" si="3"/>
        <v>0</v>
      </c>
      <c r="M106" s="951">
        <v>0</v>
      </c>
    </row>
    <row r="107" spans="1:13" ht="18" customHeight="1">
      <c r="A107" s="942"/>
      <c r="B107" s="943"/>
      <c r="C107" s="943"/>
      <c r="D107" s="943" t="s">
        <v>544</v>
      </c>
      <c r="E107" s="943"/>
      <c r="F107" s="944"/>
      <c r="G107" s="945" t="s">
        <v>603</v>
      </c>
      <c r="H107" s="949" t="s">
        <v>694</v>
      </c>
      <c r="I107" s="950">
        <f>90000</f>
        <v>90000</v>
      </c>
      <c r="J107" s="951">
        <v>0</v>
      </c>
      <c r="K107" s="951">
        <f>90000-J107</f>
        <v>90000</v>
      </c>
      <c r="L107" s="951">
        <f t="shared" si="3"/>
        <v>90000</v>
      </c>
      <c r="M107" s="951">
        <f>90000+5000+5000</f>
        <v>100000</v>
      </c>
    </row>
    <row r="108" spans="1:13" ht="18" customHeight="1">
      <c r="A108" s="942"/>
      <c r="B108" s="943"/>
      <c r="C108" s="943"/>
      <c r="D108" s="943" t="s">
        <v>805</v>
      </c>
      <c r="E108" s="943"/>
      <c r="F108" s="943"/>
      <c r="G108" s="953" t="s">
        <v>433</v>
      </c>
      <c r="H108" s="949" t="s">
        <v>693</v>
      </c>
      <c r="I108" s="950">
        <f>970322</f>
        <v>970322</v>
      </c>
      <c r="J108" s="951">
        <v>991822</v>
      </c>
      <c r="K108" s="951">
        <f>991822-J108</f>
        <v>0</v>
      </c>
      <c r="L108" s="951">
        <f t="shared" si="3"/>
        <v>991822</v>
      </c>
      <c r="M108" s="951">
        <f>1013681+18862+12006</f>
        <v>1044549</v>
      </c>
    </row>
    <row r="109" spans="1:13" ht="18" customHeight="1">
      <c r="A109" s="942"/>
      <c r="B109" s="943"/>
      <c r="C109" s="943"/>
      <c r="D109" s="943" t="s">
        <v>545</v>
      </c>
      <c r="E109" s="943"/>
      <c r="F109" s="944"/>
      <c r="G109" s="945" t="s">
        <v>604</v>
      </c>
      <c r="H109" s="949" t="s">
        <v>695</v>
      </c>
      <c r="I109" s="950">
        <f>970412</f>
        <v>970412</v>
      </c>
      <c r="J109" s="951">
        <v>0</v>
      </c>
      <c r="K109" s="951">
        <f>992048-J109</f>
        <v>992048</v>
      </c>
      <c r="L109" s="951">
        <f t="shared" si="3"/>
        <v>992048</v>
      </c>
      <c r="M109" s="951">
        <f>1027749+18862+12006</f>
        <v>1058617</v>
      </c>
    </row>
    <row r="110" spans="1:13" ht="18" customHeight="1">
      <c r="A110" s="942"/>
      <c r="B110" s="943"/>
      <c r="C110" s="943"/>
      <c r="D110" s="943" t="s">
        <v>658</v>
      </c>
      <c r="E110" s="943"/>
      <c r="F110" s="944"/>
      <c r="G110" s="945" t="s">
        <v>605</v>
      </c>
      <c r="H110" s="949" t="s">
        <v>696</v>
      </c>
      <c r="I110" s="950">
        <f>1270529.48+24186.6</f>
        <v>1294716.08</v>
      </c>
      <c r="J110" s="951">
        <v>650024.64</v>
      </c>
      <c r="K110" s="951">
        <f>1460000-J110</f>
        <v>809975.36</v>
      </c>
      <c r="L110" s="951">
        <f t="shared" si="3"/>
        <v>1460000</v>
      </c>
      <c r="M110" s="951">
        <f>1500000+27200+17500</f>
        <v>1544700</v>
      </c>
    </row>
    <row r="111" spans="1:13" ht="18" customHeight="1">
      <c r="A111" s="942"/>
      <c r="B111" s="943"/>
      <c r="C111" s="943"/>
      <c r="D111" s="943" t="s">
        <v>546</v>
      </c>
      <c r="E111" s="943"/>
      <c r="F111" s="944"/>
      <c r="G111" s="945" t="s">
        <v>606</v>
      </c>
      <c r="H111" s="949" t="s">
        <v>697</v>
      </c>
      <c r="I111" s="950">
        <f>21600</f>
        <v>21600</v>
      </c>
      <c r="J111" s="951">
        <v>10800</v>
      </c>
      <c r="K111" s="951">
        <f>32400-J111</f>
        <v>21600</v>
      </c>
      <c r="L111" s="951">
        <f t="shared" si="3"/>
        <v>32400</v>
      </c>
      <c r="M111" s="951">
        <f>32400+1800+1800</f>
        <v>36000</v>
      </c>
    </row>
    <row r="112" spans="1:13" ht="18" customHeight="1">
      <c r="A112" s="942"/>
      <c r="B112" s="943"/>
      <c r="C112" s="943"/>
      <c r="D112" s="943" t="s">
        <v>547</v>
      </c>
      <c r="E112" s="943"/>
      <c r="F112" s="944"/>
      <c r="G112" s="945" t="s">
        <v>607</v>
      </c>
      <c r="H112" s="949" t="s">
        <v>698</v>
      </c>
      <c r="I112" s="950">
        <f>143400</f>
        <v>143400</v>
      </c>
      <c r="J112" s="951">
        <v>72105</v>
      </c>
      <c r="K112" s="951">
        <f>213000-J112</f>
        <v>140895</v>
      </c>
      <c r="L112" s="951">
        <f t="shared" si="3"/>
        <v>213000</v>
      </c>
      <c r="M112" s="951">
        <f>250000+4600+3000</f>
        <v>257600</v>
      </c>
    </row>
    <row r="113" spans="1:13" ht="18" customHeight="1">
      <c r="A113" s="942"/>
      <c r="B113" s="943"/>
      <c r="C113" s="943"/>
      <c r="D113" s="943" t="s">
        <v>654</v>
      </c>
      <c r="E113" s="943"/>
      <c r="F113" s="944"/>
      <c r="G113" s="945" t="s">
        <v>608</v>
      </c>
      <c r="H113" s="949" t="s">
        <v>699</v>
      </c>
      <c r="I113" s="950">
        <f>20427.96+49.2</f>
        <v>20477.16</v>
      </c>
      <c r="J113" s="951">
        <v>10182.24</v>
      </c>
      <c r="K113" s="951">
        <f>21600-J113</f>
        <v>11417.76</v>
      </c>
      <c r="L113" s="951">
        <f t="shared" si="3"/>
        <v>21600</v>
      </c>
      <c r="M113" s="951">
        <f>21600+1200+1200</f>
        <v>24000</v>
      </c>
    </row>
    <row r="114" spans="1:13" ht="18" customHeight="1">
      <c r="A114" s="942"/>
      <c r="B114" s="943"/>
      <c r="C114" s="943"/>
      <c r="D114" s="943" t="s">
        <v>372</v>
      </c>
      <c r="E114" s="943"/>
      <c r="F114" s="944"/>
      <c r="G114" s="945" t="s">
        <v>609</v>
      </c>
      <c r="H114" s="949" t="s">
        <v>700</v>
      </c>
      <c r="I114" s="950">
        <v>0</v>
      </c>
      <c r="J114" s="951">
        <v>0</v>
      </c>
      <c r="K114" s="951">
        <f>0-J114</f>
        <v>0</v>
      </c>
      <c r="L114" s="951">
        <f t="shared" si="3"/>
        <v>0</v>
      </c>
      <c r="M114" s="951">
        <v>1000000</v>
      </c>
    </row>
    <row r="115" spans="1:13" ht="18" customHeight="1">
      <c r="A115" s="942"/>
      <c r="B115" s="943"/>
      <c r="C115" s="943"/>
      <c r="D115" s="943" t="s">
        <v>549</v>
      </c>
      <c r="E115" s="943"/>
      <c r="F115" s="944"/>
      <c r="G115" s="945" t="s">
        <v>396</v>
      </c>
      <c r="H115" s="949" t="s">
        <v>711</v>
      </c>
      <c r="I115" s="950">
        <f>918100.77</f>
        <v>918100.77</v>
      </c>
      <c r="J115" s="951">
        <v>819547.12</v>
      </c>
      <c r="K115" s="951">
        <f>819547.12-J115</f>
        <v>0</v>
      </c>
      <c r="L115" s="951">
        <f t="shared" si="3"/>
        <v>819547.12</v>
      </c>
      <c r="M115" s="951">
        <v>0</v>
      </c>
    </row>
    <row r="116" spans="1:13" ht="18" customHeight="1">
      <c r="A116" s="942"/>
      <c r="B116" s="943"/>
      <c r="C116" s="943"/>
      <c r="D116" s="943" t="s">
        <v>1514</v>
      </c>
      <c r="E116" s="943"/>
      <c r="F116" s="944"/>
      <c r="G116" s="945"/>
      <c r="H116" s="949" t="s">
        <v>711</v>
      </c>
      <c r="I116" s="950">
        <f>180000</f>
        <v>180000</v>
      </c>
      <c r="J116" s="951">
        <v>0</v>
      </c>
      <c r="K116" s="951">
        <f>0-J116</f>
        <v>0</v>
      </c>
      <c r="L116" s="951">
        <f t="shared" si="3"/>
        <v>0</v>
      </c>
      <c r="M116" s="951">
        <v>0</v>
      </c>
    </row>
    <row r="117" spans="1:13" s="959" customFormat="1" ht="18" customHeight="1">
      <c r="A117" s="954"/>
      <c r="B117" s="955"/>
      <c r="C117" s="955"/>
      <c r="D117" s="955" t="s">
        <v>371</v>
      </c>
      <c r="E117" s="955"/>
      <c r="F117" s="956"/>
      <c r="G117" s="957"/>
      <c r="H117" s="980"/>
      <c r="I117" s="958">
        <f>SUM(I97:I116)</f>
        <v>19263420.140000001</v>
      </c>
      <c r="J117" s="958">
        <f>SUM(J97:J116)</f>
        <v>9768263</v>
      </c>
      <c r="K117" s="958">
        <f>SUM(K97:K116)</f>
        <v>9554662.1199999992</v>
      </c>
      <c r="L117" s="958">
        <f>SUM(L97:L116)</f>
        <v>19322925.120000001</v>
      </c>
      <c r="M117" s="958">
        <f>SUM(M97:M116)</f>
        <v>20249168</v>
      </c>
    </row>
    <row r="118" spans="1:13" ht="18" customHeight="1">
      <c r="A118" s="942"/>
      <c r="B118" s="943" t="s">
        <v>550</v>
      </c>
      <c r="C118" s="943"/>
      <c r="D118" s="943"/>
      <c r="E118" s="943"/>
      <c r="F118" s="944"/>
      <c r="G118" s="945"/>
      <c r="H118" s="977"/>
      <c r="I118" s="950"/>
      <c r="J118" s="951"/>
      <c r="K118" s="951"/>
      <c r="L118" s="951"/>
      <c r="M118" s="951"/>
    </row>
    <row r="119" spans="1:13" ht="18" customHeight="1">
      <c r="A119" s="942"/>
      <c r="B119" s="943"/>
      <c r="C119" s="943"/>
      <c r="D119" s="943" t="s">
        <v>551</v>
      </c>
      <c r="E119" s="943"/>
      <c r="F119" s="944"/>
      <c r="G119" s="945" t="s">
        <v>384</v>
      </c>
      <c r="H119" s="949" t="s">
        <v>701</v>
      </c>
      <c r="I119" s="950">
        <f>132999</f>
        <v>132999</v>
      </c>
      <c r="J119" s="951">
        <v>7350</v>
      </c>
      <c r="K119" s="951">
        <f>1346000-J119</f>
        <v>1338650</v>
      </c>
      <c r="L119" s="951">
        <f t="shared" ref="L119:L131" si="4">SUM(K119+J119)</f>
        <v>1346000</v>
      </c>
      <c r="M119" s="951">
        <v>1346000</v>
      </c>
    </row>
    <row r="120" spans="1:13" ht="18" customHeight="1">
      <c r="A120" s="942"/>
      <c r="B120" s="943"/>
      <c r="C120" s="943"/>
      <c r="D120" s="943" t="s">
        <v>429</v>
      </c>
      <c r="E120" s="943"/>
      <c r="F120" s="944"/>
      <c r="G120" s="945" t="s">
        <v>385</v>
      </c>
      <c r="H120" s="949" t="s">
        <v>702</v>
      </c>
      <c r="I120" s="950">
        <f>346000</f>
        <v>346000</v>
      </c>
      <c r="J120" s="951">
        <v>0</v>
      </c>
      <c r="K120" s="951">
        <f>964000-J120</f>
        <v>964000</v>
      </c>
      <c r="L120" s="951">
        <f t="shared" si="4"/>
        <v>964000</v>
      </c>
      <c r="M120" s="951">
        <v>964000</v>
      </c>
    </row>
    <row r="121" spans="1:13" ht="18" customHeight="1">
      <c r="A121" s="942"/>
      <c r="B121" s="943"/>
      <c r="C121" s="943"/>
      <c r="D121" s="943" t="s">
        <v>378</v>
      </c>
      <c r="E121" s="943"/>
      <c r="F121" s="944"/>
      <c r="G121" s="945" t="s">
        <v>387</v>
      </c>
      <c r="H121" s="949" t="s">
        <v>703</v>
      </c>
      <c r="I121" s="950">
        <f>542230+6420</f>
        <v>548650</v>
      </c>
      <c r="J121" s="951">
        <v>125888</v>
      </c>
      <c r="K121" s="951">
        <f>650000-J121</f>
        <v>524112</v>
      </c>
      <c r="L121" s="951">
        <f t="shared" si="4"/>
        <v>650000</v>
      </c>
      <c r="M121" s="951">
        <f>650000+100000</f>
        <v>750000</v>
      </c>
    </row>
    <row r="122" spans="1:13" ht="18" customHeight="1">
      <c r="A122" s="942"/>
      <c r="B122" s="943"/>
      <c r="C122" s="943"/>
      <c r="D122" s="943" t="s">
        <v>929</v>
      </c>
      <c r="E122" s="943"/>
      <c r="F122" s="944"/>
      <c r="G122" s="945" t="s">
        <v>612</v>
      </c>
      <c r="H122" s="949" t="s">
        <v>715</v>
      </c>
      <c r="I122" s="950">
        <f>70994.59+5989.5</f>
        <v>76984.09</v>
      </c>
      <c r="J122" s="951">
        <v>45916.6</v>
      </c>
      <c r="K122" s="951">
        <f>750000-J122</f>
        <v>704083.4</v>
      </c>
      <c r="L122" s="951">
        <f t="shared" si="4"/>
        <v>750000</v>
      </c>
      <c r="M122" s="951">
        <v>750000</v>
      </c>
    </row>
    <row r="123" spans="1:13" ht="18" customHeight="1">
      <c r="A123" s="942"/>
      <c r="B123" s="943"/>
      <c r="C123" s="943"/>
      <c r="D123" s="943" t="s">
        <v>555</v>
      </c>
      <c r="E123" s="943"/>
      <c r="F123" s="944"/>
      <c r="G123" s="945" t="s">
        <v>613</v>
      </c>
      <c r="H123" s="949" t="s">
        <v>704</v>
      </c>
      <c r="I123" s="950">
        <f>0</f>
        <v>0</v>
      </c>
      <c r="J123" s="951">
        <v>0</v>
      </c>
      <c r="K123" s="951">
        <f>10000-J123</f>
        <v>10000</v>
      </c>
      <c r="L123" s="951">
        <f t="shared" si="4"/>
        <v>10000</v>
      </c>
      <c r="M123" s="951">
        <v>10000</v>
      </c>
    </row>
    <row r="124" spans="1:13" ht="18" customHeight="1">
      <c r="A124" s="942"/>
      <c r="B124" s="943"/>
      <c r="C124" s="943"/>
      <c r="D124" s="943" t="s">
        <v>556</v>
      </c>
      <c r="E124" s="943"/>
      <c r="F124" s="944"/>
      <c r="G124" s="945" t="s">
        <v>614</v>
      </c>
      <c r="H124" s="949" t="s">
        <v>705</v>
      </c>
      <c r="I124" s="950">
        <f>58896.63</f>
        <v>58896.63</v>
      </c>
      <c r="J124" s="951">
        <v>34134.47</v>
      </c>
      <c r="K124" s="951">
        <f>96000-J124</f>
        <v>61865.53</v>
      </c>
      <c r="L124" s="951">
        <f t="shared" si="4"/>
        <v>96000</v>
      </c>
      <c r="M124" s="951">
        <v>96000</v>
      </c>
    </row>
    <row r="125" spans="1:13" ht="18" customHeight="1">
      <c r="A125" s="942"/>
      <c r="B125" s="943"/>
      <c r="C125" s="943"/>
      <c r="D125" s="943" t="s">
        <v>557</v>
      </c>
      <c r="E125" s="943"/>
      <c r="F125" s="944"/>
      <c r="G125" s="945" t="s">
        <v>388</v>
      </c>
      <c r="H125" s="949" t="s">
        <v>705</v>
      </c>
      <c r="I125" s="950">
        <f>288000</f>
        <v>288000</v>
      </c>
      <c r="J125" s="951">
        <v>220200</v>
      </c>
      <c r="K125" s="951">
        <f>432000-J125</f>
        <v>211800</v>
      </c>
      <c r="L125" s="951">
        <f t="shared" si="4"/>
        <v>432000</v>
      </c>
      <c r="M125" s="951">
        <f>440400</f>
        <v>440400</v>
      </c>
    </row>
    <row r="126" spans="1:13" ht="18" customHeight="1">
      <c r="A126" s="942"/>
      <c r="B126" s="943"/>
      <c r="C126" s="943"/>
      <c r="D126" s="943" t="s">
        <v>558</v>
      </c>
      <c r="E126" s="943"/>
      <c r="F126" s="944"/>
      <c r="G126" s="945" t="s">
        <v>615</v>
      </c>
      <c r="H126" s="949" t="s">
        <v>716</v>
      </c>
      <c r="I126" s="950">
        <f>449500+245100</f>
        <v>694600</v>
      </c>
      <c r="J126" s="951">
        <v>262500</v>
      </c>
      <c r="K126" s="951">
        <f>1050000-J126</f>
        <v>787500</v>
      </c>
      <c r="L126" s="951">
        <f t="shared" si="4"/>
        <v>1050000</v>
      </c>
      <c r="M126" s="951">
        <f>1050000+250000</f>
        <v>1300000</v>
      </c>
    </row>
    <row r="127" spans="1:13" ht="18" customHeight="1">
      <c r="A127" s="942"/>
      <c r="B127" s="943"/>
      <c r="C127" s="943"/>
      <c r="D127" s="943" t="s">
        <v>559</v>
      </c>
      <c r="E127" s="943"/>
      <c r="F127" s="944"/>
      <c r="G127" s="945" t="s">
        <v>616</v>
      </c>
      <c r="H127" s="949" t="s">
        <v>717</v>
      </c>
      <c r="I127" s="950">
        <f>180951.5</f>
        <v>180951.5</v>
      </c>
      <c r="J127" s="951">
        <v>105738</v>
      </c>
      <c r="K127" s="951">
        <f>250000-J127</f>
        <v>144262</v>
      </c>
      <c r="L127" s="951">
        <f t="shared" si="4"/>
        <v>250000</v>
      </c>
      <c r="M127" s="951">
        <v>250000</v>
      </c>
    </row>
    <row r="128" spans="1:13" ht="18" customHeight="1">
      <c r="A128" s="942"/>
      <c r="B128" s="943"/>
      <c r="C128" s="943"/>
      <c r="D128" s="943" t="s">
        <v>930</v>
      </c>
      <c r="E128" s="943"/>
      <c r="F128" s="944"/>
      <c r="G128" s="945" t="s">
        <v>617</v>
      </c>
      <c r="H128" s="949" t="s">
        <v>718</v>
      </c>
      <c r="I128" s="950">
        <f>104965.21</f>
        <v>104965.21</v>
      </c>
      <c r="J128" s="951">
        <v>7679.06</v>
      </c>
      <c r="K128" s="951">
        <f>300000-J128</f>
        <v>292320.94</v>
      </c>
      <c r="L128" s="951">
        <f t="shared" si="4"/>
        <v>300000</v>
      </c>
      <c r="M128" s="951">
        <v>300000</v>
      </c>
    </row>
    <row r="129" spans="1:14" ht="18" customHeight="1">
      <c r="A129" s="942"/>
      <c r="B129" s="943"/>
      <c r="C129" s="943"/>
      <c r="D129" s="943" t="s">
        <v>931</v>
      </c>
      <c r="E129" s="943"/>
      <c r="F129" s="944"/>
      <c r="G129" s="945" t="s">
        <v>389</v>
      </c>
      <c r="H129" s="949" t="s">
        <v>706</v>
      </c>
      <c r="I129" s="950">
        <f>44760</f>
        <v>44760</v>
      </c>
      <c r="J129" s="951">
        <v>18778</v>
      </c>
      <c r="K129" s="951">
        <f>300000-J129</f>
        <v>281222</v>
      </c>
      <c r="L129" s="951">
        <f t="shared" si="4"/>
        <v>300000</v>
      </c>
      <c r="M129" s="951">
        <v>300000</v>
      </c>
    </row>
    <row r="130" spans="1:14" ht="18" customHeight="1">
      <c r="A130" s="942"/>
      <c r="B130" s="943"/>
      <c r="C130" s="943"/>
      <c r="D130" s="943" t="s">
        <v>958</v>
      </c>
      <c r="E130" s="943"/>
      <c r="F130" s="944"/>
      <c r="G130" s="945"/>
      <c r="H130" s="949" t="s">
        <v>956</v>
      </c>
      <c r="I130" s="950">
        <v>0</v>
      </c>
      <c r="J130" s="951">
        <v>0</v>
      </c>
      <c r="K130" s="951">
        <f>150000-J130</f>
        <v>150000</v>
      </c>
      <c r="L130" s="951">
        <f t="shared" si="4"/>
        <v>150000</v>
      </c>
      <c r="M130" s="951">
        <f>150000+150000</f>
        <v>300000</v>
      </c>
    </row>
    <row r="131" spans="1:14" ht="18" customHeight="1">
      <c r="A131" s="942"/>
      <c r="B131" s="943"/>
      <c r="C131" s="943"/>
      <c r="D131" s="943" t="s">
        <v>564</v>
      </c>
      <c r="E131" s="943"/>
      <c r="F131" s="944"/>
      <c r="G131" s="945" t="s">
        <v>390</v>
      </c>
      <c r="H131" s="949" t="s">
        <v>707</v>
      </c>
      <c r="I131" s="950">
        <f>450000</f>
        <v>450000</v>
      </c>
      <c r="J131" s="951">
        <v>0</v>
      </c>
      <c r="K131" s="951">
        <f>0-J131</f>
        <v>0</v>
      </c>
      <c r="L131" s="951">
        <f t="shared" si="4"/>
        <v>0</v>
      </c>
      <c r="M131" s="951">
        <v>0</v>
      </c>
    </row>
    <row r="132" spans="1:14" ht="18" customHeight="1">
      <c r="A132" s="942"/>
      <c r="B132" s="943"/>
      <c r="C132" s="943"/>
      <c r="D132" s="955" t="s">
        <v>752</v>
      </c>
      <c r="E132" s="943"/>
      <c r="F132" s="944"/>
      <c r="G132" s="945"/>
      <c r="H132" s="977"/>
      <c r="I132" s="958">
        <f>SUM(I119:I131)</f>
        <v>2926806.4299999997</v>
      </c>
      <c r="J132" s="958">
        <f>SUM(J119:J131)</f>
        <v>828184.13000000012</v>
      </c>
      <c r="K132" s="958">
        <f>SUM(K119:K131)</f>
        <v>5469815.8700000001</v>
      </c>
      <c r="L132" s="958">
        <f>SUM(L119:L131)</f>
        <v>6298000</v>
      </c>
      <c r="M132" s="958">
        <f>SUM(M119:M131)</f>
        <v>6806400</v>
      </c>
      <c r="N132" s="1027"/>
    </row>
    <row r="133" spans="1:14" ht="18" customHeight="1">
      <c r="A133" s="942"/>
      <c r="B133" s="943" t="s">
        <v>565</v>
      </c>
      <c r="C133" s="943"/>
      <c r="D133" s="943"/>
      <c r="E133" s="943"/>
      <c r="F133" s="944"/>
      <c r="G133" s="945"/>
      <c r="H133" s="977"/>
      <c r="I133" s="950"/>
      <c r="J133" s="951"/>
      <c r="K133" s="951"/>
      <c r="L133" s="951"/>
      <c r="M133" s="961"/>
      <c r="N133" s="960"/>
    </row>
    <row r="134" spans="1:14" ht="18" customHeight="1">
      <c r="A134" s="942"/>
      <c r="B134" s="943"/>
      <c r="C134" s="943"/>
      <c r="D134" s="943" t="s">
        <v>686</v>
      </c>
      <c r="E134" s="943"/>
      <c r="F134" s="944"/>
      <c r="G134" s="945" t="s">
        <v>846</v>
      </c>
      <c r="H134" s="949" t="s">
        <v>847</v>
      </c>
      <c r="I134" s="950">
        <v>0</v>
      </c>
      <c r="J134" s="951">
        <v>0</v>
      </c>
      <c r="K134" s="951">
        <f>200000-J134</f>
        <v>200000</v>
      </c>
      <c r="L134" s="951">
        <f>SUM(K134+J134)</f>
        <v>200000</v>
      </c>
      <c r="M134" s="951">
        <v>0</v>
      </c>
    </row>
    <row r="135" spans="1:14" ht="18" customHeight="1">
      <c r="A135" s="942"/>
      <c r="B135" s="943"/>
      <c r="C135" s="943"/>
      <c r="D135" s="943" t="s">
        <v>845</v>
      </c>
      <c r="E135" s="943"/>
      <c r="F135" s="944"/>
      <c r="G135" s="945" t="s">
        <v>848</v>
      </c>
      <c r="H135" s="949" t="s">
        <v>1567</v>
      </c>
      <c r="I135" s="950">
        <v>0</v>
      </c>
      <c r="J135" s="951">
        <v>0</v>
      </c>
      <c r="K135" s="951">
        <f>100000-J135</f>
        <v>100000</v>
      </c>
      <c r="L135" s="951">
        <f>SUM(K135+J135)</f>
        <v>100000</v>
      </c>
      <c r="M135" s="951">
        <v>0</v>
      </c>
    </row>
    <row r="136" spans="1:14" ht="18" customHeight="1">
      <c r="A136" s="942"/>
      <c r="B136" s="943"/>
      <c r="C136" s="943"/>
      <c r="D136" s="943" t="s">
        <v>854</v>
      </c>
      <c r="E136" s="943"/>
      <c r="F136" s="944"/>
      <c r="G136" s="945"/>
      <c r="H136" s="949" t="s">
        <v>857</v>
      </c>
      <c r="I136" s="950">
        <v>0</v>
      </c>
      <c r="J136" s="951">
        <v>0</v>
      </c>
      <c r="K136" s="951">
        <v>0</v>
      </c>
      <c r="L136" s="951">
        <v>0</v>
      </c>
      <c r="M136" s="951">
        <v>750000</v>
      </c>
    </row>
    <row r="137" spans="1:14" ht="18" customHeight="1">
      <c r="A137" s="942"/>
      <c r="B137" s="943"/>
      <c r="C137" s="943"/>
      <c r="D137" s="943" t="s">
        <v>855</v>
      </c>
      <c r="E137" s="943"/>
      <c r="F137" s="944"/>
      <c r="G137" s="945" t="s">
        <v>914</v>
      </c>
      <c r="H137" s="949" t="s">
        <v>856</v>
      </c>
      <c r="I137" s="950">
        <v>0</v>
      </c>
      <c r="J137" s="951">
        <v>0</v>
      </c>
      <c r="K137" s="951">
        <f>0-J137</f>
        <v>0</v>
      </c>
      <c r="L137" s="951">
        <f>SUM(K137+J137)</f>
        <v>0</v>
      </c>
      <c r="M137" s="951">
        <v>0</v>
      </c>
    </row>
    <row r="138" spans="1:14" ht="18" customHeight="1">
      <c r="A138" s="942"/>
      <c r="B138" s="943"/>
      <c r="C138" s="943"/>
      <c r="D138" s="943" t="s">
        <v>849</v>
      </c>
      <c r="E138" s="943"/>
      <c r="F138" s="944"/>
      <c r="G138" s="945" t="s">
        <v>850</v>
      </c>
      <c r="H138" s="949" t="s">
        <v>851</v>
      </c>
      <c r="I138" s="950">
        <v>0</v>
      </c>
      <c r="J138" s="951">
        <v>0</v>
      </c>
      <c r="K138" s="951">
        <f>200000-J138</f>
        <v>200000</v>
      </c>
      <c r="L138" s="951">
        <f>SUM(K138+J138)</f>
        <v>200000</v>
      </c>
      <c r="M138" s="951">
        <v>0</v>
      </c>
    </row>
    <row r="139" spans="1:14" ht="18" customHeight="1">
      <c r="A139" s="942"/>
      <c r="B139" s="943"/>
      <c r="C139" s="943"/>
      <c r="D139" s="943" t="s">
        <v>858</v>
      </c>
      <c r="E139" s="943"/>
      <c r="F139" s="944"/>
      <c r="G139" s="945" t="s">
        <v>913</v>
      </c>
      <c r="H139" s="949" t="s">
        <v>859</v>
      </c>
      <c r="I139" s="950">
        <f>49460</f>
        <v>49460</v>
      </c>
      <c r="J139" s="951">
        <v>0</v>
      </c>
      <c r="K139" s="951">
        <f>100000-J139</f>
        <v>100000</v>
      </c>
      <c r="L139" s="951">
        <f>SUM(K139+J139)</f>
        <v>100000</v>
      </c>
      <c r="M139" s="951">
        <v>0</v>
      </c>
    </row>
    <row r="140" spans="1:14" s="959" customFormat="1" ht="18" customHeight="1">
      <c r="A140" s="954"/>
      <c r="B140" s="955"/>
      <c r="C140" s="955"/>
      <c r="D140" s="955" t="s">
        <v>797</v>
      </c>
      <c r="E140" s="955"/>
      <c r="F140" s="956"/>
      <c r="G140" s="957"/>
      <c r="H140" s="980"/>
      <c r="I140" s="958">
        <f>SUM(I134:I139)</f>
        <v>49460</v>
      </c>
      <c r="J140" s="958">
        <f t="shared" ref="J140:M140" si="5">SUM(J134:J139)</f>
        <v>0</v>
      </c>
      <c r="K140" s="958">
        <f t="shared" si="5"/>
        <v>600000</v>
      </c>
      <c r="L140" s="958">
        <f t="shared" si="5"/>
        <v>600000</v>
      </c>
      <c r="M140" s="958">
        <f t="shared" si="5"/>
        <v>750000</v>
      </c>
      <c r="N140" s="1168"/>
    </row>
    <row r="141" spans="1:14" ht="18" customHeight="1">
      <c r="A141" s="942"/>
      <c r="B141" s="943"/>
      <c r="C141" s="943"/>
      <c r="D141" s="955"/>
      <c r="E141" s="943"/>
      <c r="F141" s="944"/>
      <c r="G141" s="945"/>
      <c r="H141" s="977"/>
      <c r="I141" s="950"/>
      <c r="J141" s="951"/>
      <c r="K141" s="951"/>
      <c r="L141" s="951"/>
      <c r="M141" s="951"/>
    </row>
    <row r="142" spans="1:14" ht="18" customHeight="1">
      <c r="A142" s="962" t="s">
        <v>625</v>
      </c>
      <c r="B142" s="963"/>
      <c r="C142" s="963"/>
      <c r="D142" s="963"/>
      <c r="E142" s="963"/>
      <c r="F142" s="964"/>
      <c r="G142" s="965"/>
      <c r="H142" s="981"/>
      <c r="I142" s="967">
        <f>SUM(I140+I132+I117)</f>
        <v>22239686.57</v>
      </c>
      <c r="J142" s="967">
        <f>SUM(J140+J132+J117)</f>
        <v>10596447.130000001</v>
      </c>
      <c r="K142" s="967">
        <f>SUM(K140+K132+K117)</f>
        <v>15624477.989999998</v>
      </c>
      <c r="L142" s="967">
        <f>SUM(L140+L132+L117)</f>
        <v>26220925.120000001</v>
      </c>
      <c r="M142" s="967">
        <f>SUM(M140+M132+M117)</f>
        <v>27805568</v>
      </c>
    </row>
    <row r="143" spans="1:14" ht="18" hidden="1" customHeight="1">
      <c r="A143" s="930"/>
      <c r="B143" s="968"/>
      <c r="C143" s="930"/>
      <c r="D143" s="930"/>
      <c r="E143" s="930"/>
      <c r="F143" s="930"/>
      <c r="G143" s="930"/>
      <c r="H143" s="969"/>
      <c r="I143" s="969"/>
      <c r="J143" s="970"/>
      <c r="K143" s="970"/>
      <c r="L143" s="970"/>
      <c r="M143" s="970"/>
    </row>
    <row r="144" spans="1:14" ht="18" hidden="1" customHeight="1">
      <c r="A144" s="930"/>
      <c r="B144" s="968"/>
      <c r="C144" s="930"/>
      <c r="D144" s="930"/>
      <c r="E144" s="930"/>
      <c r="F144" s="930"/>
      <c r="G144" s="930"/>
      <c r="H144" s="969"/>
      <c r="I144" s="982"/>
      <c r="J144" s="970"/>
      <c r="K144" s="970"/>
      <c r="L144" s="970"/>
      <c r="M144" s="970"/>
    </row>
    <row r="145" spans="1:14" ht="18" customHeight="1">
      <c r="A145" s="930"/>
      <c r="B145" s="968"/>
      <c r="C145" s="930"/>
      <c r="D145" s="930"/>
      <c r="E145" s="930"/>
      <c r="F145" s="930"/>
      <c r="G145" s="930"/>
      <c r="H145" s="969"/>
      <c r="I145" s="969"/>
      <c r="J145" s="970"/>
      <c r="K145" s="970"/>
      <c r="L145" s="970"/>
      <c r="M145" s="970"/>
    </row>
    <row r="146" spans="1:14" ht="18" customHeight="1">
      <c r="A146" s="1278" t="s">
        <v>1758</v>
      </c>
      <c r="B146" s="1278"/>
      <c r="C146" s="1278"/>
      <c r="D146" s="1278"/>
      <c r="E146" s="1278"/>
      <c r="F146" s="1278"/>
      <c r="G146" s="1278"/>
      <c r="H146" s="1278"/>
      <c r="I146" s="1278"/>
      <c r="J146" s="1278"/>
      <c r="K146" s="1278"/>
      <c r="L146" s="1278"/>
      <c r="M146" s="1278"/>
    </row>
    <row r="147" spans="1:14" ht="18" customHeight="1">
      <c r="A147" s="1218"/>
      <c r="B147" s="1218"/>
      <c r="C147" s="1218"/>
      <c r="D147" s="1218"/>
      <c r="E147" s="1218"/>
      <c r="F147" s="1218"/>
      <c r="G147" s="1218"/>
      <c r="H147" s="1218"/>
      <c r="I147" s="1218"/>
      <c r="J147" s="1218"/>
      <c r="K147" s="1218"/>
      <c r="L147" s="1218"/>
      <c r="M147" s="1218"/>
    </row>
    <row r="148" spans="1:14" ht="18" customHeight="1">
      <c r="A148" s="930"/>
      <c r="B148" s="968"/>
      <c r="C148" s="930"/>
      <c r="D148" s="930"/>
      <c r="E148" s="930"/>
      <c r="F148" s="930"/>
      <c r="G148" s="930"/>
      <c r="H148" s="1104"/>
      <c r="I148" s="1104"/>
      <c r="J148" s="970"/>
      <c r="K148" s="970"/>
      <c r="L148" s="970"/>
      <c r="M148" s="970"/>
    </row>
    <row r="149" spans="1:14" s="917" customFormat="1" ht="20.100000000000001" customHeight="1">
      <c r="A149" s="1276" t="s">
        <v>1618</v>
      </c>
      <c r="B149" s="1276"/>
      <c r="C149" s="1276"/>
      <c r="D149" s="1276"/>
      <c r="E149" s="1276"/>
      <c r="F149" s="1276"/>
      <c r="G149" s="1276"/>
      <c r="H149" s="1276"/>
      <c r="I149" s="1276"/>
      <c r="J149" s="1276"/>
      <c r="K149" s="1276"/>
      <c r="L149" s="1276"/>
      <c r="M149" s="1276"/>
    </row>
    <row r="150" spans="1:14" s="917" customFormat="1" ht="15" customHeight="1">
      <c r="A150" s="914"/>
      <c r="B150" s="915"/>
      <c r="C150" s="915"/>
      <c r="D150" s="915"/>
      <c r="E150" s="915"/>
      <c r="F150" s="915"/>
      <c r="G150" s="915"/>
      <c r="H150" s="915"/>
      <c r="I150" s="915"/>
      <c r="J150" s="915"/>
      <c r="K150" s="915"/>
      <c r="L150" s="915"/>
      <c r="M150" s="916"/>
    </row>
    <row r="151" spans="1:14" s="1113" customFormat="1" ht="15" customHeight="1">
      <c r="A151" s="1259" t="s">
        <v>883</v>
      </c>
      <c r="B151" s="1259"/>
      <c r="C151" s="1259"/>
      <c r="D151" s="1259"/>
      <c r="E151" s="1259"/>
      <c r="F151" s="1259"/>
      <c r="G151" s="1259"/>
      <c r="H151" s="1259"/>
      <c r="I151" s="1259"/>
      <c r="J151" s="1259"/>
      <c r="K151" s="1259"/>
      <c r="L151" s="1259"/>
      <c r="M151" s="1259"/>
      <c r="N151" s="1165"/>
    </row>
    <row r="152" spans="1:14" s="1113" customFormat="1" ht="15" customHeight="1">
      <c r="A152" s="1259" t="s">
        <v>178</v>
      </c>
      <c r="B152" s="1259"/>
      <c r="C152" s="1259"/>
      <c r="D152" s="1259"/>
      <c r="E152" s="1259"/>
      <c r="F152" s="1259"/>
      <c r="G152" s="1259"/>
      <c r="H152" s="1259"/>
      <c r="I152" s="1259"/>
      <c r="J152" s="1259"/>
      <c r="K152" s="1259"/>
      <c r="L152" s="1259"/>
      <c r="M152" s="1259"/>
      <c r="N152" s="1165"/>
    </row>
    <row r="153" spans="1:14" s="1113" customFormat="1" ht="15" customHeight="1">
      <c r="A153" s="1259" t="s">
        <v>1742</v>
      </c>
      <c r="B153" s="1259"/>
      <c r="C153" s="1259"/>
      <c r="D153" s="1259"/>
      <c r="E153" s="1259"/>
      <c r="F153" s="1259"/>
      <c r="G153" s="1259"/>
      <c r="H153" s="1259"/>
      <c r="I153" s="1259"/>
      <c r="J153" s="1259"/>
      <c r="K153" s="1259"/>
      <c r="L153" s="1259"/>
      <c r="M153" s="1259"/>
      <c r="N153" s="1165"/>
    </row>
    <row r="154" spans="1:14" s="1113" customFormat="1" ht="15" customHeight="1">
      <c r="A154" s="1259"/>
      <c r="B154" s="1259"/>
      <c r="C154" s="1259"/>
      <c r="D154" s="1259"/>
      <c r="E154" s="1259"/>
      <c r="F154" s="1259"/>
      <c r="G154" s="1259"/>
      <c r="H154" s="1259"/>
      <c r="I154" s="1259"/>
      <c r="J154" s="1259"/>
      <c r="K154" s="1259"/>
      <c r="L154" s="1259"/>
      <c r="M154" s="1259"/>
      <c r="N154" s="1165"/>
    </row>
    <row r="155" spans="1:14" s="1113" customFormat="1" ht="15" customHeight="1">
      <c r="A155" s="1145"/>
      <c r="B155" s="1145"/>
      <c r="C155" s="1145"/>
      <c r="D155" s="1145"/>
      <c r="E155" s="1145"/>
      <c r="F155" s="1145"/>
      <c r="G155" s="1145"/>
      <c r="H155" s="1145"/>
      <c r="I155" s="1145"/>
      <c r="J155" s="1145"/>
      <c r="K155" s="1145"/>
      <c r="L155" s="1145"/>
      <c r="M155" s="1145"/>
      <c r="N155" s="1165"/>
    </row>
    <row r="156" spans="1:14" s="1113" customFormat="1" ht="15" customHeight="1">
      <c r="A156" s="1145"/>
      <c r="B156" s="1145"/>
      <c r="C156" s="1145"/>
      <c r="D156" s="1145"/>
      <c r="E156" s="1145"/>
      <c r="F156" s="1145"/>
      <c r="G156" s="1145"/>
      <c r="H156" s="1145"/>
      <c r="I156" s="1145"/>
      <c r="J156" s="1145"/>
      <c r="K156" s="1145"/>
      <c r="L156" s="1145"/>
      <c r="M156" s="1145"/>
      <c r="N156" s="1165"/>
    </row>
    <row r="157" spans="1:14" s="1113" customFormat="1" ht="15" customHeight="1">
      <c r="A157" s="1145"/>
      <c r="B157" s="1145"/>
      <c r="C157" s="1145"/>
      <c r="D157" s="1145"/>
      <c r="E157" s="1145"/>
      <c r="F157" s="1145"/>
      <c r="G157" s="1145"/>
      <c r="H157" s="1145"/>
      <c r="I157" s="1145"/>
      <c r="J157" s="1145"/>
      <c r="K157" s="1145"/>
      <c r="L157" s="1145"/>
      <c r="M157" s="1145"/>
      <c r="N157" s="1165"/>
    </row>
    <row r="158" spans="1:14" s="1113" customFormat="1" ht="18" customHeight="1">
      <c r="A158" s="1232" t="s">
        <v>1743</v>
      </c>
      <c r="B158" s="1232"/>
      <c r="C158" s="1232"/>
      <c r="D158" s="1232"/>
      <c r="E158" s="1232"/>
      <c r="F158" s="1232"/>
      <c r="G158" s="1232"/>
      <c r="H158" s="1232"/>
      <c r="I158" s="1232"/>
      <c r="J158" s="1232"/>
      <c r="K158" s="1232"/>
      <c r="L158" s="1232"/>
      <c r="M158" s="1232"/>
      <c r="N158" s="1166"/>
    </row>
    <row r="159" spans="1:14" s="1113" customFormat="1">
      <c r="A159" s="1234" t="s">
        <v>1780</v>
      </c>
      <c r="B159" s="1234"/>
      <c r="C159" s="1234"/>
      <c r="D159" s="1234"/>
      <c r="E159" s="1234"/>
      <c r="F159" s="1234"/>
      <c r="G159" s="1234"/>
      <c r="H159" s="1234"/>
      <c r="I159" s="1234"/>
      <c r="J159" s="1234"/>
      <c r="K159" s="1234"/>
      <c r="L159" s="1234"/>
      <c r="M159" s="1234"/>
      <c r="N159" s="1167"/>
    </row>
    <row r="160" spans="1:14" s="1113" customFormat="1" ht="15.75">
      <c r="A160" s="1113" t="s">
        <v>1785</v>
      </c>
      <c r="G160" s="1145"/>
      <c r="I160" s="1160"/>
      <c r="L160" s="1146"/>
      <c r="M160" s="1146"/>
    </row>
    <row r="161" spans="1:14" s="1113" customFormat="1" ht="15.75">
      <c r="A161" s="1113" t="s">
        <v>1776</v>
      </c>
      <c r="G161" s="1145"/>
      <c r="I161" s="1160"/>
      <c r="L161" s="1146"/>
      <c r="M161" s="1146"/>
    </row>
    <row r="162" spans="1:14" s="1113" customFormat="1" ht="8.1" customHeight="1">
      <c r="A162" s="1161" t="s">
        <v>1774</v>
      </c>
      <c r="G162" s="1145"/>
      <c r="I162" s="1160"/>
      <c r="L162" s="1146"/>
      <c r="M162" s="1146"/>
    </row>
    <row r="163" spans="1:14" s="1113" customFormat="1" ht="15.75" customHeight="1">
      <c r="A163" s="1113" t="s">
        <v>1786</v>
      </c>
      <c r="C163" s="1275" t="s">
        <v>1787</v>
      </c>
      <c r="D163" s="1275"/>
      <c r="E163" s="1275"/>
      <c r="F163" s="1275"/>
      <c r="G163" s="1275"/>
      <c r="H163" s="1275"/>
      <c r="I163" s="1275"/>
      <c r="J163" s="1275"/>
      <c r="K163" s="1275"/>
      <c r="L163" s="1275"/>
      <c r="M163" s="1275"/>
      <c r="N163" s="1144"/>
    </row>
    <row r="164" spans="1:14" s="1113" customFormat="1" ht="18" customHeight="1">
      <c r="A164" s="1169"/>
      <c r="B164" s="1169"/>
      <c r="C164" s="1275"/>
      <c r="D164" s="1275"/>
      <c r="E164" s="1275"/>
      <c r="F164" s="1275"/>
      <c r="G164" s="1275"/>
      <c r="H164" s="1275"/>
      <c r="I164" s="1275"/>
      <c r="J164" s="1275"/>
      <c r="K164" s="1275"/>
      <c r="L164" s="1275"/>
      <c r="M164" s="1275"/>
    </row>
    <row r="165" spans="1:14" s="917" customFormat="1" ht="16.5" thickBot="1">
      <c r="A165" s="1277"/>
      <c r="B165" s="1277"/>
      <c r="C165" s="1277"/>
      <c r="D165" s="1277"/>
      <c r="E165" s="1277"/>
      <c r="F165" s="1277"/>
      <c r="G165" s="1277"/>
      <c r="H165" s="1277"/>
      <c r="I165" s="1277"/>
      <c r="J165" s="1277"/>
      <c r="K165" s="1277"/>
      <c r="L165" s="1277"/>
      <c r="M165" s="1277"/>
    </row>
    <row r="166" spans="1:14" ht="18" customHeight="1">
      <c r="A166" s="919"/>
      <c r="B166" s="920"/>
      <c r="C166" s="920"/>
      <c r="D166" s="920"/>
      <c r="E166" s="920"/>
      <c r="F166" s="921"/>
      <c r="G166" s="922"/>
      <c r="H166" s="923"/>
      <c r="I166" s="923" t="s">
        <v>6</v>
      </c>
      <c r="J166" s="1266" t="s">
        <v>630</v>
      </c>
      <c r="K166" s="1267"/>
      <c r="L166" s="1268"/>
      <c r="M166" s="924" t="s">
        <v>7</v>
      </c>
    </row>
    <row r="167" spans="1:14" ht="15.75" customHeight="1">
      <c r="A167" s="1269"/>
      <c r="B167" s="1270"/>
      <c r="C167" s="1270"/>
      <c r="D167" s="1270"/>
      <c r="E167" s="1270"/>
      <c r="F167" s="1271"/>
      <c r="G167" s="1106"/>
      <c r="H167" s="925"/>
      <c r="I167" s="925">
        <v>2020</v>
      </c>
      <c r="J167" s="925" t="s">
        <v>572</v>
      </c>
      <c r="K167" s="925" t="s">
        <v>573</v>
      </c>
      <c r="L167" s="925">
        <v>2021</v>
      </c>
      <c r="M167" s="926">
        <v>2022</v>
      </c>
    </row>
    <row r="168" spans="1:14" ht="18" customHeight="1">
      <c r="A168" s="1269" t="s">
        <v>21</v>
      </c>
      <c r="B168" s="1270"/>
      <c r="C168" s="1270"/>
      <c r="D168" s="1270"/>
      <c r="E168" s="1270"/>
      <c r="F168" s="1271"/>
      <c r="G168" s="927"/>
      <c r="H168" s="928" t="s">
        <v>624</v>
      </c>
      <c r="I168" s="925" t="s">
        <v>933</v>
      </c>
      <c r="J168" s="925" t="s">
        <v>571</v>
      </c>
      <c r="K168" s="925" t="s">
        <v>574</v>
      </c>
      <c r="L168" s="925" t="s">
        <v>933</v>
      </c>
      <c r="M168" s="926" t="s">
        <v>933</v>
      </c>
    </row>
    <row r="169" spans="1:14" ht="18" customHeight="1">
      <c r="A169" s="929"/>
      <c r="B169" s="930"/>
      <c r="C169" s="930"/>
      <c r="D169" s="930"/>
      <c r="E169" s="930"/>
      <c r="F169" s="931"/>
      <c r="G169" s="927"/>
      <c r="H169" s="925"/>
      <c r="I169" s="1220" t="s">
        <v>571</v>
      </c>
      <c r="J169" s="925">
        <v>2021</v>
      </c>
      <c r="K169" s="925">
        <v>2021</v>
      </c>
      <c r="L169" s="1220" t="s">
        <v>934</v>
      </c>
      <c r="M169" s="1221" t="s">
        <v>576</v>
      </c>
    </row>
    <row r="170" spans="1:14" ht="18" customHeight="1" thickBot="1">
      <c r="A170" s="1272"/>
      <c r="B170" s="1273"/>
      <c r="C170" s="1273"/>
      <c r="D170" s="1273"/>
      <c r="E170" s="1273"/>
      <c r="F170" s="1274"/>
      <c r="G170" s="1107"/>
      <c r="H170" s="932"/>
      <c r="I170" s="932"/>
      <c r="J170" s="932"/>
      <c r="K170" s="932"/>
      <c r="L170" s="932"/>
      <c r="M170" s="933"/>
    </row>
    <row r="171" spans="1:14" ht="18" customHeight="1">
      <c r="A171" s="934"/>
      <c r="B171" s="935" t="s">
        <v>366</v>
      </c>
      <c r="C171" s="936"/>
      <c r="D171" s="935"/>
      <c r="E171" s="935"/>
      <c r="F171" s="937"/>
      <c r="G171" s="938"/>
      <c r="H171" s="974"/>
      <c r="I171" s="983"/>
      <c r="J171" s="984"/>
      <c r="K171" s="984"/>
      <c r="L171" s="984"/>
      <c r="M171" s="984"/>
    </row>
    <row r="172" spans="1:14" ht="18" customHeight="1">
      <c r="A172" s="942"/>
      <c r="B172" s="943"/>
      <c r="C172" s="943" t="s">
        <v>525</v>
      </c>
      <c r="D172" s="943"/>
      <c r="E172" s="943"/>
      <c r="F172" s="944"/>
      <c r="G172" s="945"/>
      <c r="H172" s="977"/>
      <c r="I172" s="985"/>
      <c r="J172" s="986"/>
      <c r="K172" s="986"/>
      <c r="L172" s="986"/>
      <c r="M172" s="986"/>
    </row>
    <row r="173" spans="1:14" ht="18" customHeight="1">
      <c r="A173" s="942"/>
      <c r="B173" s="943"/>
      <c r="C173" s="943"/>
      <c r="D173" s="943" t="s">
        <v>526</v>
      </c>
      <c r="E173" s="943"/>
      <c r="F173" s="944"/>
      <c r="G173" s="945" t="s">
        <v>594</v>
      </c>
      <c r="H173" s="949" t="s">
        <v>687</v>
      </c>
      <c r="I173" s="950">
        <f>1050320.91</f>
        <v>1050320.9099999999</v>
      </c>
      <c r="J173" s="951">
        <f>573927</f>
        <v>573927</v>
      </c>
      <c r="K173" s="951">
        <f>1470672-J173</f>
        <v>896745</v>
      </c>
      <c r="L173" s="951">
        <f>SUM(K173+J173)</f>
        <v>1470672</v>
      </c>
      <c r="M173" s="951">
        <f>1345056</f>
        <v>1345056</v>
      </c>
    </row>
    <row r="174" spans="1:14" ht="18" customHeight="1">
      <c r="A174" s="942"/>
      <c r="B174" s="943"/>
      <c r="C174" s="943" t="s">
        <v>527</v>
      </c>
      <c r="D174" s="943"/>
      <c r="E174" s="943"/>
      <c r="F174" s="944"/>
      <c r="G174" s="945"/>
      <c r="H174" s="952"/>
      <c r="I174" s="950"/>
      <c r="J174" s="951"/>
      <c r="K174" s="951"/>
      <c r="L174" s="951"/>
      <c r="M174" s="951"/>
    </row>
    <row r="175" spans="1:14" ht="18" customHeight="1">
      <c r="A175" s="942"/>
      <c r="B175" s="943"/>
      <c r="C175" s="943"/>
      <c r="D175" s="943" t="s">
        <v>528</v>
      </c>
      <c r="E175" s="943"/>
      <c r="F175" s="944"/>
      <c r="G175" s="945" t="s">
        <v>595</v>
      </c>
      <c r="H175" s="949" t="s">
        <v>688</v>
      </c>
      <c r="I175" s="950">
        <f>50000</f>
        <v>50000</v>
      </c>
      <c r="J175" s="951">
        <v>28000</v>
      </c>
      <c r="K175" s="951">
        <f>96000-J175</f>
        <v>68000</v>
      </c>
      <c r="L175" s="951">
        <f t="shared" ref="L175:L191" si="6">SUM(K175+J175)</f>
        <v>96000</v>
      </c>
      <c r="M175" s="951">
        <f>72000</f>
        <v>72000</v>
      </c>
    </row>
    <row r="176" spans="1:14" ht="18" customHeight="1">
      <c r="A176" s="942"/>
      <c r="B176" s="943"/>
      <c r="C176" s="943"/>
      <c r="D176" s="943" t="s">
        <v>538</v>
      </c>
      <c r="E176" s="943"/>
      <c r="F176" s="944"/>
      <c r="G176" s="945" t="s">
        <v>596</v>
      </c>
      <c r="H176" s="949" t="s">
        <v>689</v>
      </c>
      <c r="I176" s="950">
        <v>76500</v>
      </c>
      <c r="J176" s="951">
        <v>38250</v>
      </c>
      <c r="K176" s="951">
        <f>76500-J176</f>
        <v>38250</v>
      </c>
      <c r="L176" s="951">
        <f t="shared" si="6"/>
        <v>76500</v>
      </c>
      <c r="M176" s="951">
        <f>76500</f>
        <v>76500</v>
      </c>
    </row>
    <row r="177" spans="1:13" ht="18" customHeight="1">
      <c r="A177" s="942"/>
      <c r="B177" s="943"/>
      <c r="C177" s="943"/>
      <c r="D177" s="943" t="s">
        <v>537</v>
      </c>
      <c r="E177" s="943"/>
      <c r="F177" s="944"/>
      <c r="G177" s="945" t="s">
        <v>597</v>
      </c>
      <c r="H177" s="949" t="s">
        <v>690</v>
      </c>
      <c r="I177" s="950">
        <v>76500</v>
      </c>
      <c r="J177" s="951">
        <v>38250</v>
      </c>
      <c r="K177" s="951">
        <f>76500-J177</f>
        <v>38250</v>
      </c>
      <c r="L177" s="951">
        <f t="shared" si="6"/>
        <v>76500</v>
      </c>
      <c r="M177" s="951">
        <f>76500</f>
        <v>76500</v>
      </c>
    </row>
    <row r="178" spans="1:13" ht="18" customHeight="1">
      <c r="A178" s="942"/>
      <c r="B178" s="943"/>
      <c r="C178" s="943"/>
      <c r="D178" s="943" t="s">
        <v>539</v>
      </c>
      <c r="E178" s="943"/>
      <c r="F178" s="944"/>
      <c r="G178" s="945" t="s">
        <v>598</v>
      </c>
      <c r="H178" s="949" t="s">
        <v>691</v>
      </c>
      <c r="I178" s="950">
        <v>12000</v>
      </c>
      <c r="J178" s="951">
        <v>12000</v>
      </c>
      <c r="K178" s="951">
        <f>24000-J178</f>
        <v>12000</v>
      </c>
      <c r="L178" s="951">
        <f t="shared" si="6"/>
        <v>24000</v>
      </c>
      <c r="M178" s="951">
        <f>18000</f>
        <v>18000</v>
      </c>
    </row>
    <row r="179" spans="1:13" ht="18" customHeight="1">
      <c r="A179" s="942"/>
      <c r="B179" s="943"/>
      <c r="C179" s="943"/>
      <c r="D179" s="943" t="s">
        <v>685</v>
      </c>
      <c r="E179" s="943"/>
      <c r="F179" s="944"/>
      <c r="G179" s="945" t="s">
        <v>600</v>
      </c>
      <c r="H179" s="949" t="s">
        <v>692</v>
      </c>
      <c r="I179" s="950">
        <v>10000</v>
      </c>
      <c r="J179" s="951">
        <v>0</v>
      </c>
      <c r="K179" s="951">
        <f>20000-J179</f>
        <v>20000</v>
      </c>
      <c r="L179" s="951">
        <f t="shared" si="6"/>
        <v>20000</v>
      </c>
      <c r="M179" s="951">
        <f>15000</f>
        <v>15000</v>
      </c>
    </row>
    <row r="180" spans="1:13" ht="18" customHeight="1">
      <c r="A180" s="942"/>
      <c r="B180" s="943"/>
      <c r="C180" s="943"/>
      <c r="D180" s="943" t="s">
        <v>541</v>
      </c>
      <c r="E180" s="943"/>
      <c r="F180" s="944"/>
      <c r="G180" s="945" t="s">
        <v>433</v>
      </c>
      <c r="H180" s="949" t="s">
        <v>693</v>
      </c>
      <c r="I180" s="950">
        <f>10000</f>
        <v>10000</v>
      </c>
      <c r="J180" s="951">
        <v>0</v>
      </c>
      <c r="K180" s="951">
        <f>0-J180</f>
        <v>0</v>
      </c>
      <c r="L180" s="951">
        <f t="shared" si="6"/>
        <v>0</v>
      </c>
      <c r="M180" s="951">
        <v>0</v>
      </c>
    </row>
    <row r="181" spans="1:13" ht="18" customHeight="1">
      <c r="A181" s="942"/>
      <c r="B181" s="943"/>
      <c r="C181" s="943"/>
      <c r="D181" s="943" t="s">
        <v>1630</v>
      </c>
      <c r="E181" s="943"/>
      <c r="F181" s="944"/>
      <c r="G181" s="945" t="s">
        <v>433</v>
      </c>
      <c r="H181" s="949" t="s">
        <v>693</v>
      </c>
      <c r="I181" s="950">
        <v>0</v>
      </c>
      <c r="J181" s="951">
        <v>6000</v>
      </c>
      <c r="K181" s="951">
        <f>6000-J181</f>
        <v>0</v>
      </c>
      <c r="L181" s="951">
        <f t="shared" si="6"/>
        <v>6000</v>
      </c>
      <c r="M181" s="951">
        <v>0</v>
      </c>
    </row>
    <row r="182" spans="1:13" ht="18" customHeight="1">
      <c r="A182" s="942"/>
      <c r="B182" s="943"/>
      <c r="C182" s="943"/>
      <c r="D182" s="943" t="s">
        <v>1513</v>
      </c>
      <c r="E182" s="943"/>
      <c r="F182" s="944"/>
      <c r="G182" s="945"/>
      <c r="H182" s="949" t="s">
        <v>693</v>
      </c>
      <c r="I182" s="950">
        <f>60791.6</f>
        <v>60791.6</v>
      </c>
      <c r="J182" s="951">
        <v>0</v>
      </c>
      <c r="K182" s="951">
        <v>0</v>
      </c>
      <c r="L182" s="951">
        <f t="shared" si="6"/>
        <v>0</v>
      </c>
      <c r="M182" s="951">
        <v>0</v>
      </c>
    </row>
    <row r="183" spans="1:13" ht="18" customHeight="1">
      <c r="A183" s="942"/>
      <c r="B183" s="943"/>
      <c r="C183" s="943"/>
      <c r="D183" s="943" t="s">
        <v>544</v>
      </c>
      <c r="E183" s="943"/>
      <c r="F183" s="944"/>
      <c r="G183" s="945" t="s">
        <v>603</v>
      </c>
      <c r="H183" s="949" t="s">
        <v>694</v>
      </c>
      <c r="I183" s="950">
        <f>10000</f>
        <v>10000</v>
      </c>
      <c r="J183" s="951">
        <v>0</v>
      </c>
      <c r="K183" s="951">
        <f>20000-J183</f>
        <v>20000</v>
      </c>
      <c r="L183" s="951">
        <f t="shared" si="6"/>
        <v>20000</v>
      </c>
      <c r="M183" s="951">
        <f>15000</f>
        <v>15000</v>
      </c>
    </row>
    <row r="184" spans="1:13" ht="18" customHeight="1">
      <c r="A184" s="942"/>
      <c r="B184" s="943"/>
      <c r="C184" s="943"/>
      <c r="D184" s="943" t="s">
        <v>805</v>
      </c>
      <c r="E184" s="943"/>
      <c r="F184" s="943"/>
      <c r="G184" s="953" t="s">
        <v>433</v>
      </c>
      <c r="H184" s="949" t="s">
        <v>693</v>
      </c>
      <c r="I184" s="950">
        <f>86429</f>
        <v>86429</v>
      </c>
      <c r="J184" s="951">
        <v>108786</v>
      </c>
      <c r="K184" s="951">
        <f>122556-J184</f>
        <v>13770</v>
      </c>
      <c r="L184" s="951">
        <f t="shared" si="6"/>
        <v>122556</v>
      </c>
      <c r="M184" s="951">
        <f>112088</f>
        <v>112088</v>
      </c>
    </row>
    <row r="185" spans="1:13" ht="18" customHeight="1">
      <c r="A185" s="942"/>
      <c r="B185" s="943"/>
      <c r="C185" s="943"/>
      <c r="D185" s="943" t="s">
        <v>545</v>
      </c>
      <c r="E185" s="943"/>
      <c r="F185" s="944"/>
      <c r="G185" s="945" t="s">
        <v>604</v>
      </c>
      <c r="H185" s="949" t="s">
        <v>695</v>
      </c>
      <c r="I185" s="950">
        <v>86520</v>
      </c>
      <c r="J185" s="951">
        <v>0</v>
      </c>
      <c r="K185" s="951">
        <f>122556-J185</f>
        <v>122556</v>
      </c>
      <c r="L185" s="951">
        <f t="shared" si="6"/>
        <v>122556</v>
      </c>
      <c r="M185" s="951">
        <f>112088</f>
        <v>112088</v>
      </c>
    </row>
    <row r="186" spans="1:13" ht="18" customHeight="1">
      <c r="A186" s="942"/>
      <c r="B186" s="943"/>
      <c r="C186" s="943"/>
      <c r="D186" s="943" t="s">
        <v>658</v>
      </c>
      <c r="E186" s="943"/>
      <c r="F186" s="944"/>
      <c r="G186" s="945" t="s">
        <v>605</v>
      </c>
      <c r="H186" s="949" t="s">
        <v>696</v>
      </c>
      <c r="I186" s="950">
        <f>122281.44+3678.12</f>
        <v>125959.56</v>
      </c>
      <c r="J186" s="951">
        <v>66694.320000000007</v>
      </c>
      <c r="K186" s="951">
        <f>177500-J186</f>
        <v>110805.68</v>
      </c>
      <c r="L186" s="951">
        <f t="shared" si="6"/>
        <v>177500</v>
      </c>
      <c r="M186" s="951">
        <f>162000</f>
        <v>162000</v>
      </c>
    </row>
    <row r="187" spans="1:13" ht="18" customHeight="1">
      <c r="A187" s="942"/>
      <c r="B187" s="943"/>
      <c r="C187" s="943"/>
      <c r="D187" s="943" t="s">
        <v>546</v>
      </c>
      <c r="E187" s="943"/>
      <c r="F187" s="944"/>
      <c r="G187" s="945" t="s">
        <v>606</v>
      </c>
      <c r="H187" s="949" t="s">
        <v>697</v>
      </c>
      <c r="I187" s="950">
        <v>2500</v>
      </c>
      <c r="J187" s="951">
        <v>1400</v>
      </c>
      <c r="K187" s="951">
        <f>7200-J187</f>
        <v>5800</v>
      </c>
      <c r="L187" s="951">
        <f t="shared" si="6"/>
        <v>7200</v>
      </c>
      <c r="M187" s="951">
        <f>5400</f>
        <v>5400</v>
      </c>
    </row>
    <row r="188" spans="1:13" ht="18" customHeight="1">
      <c r="A188" s="942"/>
      <c r="B188" s="943"/>
      <c r="C188" s="943"/>
      <c r="D188" s="943" t="s">
        <v>547</v>
      </c>
      <c r="E188" s="943"/>
      <c r="F188" s="944"/>
      <c r="G188" s="945" t="s">
        <v>607</v>
      </c>
      <c r="H188" s="949" t="s">
        <v>698</v>
      </c>
      <c r="I188" s="950">
        <f>12975</f>
        <v>12975</v>
      </c>
      <c r="J188" s="951">
        <v>7140</v>
      </c>
      <c r="K188" s="951">
        <f>26300-J188</f>
        <v>19160</v>
      </c>
      <c r="L188" s="951">
        <f t="shared" si="6"/>
        <v>26300</v>
      </c>
      <c r="M188" s="951">
        <f>27500</f>
        <v>27500</v>
      </c>
    </row>
    <row r="189" spans="1:13" ht="18" customHeight="1">
      <c r="A189" s="942"/>
      <c r="B189" s="943"/>
      <c r="C189" s="943"/>
      <c r="D189" s="943" t="s">
        <v>654</v>
      </c>
      <c r="E189" s="943"/>
      <c r="F189" s="944"/>
      <c r="G189" s="945" t="s">
        <v>608</v>
      </c>
      <c r="H189" s="949" t="s">
        <v>699</v>
      </c>
      <c r="I189" s="950">
        <f>2500</f>
        <v>2500</v>
      </c>
      <c r="J189" s="951">
        <v>1400</v>
      </c>
      <c r="K189" s="951">
        <f>4800-J189</f>
        <v>3400</v>
      </c>
      <c r="L189" s="951">
        <f t="shared" si="6"/>
        <v>4800</v>
      </c>
      <c r="M189" s="951">
        <f>3600</f>
        <v>3600</v>
      </c>
    </row>
    <row r="190" spans="1:13" ht="18" customHeight="1">
      <c r="A190" s="942"/>
      <c r="B190" s="943"/>
      <c r="C190" s="943"/>
      <c r="D190" s="943" t="s">
        <v>549</v>
      </c>
      <c r="E190" s="943"/>
      <c r="F190" s="944"/>
      <c r="G190" s="945" t="s">
        <v>396</v>
      </c>
      <c r="H190" s="949" t="s">
        <v>711</v>
      </c>
      <c r="I190" s="950">
        <f>331168.48</f>
        <v>331168.48</v>
      </c>
      <c r="J190" s="951">
        <v>205531.84</v>
      </c>
      <c r="K190" s="951">
        <f>205531.84-J190</f>
        <v>0</v>
      </c>
      <c r="L190" s="951">
        <f t="shared" si="6"/>
        <v>205531.84</v>
      </c>
      <c r="M190" s="951">
        <v>0</v>
      </c>
    </row>
    <row r="191" spans="1:13" ht="18" customHeight="1">
      <c r="A191" s="942"/>
      <c r="B191" s="943"/>
      <c r="C191" s="943"/>
      <c r="D191" s="943" t="s">
        <v>1514</v>
      </c>
      <c r="E191" s="943"/>
      <c r="F191" s="944"/>
      <c r="G191" s="945"/>
      <c r="H191" s="949" t="s">
        <v>711</v>
      </c>
      <c r="I191" s="950">
        <f>20000</f>
        <v>20000</v>
      </c>
      <c r="J191" s="951">
        <v>0</v>
      </c>
      <c r="K191" s="951">
        <v>0</v>
      </c>
      <c r="L191" s="951">
        <f t="shared" si="6"/>
        <v>0</v>
      </c>
      <c r="M191" s="951">
        <v>0</v>
      </c>
    </row>
    <row r="192" spans="1:13" s="959" customFormat="1" ht="18" customHeight="1">
      <c r="A192" s="954"/>
      <c r="B192" s="955"/>
      <c r="C192" s="955"/>
      <c r="D192" s="955" t="s">
        <v>371</v>
      </c>
      <c r="E192" s="955"/>
      <c r="F192" s="956"/>
      <c r="G192" s="957"/>
      <c r="H192" s="946"/>
      <c r="I192" s="958">
        <f>SUM(I173:I191)</f>
        <v>2024164.55</v>
      </c>
      <c r="J192" s="958">
        <f>SUM(J173:J191)</f>
        <v>1087379.1600000001</v>
      </c>
      <c r="K192" s="958">
        <f>SUM(K173:K191)</f>
        <v>1368736.68</v>
      </c>
      <c r="L192" s="958">
        <f>SUM(L173:L191)</f>
        <v>2456115.84</v>
      </c>
      <c r="M192" s="958">
        <f>SUM(M173:M191)</f>
        <v>2040732</v>
      </c>
    </row>
    <row r="193" spans="1:13" ht="18" customHeight="1">
      <c r="A193" s="942"/>
      <c r="B193" s="943" t="s">
        <v>550</v>
      </c>
      <c r="C193" s="943"/>
      <c r="D193" s="943"/>
      <c r="E193" s="943"/>
      <c r="F193" s="944"/>
      <c r="G193" s="945"/>
      <c r="H193" s="952"/>
      <c r="I193" s="950"/>
      <c r="J193" s="951"/>
      <c r="K193" s="951"/>
      <c r="L193" s="951"/>
      <c r="M193" s="951"/>
    </row>
    <row r="194" spans="1:13" ht="18" customHeight="1">
      <c r="A194" s="942"/>
      <c r="B194" s="943"/>
      <c r="C194" s="943"/>
      <c r="D194" s="943" t="s">
        <v>551</v>
      </c>
      <c r="E194" s="943"/>
      <c r="F194" s="944"/>
      <c r="G194" s="945" t="s">
        <v>384</v>
      </c>
      <c r="H194" s="949" t="s">
        <v>701</v>
      </c>
      <c r="I194" s="950">
        <v>7800</v>
      </c>
      <c r="J194" s="951">
        <v>5850</v>
      </c>
      <c r="K194" s="951">
        <f>88000-J194</f>
        <v>82150</v>
      </c>
      <c r="L194" s="951">
        <f t="shared" ref="L194:L199" si="7">SUM(K194+J194)</f>
        <v>88000</v>
      </c>
      <c r="M194" s="951">
        <f>100000</f>
        <v>100000</v>
      </c>
    </row>
    <row r="195" spans="1:13" ht="18" customHeight="1">
      <c r="A195" s="942"/>
      <c r="B195" s="943"/>
      <c r="C195" s="943"/>
      <c r="D195" s="943" t="s">
        <v>429</v>
      </c>
      <c r="E195" s="943"/>
      <c r="F195" s="944"/>
      <c r="G195" s="945" t="s">
        <v>385</v>
      </c>
      <c r="H195" s="949" t="s">
        <v>702</v>
      </c>
      <c r="I195" s="950">
        <v>0</v>
      </c>
      <c r="J195" s="951">
        <v>0</v>
      </c>
      <c r="K195" s="951">
        <f>100000-J195</f>
        <v>100000</v>
      </c>
      <c r="L195" s="951">
        <f t="shared" si="7"/>
        <v>100000</v>
      </c>
      <c r="M195" s="951">
        <f>100000</f>
        <v>100000</v>
      </c>
    </row>
    <row r="196" spans="1:13" ht="18" customHeight="1">
      <c r="A196" s="942"/>
      <c r="B196" s="943"/>
      <c r="C196" s="943"/>
      <c r="D196" s="943" t="s">
        <v>378</v>
      </c>
      <c r="E196" s="943"/>
      <c r="F196" s="944"/>
      <c r="G196" s="945" t="s">
        <v>387</v>
      </c>
      <c r="H196" s="949" t="s">
        <v>703</v>
      </c>
      <c r="I196" s="950">
        <v>162269</v>
      </c>
      <c r="J196" s="951">
        <v>87875</v>
      </c>
      <c r="K196" s="951">
        <f>189607-J196</f>
        <v>101732</v>
      </c>
      <c r="L196" s="951">
        <f t="shared" si="7"/>
        <v>189607</v>
      </c>
      <c r="M196" s="951">
        <f>210587</f>
        <v>210587</v>
      </c>
    </row>
    <row r="197" spans="1:13" ht="18" customHeight="1">
      <c r="A197" s="942"/>
      <c r="B197" s="943"/>
      <c r="C197" s="943"/>
      <c r="D197" s="943" t="s">
        <v>557</v>
      </c>
      <c r="E197" s="943"/>
      <c r="F197" s="944"/>
      <c r="G197" s="945" t="s">
        <v>388</v>
      </c>
      <c r="H197" s="949" t="s">
        <v>705</v>
      </c>
      <c r="I197" s="950">
        <v>24000</v>
      </c>
      <c r="J197" s="951">
        <v>18000</v>
      </c>
      <c r="K197" s="951">
        <f>36000-J197</f>
        <v>18000</v>
      </c>
      <c r="L197" s="951">
        <f t="shared" si="7"/>
        <v>36000</v>
      </c>
      <c r="M197" s="951">
        <f>36000</f>
        <v>36000</v>
      </c>
    </row>
    <row r="198" spans="1:13" ht="18" customHeight="1">
      <c r="A198" s="942"/>
      <c r="B198" s="943"/>
      <c r="C198" s="943"/>
      <c r="D198" s="943" t="s">
        <v>926</v>
      </c>
      <c r="E198" s="943"/>
      <c r="F198" s="944"/>
      <c r="G198" s="945" t="s">
        <v>389</v>
      </c>
      <c r="H198" s="949" t="s">
        <v>706</v>
      </c>
      <c r="I198" s="950">
        <v>350</v>
      </c>
      <c r="J198" s="951">
        <v>0</v>
      </c>
      <c r="K198" s="951">
        <f>15000-J198</f>
        <v>15000</v>
      </c>
      <c r="L198" s="951">
        <f t="shared" si="7"/>
        <v>15000</v>
      </c>
      <c r="M198" s="951">
        <f>50000</f>
        <v>50000</v>
      </c>
    </row>
    <row r="199" spans="1:13" ht="18" customHeight="1">
      <c r="A199" s="942"/>
      <c r="B199" s="943"/>
      <c r="C199" s="943"/>
      <c r="D199" s="943" t="s">
        <v>564</v>
      </c>
      <c r="E199" s="943"/>
      <c r="F199" s="944"/>
      <c r="G199" s="945" t="s">
        <v>390</v>
      </c>
      <c r="H199" s="949" t="s">
        <v>707</v>
      </c>
      <c r="I199" s="950">
        <v>50000</v>
      </c>
      <c r="J199" s="951">
        <v>0</v>
      </c>
      <c r="K199" s="951">
        <f>30000-J199</f>
        <v>30000</v>
      </c>
      <c r="L199" s="951">
        <f t="shared" si="7"/>
        <v>30000</v>
      </c>
      <c r="M199" s="951">
        <f>30000</f>
        <v>30000</v>
      </c>
    </row>
    <row r="200" spans="1:13" s="959" customFormat="1" ht="18" customHeight="1">
      <c r="A200" s="954"/>
      <c r="B200" s="955"/>
      <c r="C200" s="955"/>
      <c r="D200" s="955" t="s">
        <v>752</v>
      </c>
      <c r="E200" s="955"/>
      <c r="F200" s="956"/>
      <c r="G200" s="957"/>
      <c r="H200" s="946"/>
      <c r="I200" s="958">
        <f>SUM(I194:I199)</f>
        <v>244419</v>
      </c>
      <c r="J200" s="958">
        <f>SUM(J194:J199)</f>
        <v>111725</v>
      </c>
      <c r="K200" s="958">
        <f>SUM(K194:K199)</f>
        <v>346882</v>
      </c>
      <c r="L200" s="958">
        <f>SUM(L194:L199)</f>
        <v>458607</v>
      </c>
      <c r="M200" s="958">
        <f>SUM(M194:M199)</f>
        <v>526587</v>
      </c>
    </row>
    <row r="201" spans="1:13" ht="18" customHeight="1">
      <c r="A201" s="942"/>
      <c r="B201" s="943" t="s">
        <v>565</v>
      </c>
      <c r="C201" s="943"/>
      <c r="D201" s="943"/>
      <c r="E201" s="943"/>
      <c r="F201" s="944"/>
      <c r="G201" s="945"/>
      <c r="H201" s="952"/>
      <c r="I201" s="950"/>
      <c r="J201" s="951"/>
      <c r="K201" s="951"/>
      <c r="L201" s="951"/>
      <c r="M201" s="951"/>
    </row>
    <row r="202" spans="1:13" ht="18" customHeight="1">
      <c r="A202" s="942"/>
      <c r="B202" s="943"/>
      <c r="C202" s="943"/>
      <c r="D202" s="943" t="s">
        <v>686</v>
      </c>
      <c r="E202" s="943"/>
      <c r="F202" s="944"/>
      <c r="G202" s="945" t="s">
        <v>846</v>
      </c>
      <c r="H202" s="949" t="s">
        <v>847</v>
      </c>
      <c r="I202" s="950">
        <v>0</v>
      </c>
      <c r="J202" s="951">
        <v>29484</v>
      </c>
      <c r="K202" s="951">
        <f>150000-J202</f>
        <v>120516</v>
      </c>
      <c r="L202" s="951">
        <f>SUM(K202+J202)</f>
        <v>150000</v>
      </c>
      <c r="M202" s="951">
        <f>55000</f>
        <v>55000</v>
      </c>
    </row>
    <row r="203" spans="1:13" ht="18" customHeight="1">
      <c r="A203" s="942"/>
      <c r="B203" s="943"/>
      <c r="C203" s="943"/>
      <c r="D203" s="943" t="s">
        <v>1469</v>
      </c>
      <c r="E203" s="943"/>
      <c r="F203" s="944"/>
      <c r="G203" s="945" t="s">
        <v>848</v>
      </c>
      <c r="H203" s="949" t="s">
        <v>1567</v>
      </c>
      <c r="I203" s="950">
        <v>0</v>
      </c>
      <c r="J203" s="951">
        <v>0</v>
      </c>
      <c r="K203" s="951">
        <f>0-J203</f>
        <v>0</v>
      </c>
      <c r="L203" s="951">
        <f>SUM(K203+J203)</f>
        <v>0</v>
      </c>
      <c r="M203" s="951">
        <v>0</v>
      </c>
    </row>
    <row r="204" spans="1:13" ht="18" customHeight="1">
      <c r="A204" s="942"/>
      <c r="B204" s="943"/>
      <c r="C204" s="943"/>
      <c r="D204" s="943" t="s">
        <v>855</v>
      </c>
      <c r="E204" s="943"/>
      <c r="F204" s="944"/>
      <c r="G204" s="945" t="s">
        <v>914</v>
      </c>
      <c r="H204" s="949" t="s">
        <v>856</v>
      </c>
      <c r="I204" s="950">
        <v>0</v>
      </c>
      <c r="J204" s="951">
        <v>0</v>
      </c>
      <c r="K204" s="951">
        <f>20000-J204</f>
        <v>20000</v>
      </c>
      <c r="L204" s="951">
        <f>SUM(K204+J204)</f>
        <v>20000</v>
      </c>
      <c r="M204" s="951">
        <v>0</v>
      </c>
    </row>
    <row r="205" spans="1:13" s="959" customFormat="1" ht="18" customHeight="1">
      <c r="A205" s="954"/>
      <c r="B205" s="955"/>
      <c r="C205" s="955"/>
      <c r="D205" s="955" t="s">
        <v>797</v>
      </c>
      <c r="E205" s="955"/>
      <c r="F205" s="956"/>
      <c r="G205" s="957"/>
      <c r="H205" s="946"/>
      <c r="I205" s="958">
        <f>SUM(I202:I204)</f>
        <v>0</v>
      </c>
      <c r="J205" s="961">
        <f>SUM(J202:J204)</f>
        <v>29484</v>
      </c>
      <c r="K205" s="961">
        <f>SUM(K202:K204)</f>
        <v>140516</v>
      </c>
      <c r="L205" s="961">
        <f>SUM(L202:L204)</f>
        <v>170000</v>
      </c>
      <c r="M205" s="961">
        <f>SUM(M202:M204)</f>
        <v>55000</v>
      </c>
    </row>
    <row r="206" spans="1:13" s="959" customFormat="1" ht="18" customHeight="1">
      <c r="A206" s="954"/>
      <c r="B206" s="955"/>
      <c r="C206" s="955"/>
      <c r="D206" s="955"/>
      <c r="E206" s="955"/>
      <c r="F206" s="956"/>
      <c r="G206" s="957"/>
      <c r="H206" s="946"/>
      <c r="I206" s="958"/>
      <c r="J206" s="961"/>
      <c r="K206" s="961"/>
      <c r="L206" s="961"/>
      <c r="M206" s="961"/>
    </row>
    <row r="207" spans="1:13" s="959" customFormat="1" ht="18" customHeight="1">
      <c r="A207" s="962" t="s">
        <v>625</v>
      </c>
      <c r="B207" s="963"/>
      <c r="C207" s="963"/>
      <c r="D207" s="963"/>
      <c r="E207" s="963"/>
      <c r="F207" s="964"/>
      <c r="G207" s="965"/>
      <c r="H207" s="966"/>
      <c r="I207" s="967">
        <f>SUM(I205+I200+I192)</f>
        <v>2268583.5499999998</v>
      </c>
      <c r="J207" s="967">
        <f>SUM(J205+J200+J192)</f>
        <v>1228588.1600000001</v>
      </c>
      <c r="K207" s="967">
        <f>SUM(K205+K200+K192)</f>
        <v>1856134.68</v>
      </c>
      <c r="L207" s="967">
        <f>SUM(L205+L200+L192)</f>
        <v>3084722.84</v>
      </c>
      <c r="M207" s="967">
        <f>SUM(M205+M200+M192)</f>
        <v>2622319</v>
      </c>
    </row>
    <row r="208" spans="1:13" ht="18" customHeight="1">
      <c r="A208" s="930"/>
      <c r="B208" s="968"/>
      <c r="C208" s="930"/>
      <c r="D208" s="930"/>
      <c r="E208" s="930"/>
      <c r="F208" s="930"/>
      <c r="G208" s="930"/>
      <c r="H208" s="969"/>
      <c r="I208" s="969"/>
      <c r="J208" s="970"/>
      <c r="K208" s="970"/>
      <c r="L208" s="970"/>
      <c r="M208" s="970"/>
    </row>
    <row r="209" spans="1:14" ht="18" customHeight="1">
      <c r="A209" s="1278" t="s">
        <v>1758</v>
      </c>
      <c r="B209" s="1278"/>
      <c r="C209" s="1278"/>
      <c r="D209" s="1278"/>
      <c r="E209" s="1278"/>
      <c r="F209" s="1278"/>
      <c r="G209" s="1278"/>
      <c r="H209" s="1278"/>
      <c r="I209" s="1278"/>
      <c r="J209" s="1278"/>
      <c r="K209" s="1278"/>
      <c r="L209" s="1278"/>
      <c r="M209" s="1278"/>
    </row>
    <row r="210" spans="1:14" ht="18" customHeight="1">
      <c r="A210" s="1218"/>
      <c r="B210" s="1218"/>
      <c r="C210" s="1218"/>
      <c r="D210" s="1218"/>
      <c r="E210" s="1218"/>
      <c r="F210" s="1218"/>
      <c r="G210" s="1218"/>
      <c r="H210" s="1218"/>
      <c r="I210" s="1218"/>
      <c r="J210" s="1218"/>
      <c r="K210" s="1218"/>
      <c r="L210" s="1218"/>
      <c r="M210" s="1218"/>
    </row>
    <row r="211" spans="1:14" ht="18" customHeight="1">
      <c r="A211" s="1218"/>
      <c r="B211" s="1218"/>
      <c r="C211" s="1218"/>
      <c r="D211" s="1218"/>
      <c r="E211" s="1218"/>
      <c r="F211" s="1218"/>
      <c r="G211" s="1218"/>
      <c r="H211" s="1218"/>
      <c r="I211" s="1218"/>
      <c r="J211" s="1218"/>
      <c r="K211" s="1218"/>
      <c r="L211" s="1218"/>
      <c r="M211" s="1218"/>
    </row>
    <row r="212" spans="1:14" ht="18" customHeight="1">
      <c r="A212" s="1218"/>
      <c r="B212" s="1218"/>
      <c r="C212" s="1218"/>
      <c r="D212" s="1218"/>
      <c r="E212" s="1218"/>
      <c r="F212" s="1218"/>
      <c r="G212" s="1218"/>
      <c r="H212" s="1218"/>
      <c r="I212" s="1218"/>
      <c r="J212" s="1218"/>
      <c r="K212" s="1218"/>
      <c r="L212" s="1218"/>
      <c r="M212" s="1218"/>
    </row>
    <row r="213" spans="1:14" ht="18" customHeight="1">
      <c r="A213" s="1218"/>
      <c r="B213" s="1218"/>
      <c r="C213" s="1218"/>
      <c r="D213" s="1218"/>
      <c r="E213" s="1218"/>
      <c r="F213" s="1218"/>
      <c r="G213" s="1218"/>
      <c r="H213" s="1218"/>
      <c r="I213" s="1218"/>
      <c r="J213" s="1218"/>
      <c r="K213" s="1218"/>
      <c r="L213" s="1218"/>
      <c r="M213" s="1218"/>
    </row>
    <row r="214" spans="1:14" ht="18" customHeight="1">
      <c r="A214" s="1218"/>
      <c r="B214" s="1218"/>
      <c r="C214" s="1218"/>
      <c r="D214" s="1218"/>
      <c r="E214" s="1218"/>
      <c r="F214" s="1218"/>
      <c r="G214" s="1218"/>
      <c r="H214" s="1218"/>
      <c r="I214" s="1218"/>
      <c r="J214" s="1218"/>
      <c r="K214" s="1218"/>
      <c r="L214" s="1218"/>
      <c r="M214" s="1218"/>
    </row>
    <row r="215" spans="1:14" ht="18" customHeight="1">
      <c r="A215" s="1218"/>
      <c r="B215" s="1218"/>
      <c r="C215" s="1218"/>
      <c r="D215" s="1218"/>
      <c r="E215" s="1218"/>
      <c r="F215" s="1218"/>
      <c r="G215" s="1218"/>
      <c r="H215" s="1218"/>
      <c r="I215" s="1218"/>
      <c r="J215" s="1218"/>
      <c r="K215" s="1218"/>
      <c r="L215" s="1218"/>
      <c r="M215" s="1218"/>
    </row>
    <row r="216" spans="1:14" s="917" customFormat="1" ht="18" customHeight="1">
      <c r="A216" s="915"/>
      <c r="B216" s="914"/>
      <c r="C216" s="915"/>
      <c r="D216" s="915"/>
      <c r="E216" s="915"/>
      <c r="F216" s="915"/>
      <c r="G216" s="972"/>
      <c r="H216" s="969"/>
      <c r="I216" s="969"/>
      <c r="K216" s="973"/>
      <c r="L216" s="973"/>
      <c r="M216" s="970"/>
    </row>
    <row r="217" spans="1:14" s="987" customFormat="1" ht="20.100000000000001" customHeight="1">
      <c r="A217" s="1276" t="s">
        <v>1619</v>
      </c>
      <c r="B217" s="1276"/>
      <c r="C217" s="1276"/>
      <c r="D217" s="1276"/>
      <c r="E217" s="1276"/>
      <c r="F217" s="1276"/>
      <c r="G217" s="1276"/>
      <c r="H217" s="1276"/>
      <c r="I217" s="1276"/>
      <c r="J217" s="1276"/>
      <c r="K217" s="1276"/>
      <c r="L217" s="1276"/>
      <c r="M217" s="1276"/>
    </row>
    <row r="218" spans="1:14" s="987" customFormat="1" ht="20.100000000000001" customHeight="1">
      <c r="A218" s="1105"/>
      <c r="B218" s="1105"/>
      <c r="C218" s="1105"/>
      <c r="D218" s="1105"/>
      <c r="E218" s="1105"/>
      <c r="F218" s="1105"/>
      <c r="G218" s="1105"/>
      <c r="H218" s="1105"/>
      <c r="I218" s="1105"/>
      <c r="J218" s="1105"/>
      <c r="K218" s="1105"/>
      <c r="L218" s="1105"/>
      <c r="M218" s="1105"/>
    </row>
    <row r="219" spans="1:14" s="987" customFormat="1" ht="20.100000000000001" customHeight="1">
      <c r="A219" s="1105"/>
      <c r="B219" s="1105"/>
      <c r="C219" s="1105"/>
      <c r="D219" s="1105"/>
      <c r="E219" s="1105"/>
      <c r="F219" s="1105"/>
      <c r="G219" s="1105"/>
      <c r="H219" s="1105"/>
      <c r="I219" s="1105"/>
      <c r="J219" s="1105"/>
      <c r="K219" s="1105"/>
      <c r="L219" s="1105"/>
      <c r="M219" s="1105"/>
    </row>
    <row r="220" spans="1:14" s="1113" customFormat="1" ht="15" customHeight="1">
      <c r="A220" s="1259" t="s">
        <v>883</v>
      </c>
      <c r="B220" s="1259"/>
      <c r="C220" s="1259"/>
      <c r="D220" s="1259"/>
      <c r="E220" s="1259"/>
      <c r="F220" s="1259"/>
      <c r="G220" s="1259"/>
      <c r="H220" s="1259"/>
      <c r="I220" s="1259"/>
      <c r="J220" s="1259"/>
      <c r="K220" s="1259"/>
      <c r="L220" s="1259"/>
      <c r="M220" s="1259"/>
      <c r="N220" s="1165"/>
    </row>
    <row r="221" spans="1:14" s="1113" customFormat="1" ht="15" customHeight="1">
      <c r="A221" s="1259" t="s">
        <v>178</v>
      </c>
      <c r="B221" s="1259"/>
      <c r="C221" s="1259"/>
      <c r="D221" s="1259"/>
      <c r="E221" s="1259"/>
      <c r="F221" s="1259"/>
      <c r="G221" s="1259"/>
      <c r="H221" s="1259"/>
      <c r="I221" s="1259"/>
      <c r="J221" s="1259"/>
      <c r="K221" s="1259"/>
      <c r="L221" s="1259"/>
      <c r="M221" s="1259"/>
      <c r="N221" s="1165"/>
    </row>
    <row r="222" spans="1:14" s="1113" customFormat="1" ht="15" customHeight="1">
      <c r="A222" s="1259" t="s">
        <v>1742</v>
      </c>
      <c r="B222" s="1259"/>
      <c r="C222" s="1259"/>
      <c r="D222" s="1259"/>
      <c r="E222" s="1259"/>
      <c r="F222" s="1259"/>
      <c r="G222" s="1259"/>
      <c r="H222" s="1259"/>
      <c r="I222" s="1259"/>
      <c r="J222" s="1259"/>
      <c r="K222" s="1259"/>
      <c r="L222" s="1259"/>
      <c r="M222" s="1259"/>
      <c r="N222" s="1165"/>
    </row>
    <row r="223" spans="1:14" s="1113" customFormat="1" ht="15" customHeight="1">
      <c r="A223" s="1259"/>
      <c r="B223" s="1259"/>
      <c r="C223" s="1259"/>
      <c r="D223" s="1259"/>
      <c r="E223" s="1259"/>
      <c r="F223" s="1259"/>
      <c r="G223" s="1259"/>
      <c r="H223" s="1259"/>
      <c r="I223" s="1259"/>
      <c r="J223" s="1259"/>
      <c r="K223" s="1259"/>
      <c r="L223" s="1259"/>
      <c r="M223" s="1259"/>
      <c r="N223" s="1165"/>
    </row>
    <row r="224" spans="1:14" s="1113" customFormat="1" ht="15" customHeight="1">
      <c r="A224" s="1145"/>
      <c r="B224" s="1145"/>
      <c r="C224" s="1145"/>
      <c r="D224" s="1145"/>
      <c r="E224" s="1145"/>
      <c r="F224" s="1145"/>
      <c r="G224" s="1145"/>
      <c r="H224" s="1145"/>
      <c r="I224" s="1145"/>
      <c r="J224" s="1145"/>
      <c r="K224" s="1145"/>
      <c r="L224" s="1145"/>
      <c r="M224" s="1145"/>
      <c r="N224" s="1165"/>
    </row>
    <row r="225" spans="1:14" s="1113" customFormat="1" ht="15" customHeight="1">
      <c r="A225" s="1145"/>
      <c r="B225" s="1145"/>
      <c r="C225" s="1145"/>
      <c r="D225" s="1145"/>
      <c r="E225" s="1145"/>
      <c r="F225" s="1145"/>
      <c r="G225" s="1145"/>
      <c r="H225" s="1145"/>
      <c r="I225" s="1145"/>
      <c r="J225" s="1145"/>
      <c r="K225" s="1145"/>
      <c r="L225" s="1145"/>
      <c r="M225" s="1145"/>
      <c r="N225" s="1165"/>
    </row>
    <row r="226" spans="1:14" s="1113" customFormat="1" ht="15" customHeight="1">
      <c r="A226" s="1145"/>
      <c r="B226" s="1145"/>
      <c r="C226" s="1145"/>
      <c r="D226" s="1145"/>
      <c r="E226" s="1145"/>
      <c r="F226" s="1145"/>
      <c r="G226" s="1145"/>
      <c r="H226" s="1145"/>
      <c r="I226" s="1145"/>
      <c r="J226" s="1145"/>
      <c r="K226" s="1145"/>
      <c r="L226" s="1145"/>
      <c r="M226" s="1145"/>
      <c r="N226" s="1165"/>
    </row>
    <row r="227" spans="1:14" s="1113" customFormat="1" ht="18" customHeight="1">
      <c r="A227" s="1232" t="s">
        <v>1743</v>
      </c>
      <c r="B227" s="1232"/>
      <c r="C227" s="1232"/>
      <c r="D227" s="1232"/>
      <c r="E227" s="1232"/>
      <c r="F227" s="1232"/>
      <c r="G227" s="1232"/>
      <c r="H227" s="1232"/>
      <c r="I227" s="1232"/>
      <c r="J227" s="1232"/>
      <c r="K227" s="1232"/>
      <c r="L227" s="1232"/>
      <c r="M227" s="1232"/>
      <c r="N227" s="1166"/>
    </row>
    <row r="228" spans="1:14" s="1113" customFormat="1">
      <c r="A228" s="1234" t="s">
        <v>1780</v>
      </c>
      <c r="B228" s="1234"/>
      <c r="C228" s="1234"/>
      <c r="D228" s="1234"/>
      <c r="E228" s="1234"/>
      <c r="F228" s="1234"/>
      <c r="G228" s="1234"/>
      <c r="H228" s="1234"/>
      <c r="I228" s="1234"/>
      <c r="J228" s="1234"/>
      <c r="K228" s="1234"/>
      <c r="L228" s="1234"/>
      <c r="M228" s="1234"/>
      <c r="N228" s="1167"/>
    </row>
    <row r="229" spans="1:14" s="786" customFormat="1" ht="18" customHeight="1">
      <c r="A229" s="1113" t="s">
        <v>1788</v>
      </c>
      <c r="B229" s="1113"/>
      <c r="C229" s="1113"/>
      <c r="D229" s="1113"/>
      <c r="E229" s="1113"/>
      <c r="F229" s="1113"/>
      <c r="G229" s="1145"/>
      <c r="H229" s="1113"/>
      <c r="I229" s="1160"/>
      <c r="J229" s="1113"/>
      <c r="K229" s="1113"/>
      <c r="L229" s="1146"/>
      <c r="M229" s="1146"/>
    </row>
    <row r="230" spans="1:14" s="786" customFormat="1" ht="18" customHeight="1">
      <c r="A230" s="1113" t="s">
        <v>1776</v>
      </c>
      <c r="B230" s="1113"/>
      <c r="C230" s="1113"/>
      <c r="D230" s="1113"/>
      <c r="E230" s="1113"/>
      <c r="F230" s="1113"/>
      <c r="G230" s="1145"/>
      <c r="H230" s="1113"/>
      <c r="I230" s="1160"/>
      <c r="J230" s="1113"/>
      <c r="K230" s="1113"/>
      <c r="L230" s="1146"/>
      <c r="M230" s="1146"/>
    </row>
    <row r="231" spans="1:14" s="786" customFormat="1" ht="8.1" customHeight="1">
      <c r="A231" s="1161" t="s">
        <v>1774</v>
      </c>
      <c r="B231" s="1113"/>
      <c r="C231" s="1113"/>
      <c r="D231" s="1113"/>
      <c r="E231" s="1113"/>
      <c r="F231" s="1113"/>
      <c r="G231" s="1145"/>
      <c r="H231" s="1113"/>
      <c r="I231" s="1160"/>
      <c r="J231" s="1113"/>
      <c r="K231" s="1113"/>
      <c r="L231" s="1146"/>
      <c r="M231" s="1146"/>
    </row>
    <row r="232" spans="1:14" s="786" customFormat="1" ht="18" customHeight="1">
      <c r="A232" s="1113" t="s">
        <v>1789</v>
      </c>
      <c r="B232" s="1113"/>
      <c r="C232" s="1275" t="s">
        <v>1790</v>
      </c>
      <c r="D232" s="1275"/>
      <c r="E232" s="1275"/>
      <c r="F232" s="1275"/>
      <c r="G232" s="1275"/>
      <c r="H232" s="1275"/>
      <c r="I232" s="1275"/>
      <c r="J232" s="1275"/>
      <c r="K232" s="1275"/>
      <c r="L232" s="1275"/>
      <c r="M232" s="1275"/>
    </row>
    <row r="233" spans="1:14" s="786" customFormat="1" ht="18" customHeight="1">
      <c r="A233" s="1169"/>
      <c r="B233" s="1169"/>
      <c r="C233" s="1275"/>
      <c r="D233" s="1275"/>
      <c r="E233" s="1275"/>
      <c r="F233" s="1275"/>
      <c r="G233" s="1275"/>
      <c r="H233" s="1275"/>
      <c r="I233" s="1275"/>
      <c r="J233" s="1275"/>
      <c r="K233" s="1275"/>
      <c r="L233" s="1275"/>
      <c r="M233" s="1275"/>
    </row>
    <row r="234" spans="1:14" s="917" customFormat="1" ht="18" customHeight="1" thickBot="1">
      <c r="A234" s="1279"/>
      <c r="B234" s="1279"/>
      <c r="C234" s="1279"/>
      <c r="D234" s="1279"/>
      <c r="E234" s="1279"/>
      <c r="F234" s="1279"/>
      <c r="G234" s="1279"/>
      <c r="H234" s="1279"/>
      <c r="I234" s="1279"/>
      <c r="J234" s="1279"/>
      <c r="K234" s="1279"/>
      <c r="L234" s="1279"/>
      <c r="M234" s="1279"/>
    </row>
    <row r="235" spans="1:14" ht="18" customHeight="1">
      <c r="A235" s="919"/>
      <c r="B235" s="920"/>
      <c r="C235" s="920"/>
      <c r="D235" s="920"/>
      <c r="E235" s="920"/>
      <c r="F235" s="921"/>
      <c r="G235" s="922"/>
      <c r="H235" s="923"/>
      <c r="I235" s="923" t="s">
        <v>6</v>
      </c>
      <c r="J235" s="1266" t="s">
        <v>630</v>
      </c>
      <c r="K235" s="1267"/>
      <c r="L235" s="1268"/>
      <c r="M235" s="924" t="s">
        <v>7</v>
      </c>
    </row>
    <row r="236" spans="1:14" ht="18" customHeight="1">
      <c r="A236" s="1269"/>
      <c r="B236" s="1270"/>
      <c r="C236" s="1270"/>
      <c r="D236" s="1270"/>
      <c r="E236" s="1270"/>
      <c r="F236" s="1271"/>
      <c r="G236" s="1106"/>
      <c r="H236" s="925"/>
      <c r="I236" s="925">
        <v>2020</v>
      </c>
      <c r="J236" s="925" t="s">
        <v>572</v>
      </c>
      <c r="K236" s="925" t="s">
        <v>573</v>
      </c>
      <c r="L236" s="925">
        <v>2021</v>
      </c>
      <c r="M236" s="926">
        <v>2022</v>
      </c>
    </row>
    <row r="237" spans="1:14" ht="18" customHeight="1">
      <c r="A237" s="1269" t="s">
        <v>21</v>
      </c>
      <c r="B237" s="1270"/>
      <c r="C237" s="1270"/>
      <c r="D237" s="1270"/>
      <c r="E237" s="1270"/>
      <c r="F237" s="1271"/>
      <c r="G237" s="927"/>
      <c r="H237" s="928" t="s">
        <v>624</v>
      </c>
      <c r="I237" s="925" t="s">
        <v>933</v>
      </c>
      <c r="J237" s="925" t="s">
        <v>571</v>
      </c>
      <c r="K237" s="925" t="s">
        <v>574</v>
      </c>
      <c r="L237" s="925" t="s">
        <v>933</v>
      </c>
      <c r="M237" s="926" t="s">
        <v>933</v>
      </c>
    </row>
    <row r="238" spans="1:14" ht="18" customHeight="1">
      <c r="A238" s="929"/>
      <c r="B238" s="930"/>
      <c r="C238" s="930"/>
      <c r="D238" s="930"/>
      <c r="E238" s="930"/>
      <c r="F238" s="931"/>
      <c r="G238" s="927"/>
      <c r="H238" s="925"/>
      <c r="I238" s="1220" t="s">
        <v>571</v>
      </c>
      <c r="J238" s="925">
        <v>2021</v>
      </c>
      <c r="K238" s="925">
        <v>2021</v>
      </c>
      <c r="L238" s="1220" t="s">
        <v>934</v>
      </c>
      <c r="M238" s="1221" t="s">
        <v>576</v>
      </c>
    </row>
    <row r="239" spans="1:14" ht="18" customHeight="1" thickBot="1">
      <c r="A239" s="1272"/>
      <c r="B239" s="1273"/>
      <c r="C239" s="1273"/>
      <c r="D239" s="1273"/>
      <c r="E239" s="1273"/>
      <c r="F239" s="1274"/>
      <c r="G239" s="1107"/>
      <c r="H239" s="932"/>
      <c r="I239" s="932"/>
      <c r="J239" s="932"/>
      <c r="K239" s="932"/>
      <c r="L239" s="932"/>
      <c r="M239" s="933"/>
    </row>
    <row r="240" spans="1:14" ht="18" customHeight="1">
      <c r="A240" s="934"/>
      <c r="B240" s="935" t="s">
        <v>366</v>
      </c>
      <c r="C240" s="936"/>
      <c r="D240" s="935"/>
      <c r="E240" s="935"/>
      <c r="F240" s="937"/>
      <c r="G240" s="938"/>
      <c r="H240" s="974"/>
      <c r="I240" s="975"/>
      <c r="J240" s="976"/>
      <c r="K240" s="976"/>
      <c r="L240" s="976"/>
      <c r="M240" s="976"/>
    </row>
    <row r="241" spans="1:13" ht="18" customHeight="1">
      <c r="A241" s="942"/>
      <c r="B241" s="943"/>
      <c r="C241" s="943" t="s">
        <v>525</v>
      </c>
      <c r="D241" s="943"/>
      <c r="E241" s="943"/>
      <c r="F241" s="944"/>
      <c r="G241" s="945"/>
      <c r="H241" s="977"/>
      <c r="I241" s="978"/>
      <c r="J241" s="979"/>
      <c r="K241" s="979"/>
      <c r="L241" s="979"/>
      <c r="M241" s="979"/>
    </row>
    <row r="242" spans="1:13" ht="18" customHeight="1">
      <c r="A242" s="942"/>
      <c r="B242" s="943"/>
      <c r="C242" s="943"/>
      <c r="D242" s="943" t="s">
        <v>526</v>
      </c>
      <c r="E242" s="943"/>
      <c r="F242" s="944"/>
      <c r="G242" s="945" t="s">
        <v>594</v>
      </c>
      <c r="H242" s="949" t="s">
        <v>687</v>
      </c>
      <c r="I242" s="950">
        <f>1293355.82</f>
        <v>1293355.82</v>
      </c>
      <c r="J242" s="951">
        <v>663402</v>
      </c>
      <c r="K242" s="951">
        <f>1326804-J242</f>
        <v>663402</v>
      </c>
      <c r="L242" s="951">
        <f>SUM(K242+J242)</f>
        <v>1326804</v>
      </c>
      <c r="M242" s="951">
        <f>1359660</f>
        <v>1359660</v>
      </c>
    </row>
    <row r="243" spans="1:13" ht="18" customHeight="1">
      <c r="A243" s="942"/>
      <c r="B243" s="943"/>
      <c r="C243" s="943" t="s">
        <v>527</v>
      </c>
      <c r="D243" s="943"/>
      <c r="E243" s="943"/>
      <c r="F243" s="944"/>
      <c r="G243" s="945"/>
      <c r="H243" s="952"/>
      <c r="I243" s="950"/>
      <c r="J243" s="951"/>
      <c r="K243" s="951"/>
      <c r="L243" s="951"/>
      <c r="M243" s="951"/>
    </row>
    <row r="244" spans="1:13" ht="18" customHeight="1">
      <c r="A244" s="942"/>
      <c r="B244" s="943"/>
      <c r="C244" s="943"/>
      <c r="D244" s="943" t="s">
        <v>528</v>
      </c>
      <c r="E244" s="943"/>
      <c r="F244" s="944"/>
      <c r="G244" s="945" t="s">
        <v>595</v>
      </c>
      <c r="H244" s="949" t="s">
        <v>688</v>
      </c>
      <c r="I244" s="950">
        <v>72000</v>
      </c>
      <c r="J244" s="951">
        <v>36000</v>
      </c>
      <c r="K244" s="951">
        <f>72000-J244</f>
        <v>36000</v>
      </c>
      <c r="L244" s="951">
        <f t="shared" ref="L244:L260" si="8">SUM(K244+J244)</f>
        <v>72000</v>
      </c>
      <c r="M244" s="951">
        <v>72000</v>
      </c>
    </row>
    <row r="245" spans="1:13" ht="18" customHeight="1">
      <c r="A245" s="942"/>
      <c r="B245" s="943"/>
      <c r="C245" s="943"/>
      <c r="D245" s="943" t="s">
        <v>538</v>
      </c>
      <c r="E245" s="943"/>
      <c r="F245" s="944"/>
      <c r="G245" s="945" t="s">
        <v>596</v>
      </c>
      <c r="H245" s="949" t="s">
        <v>689</v>
      </c>
      <c r="I245" s="950">
        <v>76500</v>
      </c>
      <c r="J245" s="951">
        <v>38250</v>
      </c>
      <c r="K245" s="951">
        <f>76500-J245</f>
        <v>38250</v>
      </c>
      <c r="L245" s="951">
        <f t="shared" si="8"/>
        <v>76500</v>
      </c>
      <c r="M245" s="951">
        <v>76500</v>
      </c>
    </row>
    <row r="246" spans="1:13" ht="18" customHeight="1">
      <c r="A246" s="942"/>
      <c r="B246" s="943"/>
      <c r="C246" s="943"/>
      <c r="D246" s="943" t="s">
        <v>537</v>
      </c>
      <c r="E246" s="943"/>
      <c r="F246" s="944"/>
      <c r="G246" s="945" t="s">
        <v>597</v>
      </c>
      <c r="H246" s="949" t="s">
        <v>690</v>
      </c>
      <c r="I246" s="950">
        <v>76500</v>
      </c>
      <c r="J246" s="951">
        <v>38250</v>
      </c>
      <c r="K246" s="951">
        <f>76500-J246</f>
        <v>38250</v>
      </c>
      <c r="L246" s="951">
        <f t="shared" si="8"/>
        <v>76500</v>
      </c>
      <c r="M246" s="951">
        <v>76500</v>
      </c>
    </row>
    <row r="247" spans="1:13" ht="18" customHeight="1">
      <c r="A247" s="942"/>
      <c r="B247" s="943"/>
      <c r="C247" s="943"/>
      <c r="D247" s="943" t="s">
        <v>539</v>
      </c>
      <c r="E247" s="943"/>
      <c r="F247" s="944"/>
      <c r="G247" s="945" t="s">
        <v>598</v>
      </c>
      <c r="H247" s="949" t="s">
        <v>691</v>
      </c>
      <c r="I247" s="950">
        <v>18000</v>
      </c>
      <c r="J247" s="951">
        <v>18000</v>
      </c>
      <c r="K247" s="951">
        <f>18000-J247</f>
        <v>0</v>
      </c>
      <c r="L247" s="951">
        <f t="shared" si="8"/>
        <v>18000</v>
      </c>
      <c r="M247" s="951">
        <v>18000</v>
      </c>
    </row>
    <row r="248" spans="1:13" ht="18" customHeight="1">
      <c r="A248" s="942"/>
      <c r="B248" s="943"/>
      <c r="C248" s="943"/>
      <c r="D248" s="943" t="s">
        <v>685</v>
      </c>
      <c r="E248" s="943"/>
      <c r="F248" s="944"/>
      <c r="G248" s="945" t="s">
        <v>600</v>
      </c>
      <c r="H248" s="949" t="s">
        <v>692</v>
      </c>
      <c r="I248" s="950">
        <v>15000</v>
      </c>
      <c r="J248" s="951">
        <v>0</v>
      </c>
      <c r="K248" s="951">
        <f>15000-J248</f>
        <v>15000</v>
      </c>
      <c r="L248" s="951">
        <f t="shared" si="8"/>
        <v>15000</v>
      </c>
      <c r="M248" s="951">
        <v>15000</v>
      </c>
    </row>
    <row r="249" spans="1:13" ht="18" customHeight="1">
      <c r="A249" s="942"/>
      <c r="B249" s="943"/>
      <c r="C249" s="943"/>
      <c r="D249" s="943" t="s">
        <v>541</v>
      </c>
      <c r="E249" s="943"/>
      <c r="F249" s="944"/>
      <c r="G249" s="945" t="s">
        <v>433</v>
      </c>
      <c r="H249" s="949" t="s">
        <v>693</v>
      </c>
      <c r="I249" s="950">
        <f>5000</f>
        <v>5000</v>
      </c>
      <c r="J249" s="951">
        <v>0</v>
      </c>
      <c r="K249" s="951">
        <v>0</v>
      </c>
      <c r="L249" s="951">
        <f t="shared" si="8"/>
        <v>0</v>
      </c>
      <c r="M249" s="951">
        <v>0</v>
      </c>
    </row>
    <row r="250" spans="1:13" ht="18" customHeight="1">
      <c r="A250" s="942"/>
      <c r="B250" s="943"/>
      <c r="C250" s="943"/>
      <c r="D250" s="943" t="s">
        <v>1630</v>
      </c>
      <c r="E250" s="943"/>
      <c r="F250" s="944"/>
      <c r="G250" s="945" t="s">
        <v>433</v>
      </c>
      <c r="H250" s="949" t="s">
        <v>693</v>
      </c>
      <c r="I250" s="950">
        <v>0</v>
      </c>
      <c r="J250" s="951">
        <v>9000</v>
      </c>
      <c r="K250" s="951">
        <f>9000-J250</f>
        <v>0</v>
      </c>
      <c r="L250" s="951">
        <f t="shared" si="8"/>
        <v>9000</v>
      </c>
      <c r="M250" s="951">
        <v>0</v>
      </c>
    </row>
    <row r="251" spans="1:13" ht="18" customHeight="1">
      <c r="A251" s="942"/>
      <c r="B251" s="943"/>
      <c r="C251" s="943"/>
      <c r="D251" s="943" t="s">
        <v>1513</v>
      </c>
      <c r="E251" s="943"/>
      <c r="F251" s="944"/>
      <c r="G251" s="945"/>
      <c r="H251" s="949" t="s">
        <v>693</v>
      </c>
      <c r="I251" s="950">
        <f>52439.5</f>
        <v>52439.5</v>
      </c>
      <c r="J251" s="951">
        <v>0</v>
      </c>
      <c r="K251" s="951">
        <v>0</v>
      </c>
      <c r="L251" s="951">
        <f t="shared" si="8"/>
        <v>0</v>
      </c>
      <c r="M251" s="951">
        <v>0</v>
      </c>
    </row>
    <row r="252" spans="1:13" ht="18" customHeight="1">
      <c r="A252" s="942"/>
      <c r="B252" s="943"/>
      <c r="C252" s="943"/>
      <c r="D252" s="943" t="s">
        <v>544</v>
      </c>
      <c r="E252" s="943"/>
      <c r="F252" s="944"/>
      <c r="G252" s="945" t="s">
        <v>603</v>
      </c>
      <c r="H252" s="949" t="s">
        <v>694</v>
      </c>
      <c r="I252" s="950">
        <f>15000</f>
        <v>15000</v>
      </c>
      <c r="J252" s="951">
        <v>0</v>
      </c>
      <c r="K252" s="951">
        <f>15000-J252</f>
        <v>15000</v>
      </c>
      <c r="L252" s="951">
        <f t="shared" si="8"/>
        <v>15000</v>
      </c>
      <c r="M252" s="951">
        <f>15000</f>
        <v>15000</v>
      </c>
    </row>
    <row r="253" spans="1:13" ht="18" customHeight="1">
      <c r="A253" s="942"/>
      <c r="B253" s="943"/>
      <c r="C253" s="943"/>
      <c r="D253" s="943" t="s">
        <v>805</v>
      </c>
      <c r="E253" s="943"/>
      <c r="F253" s="943"/>
      <c r="G253" s="953" t="s">
        <v>433</v>
      </c>
      <c r="H253" s="949" t="s">
        <v>693</v>
      </c>
      <c r="I253" s="950">
        <f>107606</f>
        <v>107606</v>
      </c>
      <c r="J253" s="951">
        <v>110567</v>
      </c>
      <c r="K253" s="951">
        <f>110567-J253</f>
        <v>0</v>
      </c>
      <c r="L253" s="951">
        <f t="shared" si="8"/>
        <v>110567</v>
      </c>
      <c r="M253" s="951">
        <f>113305</f>
        <v>113305</v>
      </c>
    </row>
    <row r="254" spans="1:13" ht="18" customHeight="1">
      <c r="A254" s="942"/>
      <c r="B254" s="943"/>
      <c r="C254" s="943"/>
      <c r="D254" s="943" t="s">
        <v>545</v>
      </c>
      <c r="E254" s="943"/>
      <c r="F254" s="944"/>
      <c r="G254" s="945" t="s">
        <v>604</v>
      </c>
      <c r="H254" s="949" t="s">
        <v>695</v>
      </c>
      <c r="I254" s="950">
        <f>107832</f>
        <v>107832</v>
      </c>
      <c r="J254" s="951">
        <v>0</v>
      </c>
      <c r="K254" s="951">
        <f>110567-J254</f>
        <v>110567</v>
      </c>
      <c r="L254" s="951">
        <f t="shared" si="8"/>
        <v>110567</v>
      </c>
      <c r="M254" s="951">
        <f>113305</f>
        <v>113305</v>
      </c>
    </row>
    <row r="255" spans="1:13" ht="18" customHeight="1">
      <c r="A255" s="942"/>
      <c r="B255" s="943"/>
      <c r="C255" s="943"/>
      <c r="D255" s="943" t="s">
        <v>658</v>
      </c>
      <c r="E255" s="943"/>
      <c r="F255" s="944"/>
      <c r="G255" s="945" t="s">
        <v>605</v>
      </c>
      <c r="H255" s="949" t="s">
        <v>696</v>
      </c>
      <c r="I255" s="950">
        <f>151299.12+3872.87</f>
        <v>155171.99</v>
      </c>
      <c r="J255" s="951">
        <v>78019.199999999997</v>
      </c>
      <c r="K255" s="951">
        <f>160000-J255</f>
        <v>81980.800000000003</v>
      </c>
      <c r="L255" s="951">
        <f t="shared" si="8"/>
        <v>160000</v>
      </c>
      <c r="M255" s="951">
        <f>164000</f>
        <v>164000</v>
      </c>
    </row>
    <row r="256" spans="1:13" ht="18" customHeight="1">
      <c r="A256" s="942"/>
      <c r="B256" s="943"/>
      <c r="C256" s="943"/>
      <c r="D256" s="943" t="s">
        <v>546</v>
      </c>
      <c r="E256" s="943"/>
      <c r="F256" s="944"/>
      <c r="G256" s="945" t="s">
        <v>606</v>
      </c>
      <c r="H256" s="949" t="s">
        <v>697</v>
      </c>
      <c r="I256" s="950">
        <f>3600</f>
        <v>3600</v>
      </c>
      <c r="J256" s="951">
        <v>1800</v>
      </c>
      <c r="K256" s="951">
        <f>5400-J256</f>
        <v>3600</v>
      </c>
      <c r="L256" s="951">
        <f t="shared" si="8"/>
        <v>5400</v>
      </c>
      <c r="M256" s="951">
        <f>5400</f>
        <v>5400</v>
      </c>
    </row>
    <row r="257" spans="1:13" ht="18" customHeight="1">
      <c r="A257" s="942"/>
      <c r="B257" s="943"/>
      <c r="C257" s="943"/>
      <c r="D257" s="943" t="s">
        <v>547</v>
      </c>
      <c r="E257" s="943"/>
      <c r="F257" s="944"/>
      <c r="G257" s="945" t="s">
        <v>607</v>
      </c>
      <c r="H257" s="949" t="s">
        <v>698</v>
      </c>
      <c r="I257" s="950">
        <f>15360</f>
        <v>15360</v>
      </c>
      <c r="J257" s="951">
        <v>7815</v>
      </c>
      <c r="K257" s="951">
        <f>23500-J257</f>
        <v>15685</v>
      </c>
      <c r="L257" s="951">
        <f t="shared" si="8"/>
        <v>23500</v>
      </c>
      <c r="M257" s="951">
        <f>28500</f>
        <v>28500</v>
      </c>
    </row>
    <row r="258" spans="1:13" ht="18" customHeight="1">
      <c r="A258" s="942"/>
      <c r="B258" s="943"/>
      <c r="C258" s="943"/>
      <c r="D258" s="943" t="s">
        <v>654</v>
      </c>
      <c r="E258" s="943"/>
      <c r="F258" s="944"/>
      <c r="G258" s="945" t="s">
        <v>608</v>
      </c>
      <c r="H258" s="949" t="s">
        <v>699</v>
      </c>
      <c r="I258" s="950">
        <f>3600</f>
        <v>3600</v>
      </c>
      <c r="J258" s="951">
        <v>1800</v>
      </c>
      <c r="K258" s="951">
        <f>3600-J258</f>
        <v>1800</v>
      </c>
      <c r="L258" s="951">
        <f t="shared" si="8"/>
        <v>3600</v>
      </c>
      <c r="M258" s="951">
        <f>3600</f>
        <v>3600</v>
      </c>
    </row>
    <row r="259" spans="1:13" ht="18" customHeight="1">
      <c r="A259" s="942"/>
      <c r="B259" s="943"/>
      <c r="C259" s="943"/>
      <c r="D259" s="943" t="s">
        <v>549</v>
      </c>
      <c r="E259" s="943"/>
      <c r="F259" s="944"/>
      <c r="G259" s="945" t="s">
        <v>396</v>
      </c>
      <c r="H259" s="949" t="s">
        <v>711</v>
      </c>
      <c r="I259" s="950">
        <f>398123.85</f>
        <v>398123.85</v>
      </c>
      <c r="J259" s="951">
        <v>85538.19</v>
      </c>
      <c r="K259" s="951">
        <f>85538.19-J259</f>
        <v>0</v>
      </c>
      <c r="L259" s="951">
        <f t="shared" si="8"/>
        <v>85538.19</v>
      </c>
      <c r="M259" s="951">
        <v>0</v>
      </c>
    </row>
    <row r="260" spans="1:13" ht="18" customHeight="1">
      <c r="A260" s="942"/>
      <c r="B260" s="943"/>
      <c r="C260" s="943"/>
      <c r="D260" s="943" t="s">
        <v>1514</v>
      </c>
      <c r="E260" s="943"/>
      <c r="F260" s="944"/>
      <c r="G260" s="945"/>
      <c r="H260" s="949" t="s">
        <v>711</v>
      </c>
      <c r="I260" s="950">
        <v>30000</v>
      </c>
      <c r="J260" s="951">
        <v>0</v>
      </c>
      <c r="K260" s="951">
        <v>0</v>
      </c>
      <c r="L260" s="951">
        <f t="shared" si="8"/>
        <v>0</v>
      </c>
      <c r="M260" s="951">
        <v>0</v>
      </c>
    </row>
    <row r="261" spans="1:13" s="959" customFormat="1" ht="18" customHeight="1">
      <c r="A261" s="954"/>
      <c r="B261" s="955"/>
      <c r="C261" s="955"/>
      <c r="D261" s="955" t="s">
        <v>371</v>
      </c>
      <c r="E261" s="955"/>
      <c r="F261" s="956"/>
      <c r="G261" s="957"/>
      <c r="H261" s="980"/>
      <c r="I261" s="958">
        <f>SUM(I242:I260)</f>
        <v>2445089.16</v>
      </c>
      <c r="J261" s="958">
        <f>SUM(J242:J260)</f>
        <v>1088441.3899999999</v>
      </c>
      <c r="K261" s="958">
        <f>SUM(K242:K260)</f>
        <v>1019534.8</v>
      </c>
      <c r="L261" s="958">
        <f>SUM(L242:L260)</f>
        <v>2107976.19</v>
      </c>
      <c r="M261" s="958">
        <f>SUM(M242:M260)</f>
        <v>2060770</v>
      </c>
    </row>
    <row r="262" spans="1:13" ht="18" customHeight="1">
      <c r="A262" s="942"/>
      <c r="B262" s="943" t="s">
        <v>550</v>
      </c>
      <c r="C262" s="943"/>
      <c r="D262" s="943"/>
      <c r="E262" s="943"/>
      <c r="F262" s="944"/>
      <c r="G262" s="945"/>
      <c r="H262" s="977"/>
      <c r="I262" s="950"/>
      <c r="J262" s="951"/>
      <c r="K262" s="951"/>
      <c r="L262" s="951"/>
      <c r="M262" s="951"/>
    </row>
    <row r="263" spans="1:13" ht="18" customHeight="1">
      <c r="A263" s="942"/>
      <c r="B263" s="943"/>
      <c r="C263" s="943"/>
      <c r="D263" s="943" t="s">
        <v>551</v>
      </c>
      <c r="E263" s="943"/>
      <c r="F263" s="944"/>
      <c r="G263" s="945" t="s">
        <v>384</v>
      </c>
      <c r="H263" s="949" t="s">
        <v>701</v>
      </c>
      <c r="I263" s="950">
        <f>6756</f>
        <v>6756</v>
      </c>
      <c r="J263" s="951">
        <v>4360</v>
      </c>
      <c r="K263" s="951">
        <f>43000-J263</f>
        <v>38640</v>
      </c>
      <c r="L263" s="951">
        <f t="shared" ref="L263:L269" si="9">SUM(K263+J263)</f>
        <v>43000</v>
      </c>
      <c r="M263" s="951">
        <v>43000</v>
      </c>
    </row>
    <row r="264" spans="1:13" ht="18" customHeight="1">
      <c r="A264" s="942"/>
      <c r="B264" s="943"/>
      <c r="C264" s="943"/>
      <c r="D264" s="943" t="s">
        <v>429</v>
      </c>
      <c r="E264" s="943"/>
      <c r="F264" s="944"/>
      <c r="G264" s="945" t="s">
        <v>385</v>
      </c>
      <c r="H264" s="949" t="s">
        <v>702</v>
      </c>
      <c r="I264" s="950">
        <f>3000</f>
        <v>3000</v>
      </c>
      <c r="J264" s="951">
        <v>8000</v>
      </c>
      <c r="K264" s="951">
        <f>35000-J264</f>
        <v>27000</v>
      </c>
      <c r="L264" s="951">
        <f t="shared" si="9"/>
        <v>35000</v>
      </c>
      <c r="M264" s="951">
        <v>35000</v>
      </c>
    </row>
    <row r="265" spans="1:13" ht="18" customHeight="1">
      <c r="A265" s="942"/>
      <c r="B265" s="943"/>
      <c r="C265" s="943"/>
      <c r="D265" s="943" t="s">
        <v>378</v>
      </c>
      <c r="E265" s="943"/>
      <c r="F265" s="944"/>
      <c r="G265" s="945" t="s">
        <v>387</v>
      </c>
      <c r="H265" s="949" t="s">
        <v>703</v>
      </c>
      <c r="I265" s="950">
        <f>74834</f>
        <v>74834</v>
      </c>
      <c r="J265" s="951">
        <v>23184</v>
      </c>
      <c r="K265" s="951">
        <f>65000-J265</f>
        <v>41816</v>
      </c>
      <c r="L265" s="951">
        <f t="shared" si="9"/>
        <v>65000</v>
      </c>
      <c r="M265" s="951">
        <v>85000</v>
      </c>
    </row>
    <row r="266" spans="1:13" ht="18" customHeight="1">
      <c r="A266" s="942"/>
      <c r="B266" s="943"/>
      <c r="C266" s="943"/>
      <c r="D266" s="943" t="s">
        <v>555</v>
      </c>
      <c r="E266" s="943"/>
      <c r="F266" s="944"/>
      <c r="G266" s="945" t="s">
        <v>613</v>
      </c>
      <c r="H266" s="949" t="s">
        <v>704</v>
      </c>
      <c r="I266" s="950">
        <v>0</v>
      </c>
      <c r="J266" s="951">
        <v>0</v>
      </c>
      <c r="K266" s="951">
        <f>250-J266</f>
        <v>250</v>
      </c>
      <c r="L266" s="951">
        <f t="shared" si="9"/>
        <v>250</v>
      </c>
      <c r="M266" s="951">
        <v>250</v>
      </c>
    </row>
    <row r="267" spans="1:13" ht="18" customHeight="1">
      <c r="A267" s="942"/>
      <c r="B267" s="943"/>
      <c r="C267" s="943"/>
      <c r="D267" s="943" t="s">
        <v>557</v>
      </c>
      <c r="E267" s="943"/>
      <c r="F267" s="944"/>
      <c r="G267" s="945" t="s">
        <v>388</v>
      </c>
      <c r="H267" s="949" t="s">
        <v>705</v>
      </c>
      <c r="I267" s="950">
        <v>24000</v>
      </c>
      <c r="J267" s="951">
        <v>18000</v>
      </c>
      <c r="K267" s="951">
        <f>36000-J267</f>
        <v>18000</v>
      </c>
      <c r="L267" s="951">
        <f t="shared" si="9"/>
        <v>36000</v>
      </c>
      <c r="M267" s="951">
        <v>36000</v>
      </c>
    </row>
    <row r="268" spans="1:13" ht="18" customHeight="1">
      <c r="A268" s="942"/>
      <c r="B268" s="943"/>
      <c r="C268" s="943"/>
      <c r="D268" s="943" t="s">
        <v>926</v>
      </c>
      <c r="E268" s="943"/>
      <c r="F268" s="944"/>
      <c r="G268" s="945" t="s">
        <v>389</v>
      </c>
      <c r="H268" s="949" t="s">
        <v>706</v>
      </c>
      <c r="I268" s="950">
        <f>350</f>
        <v>350</v>
      </c>
      <c r="J268" s="951">
        <v>0</v>
      </c>
      <c r="K268" s="951">
        <f>14000-J268</f>
        <v>14000</v>
      </c>
      <c r="L268" s="951">
        <f t="shared" si="9"/>
        <v>14000</v>
      </c>
      <c r="M268" s="951">
        <v>14000</v>
      </c>
    </row>
    <row r="269" spans="1:13" ht="18" customHeight="1">
      <c r="A269" s="942"/>
      <c r="B269" s="943"/>
      <c r="C269" s="943"/>
      <c r="D269" s="943" t="s">
        <v>564</v>
      </c>
      <c r="E269" s="943"/>
      <c r="F269" s="944"/>
      <c r="G269" s="945" t="s">
        <v>390</v>
      </c>
      <c r="H269" s="949" t="s">
        <v>707</v>
      </c>
      <c r="I269" s="950">
        <f>76000</f>
        <v>76000</v>
      </c>
      <c r="J269" s="951">
        <v>0</v>
      </c>
      <c r="K269" s="951">
        <f>6000-J269</f>
        <v>6000</v>
      </c>
      <c r="L269" s="951">
        <f t="shared" si="9"/>
        <v>6000</v>
      </c>
      <c r="M269" s="951">
        <v>6000</v>
      </c>
    </row>
    <row r="270" spans="1:13" s="959" customFormat="1" ht="18" customHeight="1">
      <c r="A270" s="954"/>
      <c r="B270" s="955"/>
      <c r="C270" s="955"/>
      <c r="D270" s="955" t="s">
        <v>752</v>
      </c>
      <c r="E270" s="955"/>
      <c r="F270" s="956"/>
      <c r="G270" s="957"/>
      <c r="H270" s="980"/>
      <c r="I270" s="958">
        <f>SUM(I263:I269)</f>
        <v>184940</v>
      </c>
      <c r="J270" s="958">
        <f>SUM(J263:J269)</f>
        <v>53544</v>
      </c>
      <c r="K270" s="958">
        <f>SUM(K263:K269)</f>
        <v>145706</v>
      </c>
      <c r="L270" s="958">
        <f>SUM(L263:L269)</f>
        <v>199250</v>
      </c>
      <c r="M270" s="958">
        <f>SUM(M263:M269)</f>
        <v>219250</v>
      </c>
    </row>
    <row r="271" spans="1:13" ht="18" customHeight="1">
      <c r="A271" s="942"/>
      <c r="B271" s="943" t="s">
        <v>565</v>
      </c>
      <c r="C271" s="943"/>
      <c r="D271" s="943"/>
      <c r="E271" s="943"/>
      <c r="F271" s="944"/>
      <c r="G271" s="945"/>
      <c r="H271" s="977"/>
      <c r="I271" s="950"/>
      <c r="J271" s="951"/>
      <c r="K271" s="951"/>
      <c r="L271" s="951"/>
      <c r="M271" s="951"/>
    </row>
    <row r="272" spans="1:13" ht="18" customHeight="1">
      <c r="A272" s="942"/>
      <c r="B272" s="943"/>
      <c r="C272" s="943"/>
      <c r="D272" s="943" t="s">
        <v>959</v>
      </c>
      <c r="E272" s="943"/>
      <c r="F272" s="944"/>
      <c r="G272" s="945" t="s">
        <v>848</v>
      </c>
      <c r="H272" s="949" t="s">
        <v>1567</v>
      </c>
      <c r="I272" s="950">
        <v>0</v>
      </c>
      <c r="J272" s="951">
        <v>0</v>
      </c>
      <c r="K272" s="951">
        <f>50000-J272</f>
        <v>50000</v>
      </c>
      <c r="L272" s="951">
        <f>SUM(K272+J272)</f>
        <v>50000</v>
      </c>
      <c r="M272" s="951">
        <f>70000</f>
        <v>70000</v>
      </c>
    </row>
    <row r="273" spans="1:14" ht="18" customHeight="1">
      <c r="A273" s="942"/>
      <c r="B273" s="943"/>
      <c r="C273" s="943"/>
      <c r="D273" s="943" t="s">
        <v>855</v>
      </c>
      <c r="E273" s="943"/>
      <c r="F273" s="944"/>
      <c r="G273" s="945" t="s">
        <v>914</v>
      </c>
      <c r="H273" s="949" t="s">
        <v>856</v>
      </c>
      <c r="I273" s="950"/>
      <c r="J273" s="951">
        <v>18990</v>
      </c>
      <c r="K273" s="951">
        <f>20000-J273</f>
        <v>1010</v>
      </c>
      <c r="L273" s="951">
        <f>SUM(K273+J273)</f>
        <v>20000</v>
      </c>
      <c r="M273" s="951"/>
    </row>
    <row r="274" spans="1:14" ht="18" customHeight="1">
      <c r="A274" s="942"/>
      <c r="B274" s="943"/>
      <c r="C274" s="943"/>
      <c r="D274" s="943" t="s">
        <v>849</v>
      </c>
      <c r="E274" s="943"/>
      <c r="F274" s="944"/>
      <c r="G274" s="945" t="s">
        <v>850</v>
      </c>
      <c r="H274" s="949" t="s">
        <v>851</v>
      </c>
      <c r="I274" s="950">
        <f>14900</f>
        <v>14900</v>
      </c>
      <c r="J274" s="951">
        <v>0</v>
      </c>
      <c r="K274" s="951">
        <f>0-J274</f>
        <v>0</v>
      </c>
      <c r="L274" s="951">
        <f>SUM(K274+J274)</f>
        <v>0</v>
      </c>
      <c r="M274" s="951"/>
    </row>
    <row r="275" spans="1:14" s="959" customFormat="1" ht="18" customHeight="1">
      <c r="A275" s="954"/>
      <c r="B275" s="955"/>
      <c r="C275" s="955"/>
      <c r="D275" s="955" t="s">
        <v>797</v>
      </c>
      <c r="E275" s="955"/>
      <c r="F275" s="956"/>
      <c r="G275" s="957"/>
      <c r="H275" s="980"/>
      <c r="I275" s="958">
        <f>SUM(I272:I274)</f>
        <v>14900</v>
      </c>
      <c r="J275" s="958">
        <f>SUM(J272:J274)</f>
        <v>18990</v>
      </c>
      <c r="K275" s="958">
        <f>SUM(K272:K274)</f>
        <v>51010</v>
      </c>
      <c r="L275" s="958">
        <f>SUM(L272:L274)</f>
        <v>70000</v>
      </c>
      <c r="M275" s="958">
        <f>SUM(M272:M274)</f>
        <v>70000</v>
      </c>
    </row>
    <row r="276" spans="1:14" s="959" customFormat="1" ht="18" customHeight="1">
      <c r="A276" s="954"/>
      <c r="B276" s="955"/>
      <c r="C276" s="955"/>
      <c r="D276" s="955"/>
      <c r="E276" s="955"/>
      <c r="F276" s="956"/>
      <c r="G276" s="957"/>
      <c r="H276" s="980"/>
      <c r="I276" s="958"/>
      <c r="J276" s="961"/>
      <c r="K276" s="961"/>
      <c r="L276" s="961"/>
      <c r="M276" s="961"/>
    </row>
    <row r="277" spans="1:14" ht="18" customHeight="1">
      <c r="A277" s="962" t="s">
        <v>625</v>
      </c>
      <c r="B277" s="963"/>
      <c r="C277" s="963"/>
      <c r="D277" s="963"/>
      <c r="E277" s="963"/>
      <c r="F277" s="964"/>
      <c r="G277" s="965"/>
      <c r="H277" s="981"/>
      <c r="I277" s="967">
        <f>SUM(I275+I270+I261)</f>
        <v>2644929.16</v>
      </c>
      <c r="J277" s="967">
        <f>SUM(J275+J270+J261)</f>
        <v>1160975.3899999999</v>
      </c>
      <c r="K277" s="967">
        <f>SUM(K275+K270+K261)</f>
        <v>1216250.8</v>
      </c>
      <c r="L277" s="967">
        <f>SUM(L275+L270+L261)</f>
        <v>2377226.19</v>
      </c>
      <c r="M277" s="967">
        <f>SUM(M275+M270+M261)</f>
        <v>2350020</v>
      </c>
    </row>
    <row r="278" spans="1:14" ht="18" customHeight="1">
      <c r="A278" s="930"/>
      <c r="B278" s="968"/>
      <c r="C278" s="930"/>
      <c r="D278" s="930"/>
      <c r="E278" s="930"/>
      <c r="F278" s="930"/>
      <c r="G278" s="930"/>
      <c r="H278" s="969"/>
      <c r="I278" s="969"/>
      <c r="J278" s="970"/>
      <c r="K278" s="970"/>
      <c r="L278" s="970"/>
      <c r="M278" s="970"/>
    </row>
    <row r="279" spans="1:14" ht="18" customHeight="1">
      <c r="A279" s="1278" t="s">
        <v>1758</v>
      </c>
      <c r="B279" s="1278"/>
      <c r="C279" s="1278"/>
      <c r="D279" s="1278"/>
      <c r="E279" s="1278"/>
      <c r="F279" s="1278"/>
      <c r="G279" s="1278"/>
      <c r="H279" s="1278"/>
      <c r="I279" s="1278"/>
      <c r="J279" s="1278"/>
      <c r="K279" s="1278"/>
      <c r="L279" s="1278"/>
      <c r="M279" s="1278"/>
    </row>
    <row r="280" spans="1:14" ht="18" customHeight="1">
      <c r="A280" s="1218"/>
      <c r="B280" s="1218"/>
      <c r="C280" s="1218"/>
      <c r="D280" s="1218"/>
      <c r="E280" s="1218"/>
      <c r="F280" s="1218"/>
      <c r="G280" s="1218"/>
      <c r="H280" s="1218"/>
      <c r="I280" s="1218"/>
      <c r="J280" s="1218"/>
      <c r="K280" s="1218"/>
      <c r="L280" s="1218"/>
      <c r="M280" s="1218"/>
    </row>
    <row r="281" spans="1:14" ht="18" customHeight="1">
      <c r="A281" s="1218"/>
      <c r="B281" s="1218"/>
      <c r="C281" s="1218"/>
      <c r="D281" s="1218"/>
      <c r="E281" s="1218"/>
      <c r="F281" s="1218"/>
      <c r="G281" s="1218"/>
      <c r="H281" s="1218"/>
      <c r="I281" s="1218"/>
      <c r="J281" s="1218"/>
      <c r="K281" s="1218"/>
      <c r="L281" s="1218"/>
      <c r="M281" s="1218"/>
    </row>
    <row r="282" spans="1:14" ht="18" customHeight="1">
      <c r="A282" s="1218"/>
      <c r="B282" s="1218"/>
      <c r="C282" s="1218"/>
      <c r="D282" s="1218"/>
      <c r="E282" s="1218"/>
      <c r="F282" s="1218"/>
      <c r="G282" s="1218"/>
      <c r="H282" s="1218"/>
      <c r="I282" s="1218"/>
      <c r="J282" s="1218"/>
      <c r="K282" s="1218"/>
      <c r="L282" s="1218"/>
      <c r="M282" s="1218"/>
    </row>
    <row r="283" spans="1:14" ht="18" customHeight="1">
      <c r="A283" s="1218"/>
      <c r="B283" s="1218"/>
      <c r="C283" s="1218"/>
      <c r="D283" s="1218"/>
      <c r="E283" s="1218"/>
      <c r="F283" s="1218"/>
      <c r="G283" s="1218"/>
      <c r="H283" s="1218"/>
      <c r="I283" s="1218"/>
      <c r="J283" s="1218"/>
      <c r="K283" s="1218"/>
      <c r="L283" s="1218"/>
      <c r="M283" s="1218"/>
    </row>
    <row r="284" spans="1:14" ht="18" customHeight="1">
      <c r="A284" s="1218"/>
      <c r="B284" s="1218"/>
      <c r="C284" s="1218"/>
      <c r="D284" s="1218"/>
      <c r="E284" s="1218"/>
      <c r="F284" s="1218"/>
      <c r="G284" s="1218"/>
      <c r="H284" s="1218"/>
      <c r="I284" s="1218"/>
      <c r="J284" s="1218"/>
      <c r="K284" s="1218"/>
      <c r="L284" s="1218"/>
      <c r="M284" s="1218"/>
    </row>
    <row r="285" spans="1:14" ht="18" customHeight="1">
      <c r="A285" s="930"/>
      <c r="B285" s="968"/>
      <c r="C285" s="930"/>
      <c r="D285" s="930"/>
      <c r="E285" s="930"/>
      <c r="F285" s="930"/>
      <c r="G285" s="930"/>
      <c r="H285" s="1104"/>
      <c r="I285" s="1104"/>
      <c r="J285" s="970"/>
      <c r="K285" s="970"/>
      <c r="L285" s="970"/>
      <c r="M285" s="970"/>
    </row>
    <row r="286" spans="1:14" s="987" customFormat="1" ht="20.100000000000001" customHeight="1">
      <c r="A286" s="1276" t="s">
        <v>1620</v>
      </c>
      <c r="B286" s="1276"/>
      <c r="C286" s="1276"/>
      <c r="D286" s="1276"/>
      <c r="E286" s="1276"/>
      <c r="F286" s="1276"/>
      <c r="G286" s="1276"/>
      <c r="H286" s="1276"/>
      <c r="I286" s="1276"/>
      <c r="J286" s="1276"/>
      <c r="K286" s="1276"/>
      <c r="L286" s="1276"/>
      <c r="M286" s="1276"/>
    </row>
    <row r="287" spans="1:14" s="917" customFormat="1" ht="18" customHeight="1">
      <c r="A287" s="914"/>
      <c r="B287" s="915"/>
      <c r="C287" s="915"/>
      <c r="D287" s="915"/>
      <c r="E287" s="915"/>
      <c r="F287" s="915"/>
      <c r="G287" s="915"/>
      <c r="H287" s="915"/>
      <c r="I287" s="915"/>
      <c r="J287" s="915"/>
      <c r="K287" s="915"/>
      <c r="L287" s="915"/>
      <c r="M287" s="916"/>
    </row>
    <row r="288" spans="1:14" s="1113" customFormat="1" ht="15" customHeight="1">
      <c r="A288" s="1259" t="s">
        <v>883</v>
      </c>
      <c r="B288" s="1259"/>
      <c r="C288" s="1259"/>
      <c r="D288" s="1259"/>
      <c r="E288" s="1259"/>
      <c r="F288" s="1259"/>
      <c r="G288" s="1259"/>
      <c r="H288" s="1259"/>
      <c r="I288" s="1259"/>
      <c r="J288" s="1259"/>
      <c r="K288" s="1259"/>
      <c r="L288" s="1259"/>
      <c r="M288" s="1259"/>
      <c r="N288" s="1165"/>
    </row>
    <row r="289" spans="1:14" s="1113" customFormat="1" ht="15" customHeight="1">
      <c r="A289" s="1259" t="s">
        <v>178</v>
      </c>
      <c r="B289" s="1259"/>
      <c r="C289" s="1259"/>
      <c r="D289" s="1259"/>
      <c r="E289" s="1259"/>
      <c r="F289" s="1259"/>
      <c r="G289" s="1259"/>
      <c r="H289" s="1259"/>
      <c r="I289" s="1259"/>
      <c r="J289" s="1259"/>
      <c r="K289" s="1259"/>
      <c r="L289" s="1259"/>
      <c r="M289" s="1259"/>
      <c r="N289" s="1165"/>
    </row>
    <row r="290" spans="1:14" s="1113" customFormat="1" ht="15" customHeight="1">
      <c r="A290" s="1259" t="s">
        <v>1742</v>
      </c>
      <c r="B290" s="1259"/>
      <c r="C290" s="1259"/>
      <c r="D290" s="1259"/>
      <c r="E290" s="1259"/>
      <c r="F290" s="1259"/>
      <c r="G290" s="1259"/>
      <c r="H290" s="1259"/>
      <c r="I290" s="1259"/>
      <c r="J290" s="1259"/>
      <c r="K290" s="1259"/>
      <c r="L290" s="1259"/>
      <c r="M290" s="1259"/>
      <c r="N290" s="1165"/>
    </row>
    <row r="291" spans="1:14" s="1113" customFormat="1" ht="15" customHeight="1">
      <c r="A291" s="1259"/>
      <c r="B291" s="1259"/>
      <c r="C291" s="1259"/>
      <c r="D291" s="1259"/>
      <c r="E291" s="1259"/>
      <c r="F291" s="1259"/>
      <c r="G291" s="1259"/>
      <c r="H291" s="1259"/>
      <c r="I291" s="1259"/>
      <c r="J291" s="1259"/>
      <c r="K291" s="1259"/>
      <c r="L291" s="1259"/>
      <c r="M291" s="1259"/>
      <c r="N291" s="1165"/>
    </row>
    <row r="292" spans="1:14" s="1113" customFormat="1" ht="15" customHeight="1">
      <c r="A292" s="1145"/>
      <c r="B292" s="1145"/>
      <c r="C292" s="1145"/>
      <c r="D292" s="1145"/>
      <c r="E292" s="1145"/>
      <c r="F292" s="1145"/>
      <c r="G292" s="1145"/>
      <c r="H292" s="1145"/>
      <c r="I292" s="1145"/>
      <c r="J292" s="1145"/>
      <c r="K292" s="1145"/>
      <c r="L292" s="1145"/>
      <c r="M292" s="1145"/>
      <c r="N292" s="1165"/>
    </row>
    <row r="293" spans="1:14" s="1113" customFormat="1" ht="15" customHeight="1">
      <c r="A293" s="1145"/>
      <c r="B293" s="1145"/>
      <c r="C293" s="1145"/>
      <c r="D293" s="1145"/>
      <c r="E293" s="1145"/>
      <c r="F293" s="1145"/>
      <c r="G293" s="1145"/>
      <c r="H293" s="1145"/>
      <c r="I293" s="1145"/>
      <c r="J293" s="1145"/>
      <c r="K293" s="1145"/>
      <c r="L293" s="1145"/>
      <c r="M293" s="1145"/>
      <c r="N293" s="1165"/>
    </row>
    <row r="294" spans="1:14" s="1113" customFormat="1" ht="15" customHeight="1">
      <c r="A294" s="1145"/>
      <c r="B294" s="1145"/>
      <c r="C294" s="1145"/>
      <c r="D294" s="1145"/>
      <c r="E294" s="1145"/>
      <c r="F294" s="1145"/>
      <c r="G294" s="1145"/>
      <c r="H294" s="1145"/>
      <c r="I294" s="1145"/>
      <c r="J294" s="1145"/>
      <c r="K294" s="1145"/>
      <c r="L294" s="1145"/>
      <c r="M294" s="1145"/>
      <c r="N294" s="1165"/>
    </row>
    <row r="295" spans="1:14" s="1113" customFormat="1" ht="18" customHeight="1">
      <c r="A295" s="1232" t="s">
        <v>1743</v>
      </c>
      <c r="B295" s="1232"/>
      <c r="C295" s="1232"/>
      <c r="D295" s="1232"/>
      <c r="E295" s="1232"/>
      <c r="F295" s="1232"/>
      <c r="G295" s="1232"/>
      <c r="H295" s="1232"/>
      <c r="I295" s="1232"/>
      <c r="J295" s="1232"/>
      <c r="K295" s="1232"/>
      <c r="L295" s="1232"/>
      <c r="M295" s="1232"/>
      <c r="N295" s="1166"/>
    </row>
    <row r="296" spans="1:14" s="1113" customFormat="1">
      <c r="A296" s="1234" t="s">
        <v>1780</v>
      </c>
      <c r="B296" s="1234"/>
      <c r="C296" s="1234"/>
      <c r="D296" s="1234"/>
      <c r="E296" s="1234"/>
      <c r="F296" s="1234"/>
      <c r="G296" s="1234"/>
      <c r="H296" s="1234"/>
      <c r="I296" s="1234"/>
      <c r="J296" s="1234"/>
      <c r="K296" s="1234"/>
      <c r="L296" s="1234"/>
      <c r="M296" s="1234"/>
      <c r="N296" s="1167"/>
    </row>
    <row r="297" spans="1:14" s="1113" customFormat="1" ht="15.75">
      <c r="A297" s="1113" t="s">
        <v>1791</v>
      </c>
      <c r="G297" s="1145"/>
      <c r="I297" s="1160"/>
      <c r="L297" s="1146"/>
      <c r="M297" s="1146"/>
    </row>
    <row r="298" spans="1:14" s="1113" customFormat="1" ht="15.75">
      <c r="A298" s="1113" t="s">
        <v>1776</v>
      </c>
      <c r="G298" s="1145"/>
      <c r="I298" s="1160"/>
      <c r="L298" s="1146"/>
      <c r="M298" s="1146"/>
    </row>
    <row r="299" spans="1:14" s="1113" customFormat="1" ht="8.1" customHeight="1">
      <c r="A299" s="1161" t="s">
        <v>1774</v>
      </c>
      <c r="G299" s="1145"/>
      <c r="I299" s="1160"/>
      <c r="L299" s="1146"/>
      <c r="M299" s="1146"/>
    </row>
    <row r="300" spans="1:14" s="1113" customFormat="1" ht="15.75" customHeight="1">
      <c r="A300" s="1113" t="s">
        <v>1792</v>
      </c>
      <c r="C300" s="1280" t="s">
        <v>1793</v>
      </c>
      <c r="D300" s="1280"/>
      <c r="E300" s="1280"/>
      <c r="F300" s="1280"/>
      <c r="G300" s="1280"/>
      <c r="H300" s="1280"/>
      <c r="I300" s="1280"/>
      <c r="J300" s="1280"/>
      <c r="K300" s="1280"/>
      <c r="L300" s="1280"/>
      <c r="M300" s="1280"/>
      <c r="N300" s="1144"/>
    </row>
    <row r="301" spans="1:14" s="1113" customFormat="1" ht="15.75" customHeight="1" thickBot="1">
      <c r="C301" s="1280"/>
      <c r="D301" s="1280"/>
      <c r="E301" s="1280"/>
      <c r="F301" s="1280"/>
      <c r="G301" s="1280"/>
      <c r="H301" s="1280"/>
      <c r="I301" s="1280"/>
      <c r="J301" s="1280"/>
      <c r="K301" s="1280"/>
      <c r="L301" s="1280"/>
      <c r="M301" s="1280"/>
      <c r="N301" s="1144"/>
    </row>
    <row r="302" spans="1:14" ht="18" customHeight="1">
      <c r="A302" s="919"/>
      <c r="B302" s="920"/>
      <c r="C302" s="920"/>
      <c r="D302" s="920"/>
      <c r="E302" s="920"/>
      <c r="F302" s="921"/>
      <c r="G302" s="922"/>
      <c r="H302" s="923"/>
      <c r="I302" s="923" t="s">
        <v>6</v>
      </c>
      <c r="J302" s="1266" t="s">
        <v>630</v>
      </c>
      <c r="K302" s="1267"/>
      <c r="L302" s="1268"/>
      <c r="M302" s="924" t="s">
        <v>7</v>
      </c>
    </row>
    <row r="303" spans="1:14" ht="18" customHeight="1">
      <c r="A303" s="1269"/>
      <c r="B303" s="1270"/>
      <c r="C303" s="1270"/>
      <c r="D303" s="1270"/>
      <c r="E303" s="1270"/>
      <c r="F303" s="1271"/>
      <c r="G303" s="1106"/>
      <c r="H303" s="925"/>
      <c r="I303" s="925">
        <v>2020</v>
      </c>
      <c r="J303" s="925" t="s">
        <v>572</v>
      </c>
      <c r="K303" s="925" t="s">
        <v>573</v>
      </c>
      <c r="L303" s="925">
        <v>2021</v>
      </c>
      <c r="M303" s="926">
        <v>2022</v>
      </c>
    </row>
    <row r="304" spans="1:14" ht="18" customHeight="1">
      <c r="A304" s="1269" t="s">
        <v>21</v>
      </c>
      <c r="B304" s="1270"/>
      <c r="C304" s="1270"/>
      <c r="D304" s="1270"/>
      <c r="E304" s="1270"/>
      <c r="F304" s="1271"/>
      <c r="G304" s="927"/>
      <c r="H304" s="928" t="s">
        <v>624</v>
      </c>
      <c r="I304" s="925" t="s">
        <v>933</v>
      </c>
      <c r="J304" s="925" t="s">
        <v>571</v>
      </c>
      <c r="K304" s="925" t="s">
        <v>574</v>
      </c>
      <c r="L304" s="925" t="s">
        <v>933</v>
      </c>
      <c r="M304" s="926" t="s">
        <v>933</v>
      </c>
    </row>
    <row r="305" spans="1:13" ht="18" customHeight="1">
      <c r="A305" s="929"/>
      <c r="B305" s="930"/>
      <c r="C305" s="930"/>
      <c r="D305" s="930"/>
      <c r="E305" s="930"/>
      <c r="F305" s="931"/>
      <c r="G305" s="927"/>
      <c r="H305" s="925"/>
      <c r="I305" s="1220" t="s">
        <v>571</v>
      </c>
      <c r="J305" s="925">
        <v>2021</v>
      </c>
      <c r="K305" s="925">
        <v>2021</v>
      </c>
      <c r="L305" s="1220" t="s">
        <v>934</v>
      </c>
      <c r="M305" s="1221" t="s">
        <v>576</v>
      </c>
    </row>
    <row r="306" spans="1:13" ht="18" customHeight="1" thickBot="1">
      <c r="A306" s="1272"/>
      <c r="B306" s="1273"/>
      <c r="C306" s="1273"/>
      <c r="D306" s="1273"/>
      <c r="E306" s="1273"/>
      <c r="F306" s="1274"/>
      <c r="G306" s="1107"/>
      <c r="H306" s="932"/>
      <c r="I306" s="932"/>
      <c r="J306" s="932"/>
      <c r="K306" s="932"/>
      <c r="L306" s="932"/>
      <c r="M306" s="933"/>
    </row>
    <row r="307" spans="1:13" ht="18" customHeight="1">
      <c r="A307" s="934"/>
      <c r="B307" s="935" t="s">
        <v>366</v>
      </c>
      <c r="C307" s="936"/>
      <c r="D307" s="935"/>
      <c r="E307" s="935"/>
      <c r="F307" s="937"/>
      <c r="G307" s="938"/>
      <c r="H307" s="974"/>
      <c r="I307" s="975"/>
      <c r="J307" s="976"/>
      <c r="K307" s="976"/>
      <c r="L307" s="976"/>
      <c r="M307" s="976"/>
    </row>
    <row r="308" spans="1:13" ht="18" customHeight="1">
      <c r="A308" s="942"/>
      <c r="B308" s="943"/>
      <c r="C308" s="943" t="s">
        <v>525</v>
      </c>
      <c r="D308" s="943"/>
      <c r="E308" s="943"/>
      <c r="F308" s="944"/>
      <c r="G308" s="945"/>
      <c r="H308" s="977"/>
      <c r="I308" s="978"/>
      <c r="J308" s="979"/>
      <c r="K308" s="979"/>
      <c r="L308" s="979"/>
      <c r="M308" s="979"/>
    </row>
    <row r="309" spans="1:13" ht="18" customHeight="1">
      <c r="A309" s="942"/>
      <c r="B309" s="943"/>
      <c r="C309" s="943"/>
      <c r="D309" s="943" t="s">
        <v>526</v>
      </c>
      <c r="E309" s="943"/>
      <c r="F309" s="944"/>
      <c r="G309" s="945" t="s">
        <v>594</v>
      </c>
      <c r="H309" s="949" t="s">
        <v>687</v>
      </c>
      <c r="I309" s="950">
        <f>1336458+1169</f>
        <v>1337627</v>
      </c>
      <c r="J309" s="951">
        <v>711774</v>
      </c>
      <c r="K309" s="951">
        <f>1425240-J309</f>
        <v>713466</v>
      </c>
      <c r="L309" s="951">
        <f>SUM(K309+J309)</f>
        <v>1425240</v>
      </c>
      <c r="M309" s="951">
        <v>1466160</v>
      </c>
    </row>
    <row r="310" spans="1:13" ht="18" customHeight="1">
      <c r="A310" s="942"/>
      <c r="B310" s="943"/>
      <c r="C310" s="943" t="s">
        <v>527</v>
      </c>
      <c r="D310" s="943"/>
      <c r="E310" s="943"/>
      <c r="F310" s="944"/>
      <c r="G310" s="945"/>
      <c r="H310" s="977"/>
      <c r="I310" s="950"/>
      <c r="J310" s="951"/>
      <c r="K310" s="951"/>
      <c r="L310" s="951"/>
      <c r="M310" s="951"/>
    </row>
    <row r="311" spans="1:13" ht="18" customHeight="1">
      <c r="A311" s="942"/>
      <c r="B311" s="943"/>
      <c r="C311" s="943"/>
      <c r="D311" s="943" t="s">
        <v>528</v>
      </c>
      <c r="E311" s="943"/>
      <c r="F311" s="944"/>
      <c r="G311" s="945" t="s">
        <v>595</v>
      </c>
      <c r="H311" s="949" t="s">
        <v>688</v>
      </c>
      <c r="I311" s="950">
        <f>66000</f>
        <v>66000</v>
      </c>
      <c r="J311" s="951">
        <v>36000</v>
      </c>
      <c r="K311" s="951">
        <f>72000-J311</f>
        <v>36000</v>
      </c>
      <c r="L311" s="951">
        <f t="shared" ref="L311:L328" si="10">SUM(K311+J311)</f>
        <v>72000</v>
      </c>
      <c r="M311" s="951">
        <v>72000</v>
      </c>
    </row>
    <row r="312" spans="1:13" ht="18" customHeight="1">
      <c r="A312" s="942"/>
      <c r="B312" s="943"/>
      <c r="C312" s="943"/>
      <c r="D312" s="943" t="s">
        <v>538</v>
      </c>
      <c r="E312" s="943"/>
      <c r="F312" s="944"/>
      <c r="G312" s="945" t="s">
        <v>596</v>
      </c>
      <c r="H312" s="949" t="s">
        <v>689</v>
      </c>
      <c r="I312" s="950">
        <v>76500</v>
      </c>
      <c r="J312" s="951">
        <v>38250</v>
      </c>
      <c r="K312" s="951">
        <f>76500-J312</f>
        <v>38250</v>
      </c>
      <c r="L312" s="951">
        <f t="shared" si="10"/>
        <v>76500</v>
      </c>
      <c r="M312" s="951">
        <v>76500</v>
      </c>
    </row>
    <row r="313" spans="1:13" ht="18" customHeight="1">
      <c r="A313" s="942"/>
      <c r="B313" s="943"/>
      <c r="C313" s="943"/>
      <c r="D313" s="943" t="s">
        <v>537</v>
      </c>
      <c r="E313" s="943"/>
      <c r="F313" s="944"/>
      <c r="G313" s="945" t="s">
        <v>597</v>
      </c>
      <c r="H313" s="949" t="s">
        <v>690</v>
      </c>
      <c r="I313" s="950">
        <v>76500</v>
      </c>
      <c r="J313" s="951">
        <v>38250</v>
      </c>
      <c r="K313" s="951">
        <f>76500-J313</f>
        <v>38250</v>
      </c>
      <c r="L313" s="951">
        <f t="shared" si="10"/>
        <v>76500</v>
      </c>
      <c r="M313" s="951">
        <v>76500</v>
      </c>
    </row>
    <row r="314" spans="1:13" ht="18" customHeight="1">
      <c r="A314" s="942"/>
      <c r="B314" s="943"/>
      <c r="C314" s="943"/>
      <c r="D314" s="943" t="s">
        <v>539</v>
      </c>
      <c r="E314" s="943"/>
      <c r="F314" s="944"/>
      <c r="G314" s="945" t="s">
        <v>598</v>
      </c>
      <c r="H314" s="949" t="s">
        <v>691</v>
      </c>
      <c r="I314" s="950">
        <v>18000</v>
      </c>
      <c r="J314" s="951">
        <v>18000</v>
      </c>
      <c r="K314" s="951">
        <f>18000-J314</f>
        <v>0</v>
      </c>
      <c r="L314" s="951">
        <f t="shared" si="10"/>
        <v>18000</v>
      </c>
      <c r="M314" s="951">
        <v>18000</v>
      </c>
    </row>
    <row r="315" spans="1:13" ht="18" customHeight="1">
      <c r="A315" s="942"/>
      <c r="B315" s="943"/>
      <c r="C315" s="943"/>
      <c r="D315" s="943" t="s">
        <v>685</v>
      </c>
      <c r="E315" s="943"/>
      <c r="F315" s="944"/>
      <c r="G315" s="945" t="s">
        <v>600</v>
      </c>
      <c r="H315" s="949" t="s">
        <v>692</v>
      </c>
      <c r="I315" s="950">
        <v>10000</v>
      </c>
      <c r="J315" s="951">
        <v>0</v>
      </c>
      <c r="K315" s="951">
        <f>15000-J315</f>
        <v>15000</v>
      </c>
      <c r="L315" s="951">
        <f t="shared" si="10"/>
        <v>15000</v>
      </c>
      <c r="M315" s="951">
        <v>15000</v>
      </c>
    </row>
    <row r="316" spans="1:13" ht="18" customHeight="1">
      <c r="A316" s="942"/>
      <c r="B316" s="943"/>
      <c r="C316" s="943"/>
      <c r="D316" s="943" t="s">
        <v>541</v>
      </c>
      <c r="E316" s="943"/>
      <c r="F316" s="944"/>
      <c r="G316" s="945" t="s">
        <v>433</v>
      </c>
      <c r="H316" s="949" t="s">
        <v>693</v>
      </c>
      <c r="I316" s="950">
        <v>5000</v>
      </c>
      <c r="J316" s="951">
        <v>0</v>
      </c>
      <c r="K316" s="951">
        <f>5000-J316</f>
        <v>5000</v>
      </c>
      <c r="L316" s="951">
        <f t="shared" si="10"/>
        <v>5000</v>
      </c>
      <c r="M316" s="951">
        <v>0</v>
      </c>
    </row>
    <row r="317" spans="1:13" ht="18" customHeight="1">
      <c r="A317" s="942"/>
      <c r="B317" s="943"/>
      <c r="C317" s="943"/>
      <c r="D317" s="943" t="s">
        <v>1630</v>
      </c>
      <c r="E317" s="943"/>
      <c r="F317" s="944"/>
      <c r="G317" s="945" t="s">
        <v>433</v>
      </c>
      <c r="H317" s="949" t="s">
        <v>693</v>
      </c>
      <c r="I317" s="950"/>
      <c r="J317" s="951">
        <v>9000</v>
      </c>
      <c r="K317" s="951">
        <f>9000-J317</f>
        <v>0</v>
      </c>
      <c r="L317" s="951">
        <f t="shared" si="10"/>
        <v>9000</v>
      </c>
      <c r="M317" s="951">
        <v>0</v>
      </c>
    </row>
    <row r="318" spans="1:13" ht="18" customHeight="1">
      <c r="A318" s="942"/>
      <c r="B318" s="943"/>
      <c r="C318" s="943"/>
      <c r="D318" s="943" t="s">
        <v>1513</v>
      </c>
      <c r="E318" s="943"/>
      <c r="F318" s="944"/>
      <c r="G318" s="945"/>
      <c r="H318" s="949" t="s">
        <v>693</v>
      </c>
      <c r="I318" s="950">
        <v>73284.98</v>
      </c>
      <c r="J318" s="951"/>
      <c r="K318" s="951">
        <v>0</v>
      </c>
      <c r="L318" s="951">
        <f t="shared" si="10"/>
        <v>0</v>
      </c>
      <c r="M318" s="951">
        <v>0</v>
      </c>
    </row>
    <row r="319" spans="1:13" ht="18" customHeight="1">
      <c r="A319" s="942"/>
      <c r="B319" s="943"/>
      <c r="C319" s="943"/>
      <c r="D319" s="943" t="s">
        <v>367</v>
      </c>
      <c r="E319" s="943"/>
      <c r="F319" s="944"/>
      <c r="G319" s="945" t="s">
        <v>602</v>
      </c>
      <c r="H319" s="949" t="s">
        <v>710</v>
      </c>
      <c r="I319" s="950">
        <f>10161.23+2026.24</f>
        <v>12187.47</v>
      </c>
      <c r="J319" s="951">
        <v>0</v>
      </c>
      <c r="K319" s="951">
        <f>15000-J319</f>
        <v>15000</v>
      </c>
      <c r="L319" s="951">
        <f t="shared" si="10"/>
        <v>15000</v>
      </c>
      <c r="M319" s="951">
        <v>15000</v>
      </c>
    </row>
    <row r="320" spans="1:13" ht="18" customHeight="1">
      <c r="A320" s="942"/>
      <c r="B320" s="943"/>
      <c r="C320" s="943"/>
      <c r="D320" s="943" t="s">
        <v>544</v>
      </c>
      <c r="E320" s="943"/>
      <c r="F320" s="944"/>
      <c r="G320" s="945" t="s">
        <v>603</v>
      </c>
      <c r="H320" s="949" t="s">
        <v>694</v>
      </c>
      <c r="I320" s="950">
        <f>10000</f>
        <v>10000</v>
      </c>
      <c r="J320" s="951">
        <v>0</v>
      </c>
      <c r="K320" s="951">
        <f>15000-J320</f>
        <v>15000</v>
      </c>
      <c r="L320" s="951">
        <f t="shared" si="10"/>
        <v>15000</v>
      </c>
      <c r="M320" s="951">
        <v>15000</v>
      </c>
    </row>
    <row r="321" spans="1:13" ht="18" customHeight="1">
      <c r="A321" s="942"/>
      <c r="B321" s="943"/>
      <c r="C321" s="943"/>
      <c r="D321" s="943" t="s">
        <v>805</v>
      </c>
      <c r="E321" s="943"/>
      <c r="F321" s="943"/>
      <c r="G321" s="953" t="s">
        <v>433</v>
      </c>
      <c r="H321" s="949" t="s">
        <v>693</v>
      </c>
      <c r="I321" s="950">
        <f>115080</f>
        <v>115080</v>
      </c>
      <c r="J321" s="951">
        <v>118629</v>
      </c>
      <c r="K321" s="951">
        <f>118770-J321</f>
        <v>141</v>
      </c>
      <c r="L321" s="951">
        <f t="shared" si="10"/>
        <v>118770</v>
      </c>
      <c r="M321" s="951">
        <v>122180</v>
      </c>
    </row>
    <row r="322" spans="1:13" ht="18" customHeight="1">
      <c r="A322" s="942"/>
      <c r="B322" s="943"/>
      <c r="C322" s="943"/>
      <c r="D322" s="943" t="s">
        <v>545</v>
      </c>
      <c r="E322" s="943"/>
      <c r="F322" s="944"/>
      <c r="G322" s="945" t="s">
        <v>604</v>
      </c>
      <c r="H322" s="949" t="s">
        <v>695</v>
      </c>
      <c r="I322" s="950">
        <f>100201</f>
        <v>100201</v>
      </c>
      <c r="J322" s="951">
        <v>0</v>
      </c>
      <c r="K322" s="951">
        <f>118770-J322</f>
        <v>118770</v>
      </c>
      <c r="L322" s="951">
        <f t="shared" si="10"/>
        <v>118770</v>
      </c>
      <c r="M322" s="951">
        <v>122180</v>
      </c>
    </row>
    <row r="323" spans="1:13" ht="18" customHeight="1">
      <c r="A323" s="942"/>
      <c r="B323" s="943"/>
      <c r="C323" s="943"/>
      <c r="D323" s="943" t="s">
        <v>658</v>
      </c>
      <c r="E323" s="943"/>
      <c r="F323" s="944"/>
      <c r="G323" s="945" t="s">
        <v>605</v>
      </c>
      <c r="H323" s="949" t="s">
        <v>696</v>
      </c>
      <c r="I323" s="950">
        <f>156265.68+3407.28</f>
        <v>159672.95999999999</v>
      </c>
      <c r="J323" s="951">
        <v>83328.12</v>
      </c>
      <c r="K323" s="951">
        <f>171500-J323</f>
        <v>88171.88</v>
      </c>
      <c r="L323" s="951">
        <f t="shared" si="10"/>
        <v>171500</v>
      </c>
      <c r="M323" s="951">
        <v>177000</v>
      </c>
    </row>
    <row r="324" spans="1:13" ht="18" customHeight="1">
      <c r="A324" s="942"/>
      <c r="B324" s="943"/>
      <c r="C324" s="943"/>
      <c r="D324" s="943" t="s">
        <v>546</v>
      </c>
      <c r="E324" s="943"/>
      <c r="F324" s="944"/>
      <c r="G324" s="945" t="s">
        <v>606</v>
      </c>
      <c r="H324" s="949" t="s">
        <v>697</v>
      </c>
      <c r="I324" s="950">
        <f>3300</f>
        <v>3300</v>
      </c>
      <c r="J324" s="951">
        <v>1800</v>
      </c>
      <c r="K324" s="951">
        <f>5400-J324</f>
        <v>3600</v>
      </c>
      <c r="L324" s="951">
        <f t="shared" si="10"/>
        <v>5400</v>
      </c>
      <c r="M324" s="951">
        <v>5400</v>
      </c>
    </row>
    <row r="325" spans="1:13" ht="18" customHeight="1">
      <c r="A325" s="942"/>
      <c r="B325" s="943"/>
      <c r="C325" s="943"/>
      <c r="D325" s="943" t="s">
        <v>547</v>
      </c>
      <c r="E325" s="943"/>
      <c r="F325" s="944"/>
      <c r="G325" s="945" t="s">
        <v>607</v>
      </c>
      <c r="H325" s="949" t="s">
        <v>698</v>
      </c>
      <c r="I325" s="950">
        <f>16065</f>
        <v>16065</v>
      </c>
      <c r="J325" s="951">
        <v>8520</v>
      </c>
      <c r="K325" s="951">
        <f>25500-J325</f>
        <v>16980</v>
      </c>
      <c r="L325" s="951">
        <f t="shared" si="10"/>
        <v>25500</v>
      </c>
      <c r="M325" s="951">
        <v>30000</v>
      </c>
    </row>
    <row r="326" spans="1:13" ht="18" customHeight="1">
      <c r="A326" s="942"/>
      <c r="B326" s="943"/>
      <c r="C326" s="943"/>
      <c r="D326" s="943" t="s">
        <v>654</v>
      </c>
      <c r="E326" s="943"/>
      <c r="F326" s="944"/>
      <c r="G326" s="945" t="s">
        <v>608</v>
      </c>
      <c r="H326" s="949" t="s">
        <v>699</v>
      </c>
      <c r="I326" s="950">
        <f>3400</f>
        <v>3400</v>
      </c>
      <c r="J326" s="951">
        <v>1800</v>
      </c>
      <c r="K326" s="951">
        <f>3600-J326</f>
        <v>1800</v>
      </c>
      <c r="L326" s="951">
        <f t="shared" si="10"/>
        <v>3600</v>
      </c>
      <c r="M326" s="951">
        <v>3600</v>
      </c>
    </row>
    <row r="327" spans="1:13" ht="18" customHeight="1">
      <c r="A327" s="942"/>
      <c r="B327" s="943"/>
      <c r="C327" s="943"/>
      <c r="D327" s="943" t="s">
        <v>549</v>
      </c>
      <c r="E327" s="943"/>
      <c r="F327" s="944"/>
      <c r="G327" s="945" t="s">
        <v>396</v>
      </c>
      <c r="H327" s="949" t="s">
        <v>711</v>
      </c>
      <c r="I327" s="950">
        <f>251915.1</f>
        <v>251915.1</v>
      </c>
      <c r="J327" s="951">
        <v>159188.20000000001</v>
      </c>
      <c r="K327" s="951">
        <f>159188.2-J327</f>
        <v>0</v>
      </c>
      <c r="L327" s="951">
        <f t="shared" si="10"/>
        <v>159188.20000000001</v>
      </c>
      <c r="M327" s="951">
        <v>0</v>
      </c>
    </row>
    <row r="328" spans="1:13" ht="18" customHeight="1">
      <c r="A328" s="942"/>
      <c r="B328" s="943"/>
      <c r="C328" s="943"/>
      <c r="D328" s="943" t="s">
        <v>1514</v>
      </c>
      <c r="E328" s="943"/>
      <c r="F328" s="944"/>
      <c r="G328" s="945"/>
      <c r="H328" s="949" t="s">
        <v>711</v>
      </c>
      <c r="I328" s="950">
        <f>20000</f>
        <v>20000</v>
      </c>
      <c r="J328" s="951">
        <v>0</v>
      </c>
      <c r="K328" s="951">
        <f>0-J328</f>
        <v>0</v>
      </c>
      <c r="L328" s="951">
        <f t="shared" si="10"/>
        <v>0</v>
      </c>
      <c r="M328" s="951">
        <v>0</v>
      </c>
    </row>
    <row r="329" spans="1:13" s="959" customFormat="1" ht="18" customHeight="1">
      <c r="A329" s="954"/>
      <c r="B329" s="955"/>
      <c r="C329" s="955"/>
      <c r="D329" s="955" t="s">
        <v>371</v>
      </c>
      <c r="E329" s="955"/>
      <c r="F329" s="956"/>
      <c r="G329" s="957"/>
      <c r="H329" s="980"/>
      <c r="I329" s="958">
        <f>SUM(I309:I328)</f>
        <v>2354733.5099999998</v>
      </c>
      <c r="J329" s="958">
        <f>SUM(J309:J328)</f>
        <v>1224539.32</v>
      </c>
      <c r="K329" s="958">
        <f>SUM(K309:K328)</f>
        <v>1105428.8799999999</v>
      </c>
      <c r="L329" s="958">
        <f>SUM(L309:L328)</f>
        <v>2329968.2000000002</v>
      </c>
      <c r="M329" s="958">
        <f>SUM(M309:M328)</f>
        <v>2214520</v>
      </c>
    </row>
    <row r="330" spans="1:13" ht="18" customHeight="1">
      <c r="A330" s="942"/>
      <c r="B330" s="943" t="s">
        <v>550</v>
      </c>
      <c r="C330" s="943"/>
      <c r="D330" s="943"/>
      <c r="E330" s="943"/>
      <c r="F330" s="944"/>
      <c r="G330" s="945"/>
      <c r="H330" s="977"/>
      <c r="I330" s="950"/>
      <c r="J330" s="951"/>
      <c r="K330" s="951"/>
      <c r="L330" s="951"/>
      <c r="M330" s="951"/>
    </row>
    <row r="331" spans="1:13" ht="18" customHeight="1">
      <c r="A331" s="942"/>
      <c r="B331" s="943"/>
      <c r="C331" s="943"/>
      <c r="D331" s="943" t="s">
        <v>551</v>
      </c>
      <c r="E331" s="943"/>
      <c r="F331" s="944"/>
      <c r="G331" s="945" t="s">
        <v>384</v>
      </c>
      <c r="H331" s="949" t="s">
        <v>701</v>
      </c>
      <c r="I331" s="950">
        <f>3250</f>
        <v>3250</v>
      </c>
      <c r="J331" s="951">
        <v>0</v>
      </c>
      <c r="K331" s="951">
        <f>88000-J331</f>
        <v>88000</v>
      </c>
      <c r="L331" s="951">
        <f t="shared" ref="L331:L336" si="11">SUM(K331+J331)</f>
        <v>88000</v>
      </c>
      <c r="M331" s="951">
        <v>100000</v>
      </c>
    </row>
    <row r="332" spans="1:13" ht="18" customHeight="1">
      <c r="A332" s="942"/>
      <c r="B332" s="943"/>
      <c r="C332" s="943"/>
      <c r="D332" s="943" t="s">
        <v>429</v>
      </c>
      <c r="E332" s="943"/>
      <c r="F332" s="944"/>
      <c r="G332" s="945" t="s">
        <v>385</v>
      </c>
      <c r="H332" s="949" t="s">
        <v>702</v>
      </c>
      <c r="I332" s="950">
        <v>0</v>
      </c>
      <c r="J332" s="951">
        <v>1000</v>
      </c>
      <c r="K332" s="951">
        <f>100000-J332</f>
        <v>99000</v>
      </c>
      <c r="L332" s="951">
        <f t="shared" si="11"/>
        <v>100000</v>
      </c>
      <c r="M332" s="951">
        <v>100000</v>
      </c>
    </row>
    <row r="333" spans="1:13" ht="18" customHeight="1">
      <c r="A333" s="942"/>
      <c r="B333" s="943"/>
      <c r="C333" s="943"/>
      <c r="D333" s="943" t="s">
        <v>378</v>
      </c>
      <c r="E333" s="943"/>
      <c r="F333" s="944"/>
      <c r="G333" s="945" t="s">
        <v>387</v>
      </c>
      <c r="H333" s="949" t="s">
        <v>703</v>
      </c>
      <c r="I333" s="950">
        <v>70000</v>
      </c>
      <c r="J333" s="951">
        <v>26364</v>
      </c>
      <c r="K333" s="951">
        <f>70000-J333</f>
        <v>43636</v>
      </c>
      <c r="L333" s="951">
        <f t="shared" si="11"/>
        <v>70000</v>
      </c>
      <c r="M333" s="951">
        <v>70000</v>
      </c>
    </row>
    <row r="334" spans="1:13" ht="18" customHeight="1">
      <c r="A334" s="942"/>
      <c r="B334" s="943"/>
      <c r="C334" s="943"/>
      <c r="D334" s="943" t="s">
        <v>557</v>
      </c>
      <c r="E334" s="943"/>
      <c r="F334" s="944"/>
      <c r="G334" s="945" t="s">
        <v>388</v>
      </c>
      <c r="H334" s="949" t="s">
        <v>705</v>
      </c>
      <c r="I334" s="950">
        <v>24000</v>
      </c>
      <c r="J334" s="951">
        <v>21000</v>
      </c>
      <c r="K334" s="951">
        <f>42000-J334</f>
        <v>21000</v>
      </c>
      <c r="L334" s="951">
        <f t="shared" si="11"/>
        <v>42000</v>
      </c>
      <c r="M334" s="951">
        <v>48000</v>
      </c>
    </row>
    <row r="335" spans="1:13" ht="18" customHeight="1">
      <c r="A335" s="942"/>
      <c r="B335" s="943"/>
      <c r="C335" s="943"/>
      <c r="D335" s="943" t="s">
        <v>926</v>
      </c>
      <c r="E335" s="943"/>
      <c r="F335" s="944"/>
      <c r="G335" s="945" t="s">
        <v>389</v>
      </c>
      <c r="H335" s="949" t="s">
        <v>706</v>
      </c>
      <c r="I335" s="950">
        <v>850</v>
      </c>
      <c r="J335" s="951">
        <v>0</v>
      </c>
      <c r="K335" s="951">
        <f>10000-J335</f>
        <v>10000</v>
      </c>
      <c r="L335" s="951">
        <f t="shared" si="11"/>
        <v>10000</v>
      </c>
      <c r="M335" s="951">
        <v>10000</v>
      </c>
    </row>
    <row r="336" spans="1:13" ht="18" customHeight="1">
      <c r="A336" s="942"/>
      <c r="B336" s="943"/>
      <c r="C336" s="943"/>
      <c r="D336" s="943" t="s">
        <v>564</v>
      </c>
      <c r="E336" s="943"/>
      <c r="F336" s="944"/>
      <c r="G336" s="945" t="s">
        <v>390</v>
      </c>
      <c r="H336" s="949" t="s">
        <v>707</v>
      </c>
      <c r="I336" s="950">
        <v>50000</v>
      </c>
      <c r="J336" s="951">
        <v>0</v>
      </c>
      <c r="K336" s="951">
        <f>0-J336</f>
        <v>0</v>
      </c>
      <c r="L336" s="951">
        <f t="shared" si="11"/>
        <v>0</v>
      </c>
      <c r="M336" s="951"/>
    </row>
    <row r="337" spans="1:13" s="959" customFormat="1" ht="18" customHeight="1">
      <c r="A337" s="954"/>
      <c r="B337" s="955"/>
      <c r="C337" s="955"/>
      <c r="D337" s="955" t="s">
        <v>752</v>
      </c>
      <c r="E337" s="955"/>
      <c r="F337" s="956"/>
      <c r="G337" s="957"/>
      <c r="H337" s="980"/>
      <c r="I337" s="958">
        <f>SUM(I331:I336)</f>
        <v>148100</v>
      </c>
      <c r="J337" s="958">
        <f>SUM(J331:J336)</f>
        <v>48364</v>
      </c>
      <c r="K337" s="958">
        <f>SUM(K331:K336)</f>
        <v>261636</v>
      </c>
      <c r="L337" s="958">
        <f>SUM(L331:L336)</f>
        <v>310000</v>
      </c>
      <c r="M337" s="958">
        <f>SUM(M331:M336)</f>
        <v>328000</v>
      </c>
    </row>
    <row r="338" spans="1:13" ht="18" customHeight="1">
      <c r="A338" s="942"/>
      <c r="B338" s="943" t="s">
        <v>565</v>
      </c>
      <c r="C338" s="943"/>
      <c r="D338" s="943"/>
      <c r="E338" s="943"/>
      <c r="F338" s="944"/>
      <c r="G338" s="945"/>
      <c r="H338" s="977"/>
      <c r="I338" s="950"/>
      <c r="J338" s="951"/>
      <c r="K338" s="951"/>
      <c r="L338" s="951"/>
      <c r="M338" s="951"/>
    </row>
    <row r="339" spans="1:13" ht="18" customHeight="1">
      <c r="A339" s="942"/>
      <c r="B339" s="943"/>
      <c r="C339" s="943"/>
      <c r="D339" s="943" t="s">
        <v>686</v>
      </c>
      <c r="E339" s="943"/>
      <c r="F339" s="944"/>
      <c r="G339" s="945" t="s">
        <v>846</v>
      </c>
      <c r="H339" s="949" t="s">
        <v>847</v>
      </c>
      <c r="I339" s="950">
        <v>0</v>
      </c>
      <c r="J339" s="951">
        <v>0</v>
      </c>
      <c r="K339" s="951">
        <f>0-J339</f>
        <v>0</v>
      </c>
      <c r="L339" s="951">
        <f>SUM(K339+J339)</f>
        <v>0</v>
      </c>
      <c r="M339" s="951"/>
    </row>
    <row r="340" spans="1:13" ht="18" customHeight="1">
      <c r="A340" s="942"/>
      <c r="B340" s="943"/>
      <c r="C340" s="943"/>
      <c r="D340" s="943" t="s">
        <v>911</v>
      </c>
      <c r="E340" s="943"/>
      <c r="F340" s="944"/>
      <c r="G340" s="945" t="s">
        <v>848</v>
      </c>
      <c r="H340" s="949" t="s">
        <v>1567</v>
      </c>
      <c r="I340" s="950">
        <v>0</v>
      </c>
      <c r="J340" s="951">
        <v>0</v>
      </c>
      <c r="K340" s="951">
        <v>0</v>
      </c>
      <c r="L340" s="951">
        <f>SUM(K340+J340)</f>
        <v>0</v>
      </c>
      <c r="M340" s="951"/>
    </row>
    <row r="341" spans="1:13" ht="18" customHeight="1">
      <c r="A341" s="942"/>
      <c r="B341" s="943"/>
      <c r="C341" s="943"/>
      <c r="D341" s="943" t="s">
        <v>855</v>
      </c>
      <c r="E341" s="943"/>
      <c r="F341" s="944"/>
      <c r="G341" s="945" t="s">
        <v>914</v>
      </c>
      <c r="H341" s="949" t="s">
        <v>856</v>
      </c>
      <c r="I341" s="950">
        <v>0</v>
      </c>
      <c r="J341" s="951">
        <v>18990</v>
      </c>
      <c r="K341" s="951">
        <f>20000-J341</f>
        <v>1010</v>
      </c>
      <c r="L341" s="951">
        <f>SUM(K341+J341)</f>
        <v>20000</v>
      </c>
      <c r="M341" s="951"/>
    </row>
    <row r="342" spans="1:13" s="959" customFormat="1" ht="18" customHeight="1">
      <c r="A342" s="954"/>
      <c r="B342" s="955"/>
      <c r="C342" s="955"/>
      <c r="D342" s="955" t="s">
        <v>797</v>
      </c>
      <c r="E342" s="955"/>
      <c r="F342" s="956"/>
      <c r="G342" s="945"/>
      <c r="H342" s="949"/>
      <c r="I342" s="958">
        <f>SUM(I339:I341)</f>
        <v>0</v>
      </c>
      <c r="J342" s="958">
        <f>SUM(J339:J341)</f>
        <v>18990</v>
      </c>
      <c r="K342" s="958">
        <f>SUM(K339:K341)</f>
        <v>1010</v>
      </c>
      <c r="L342" s="958">
        <f>SUM(L339:L341)</f>
        <v>20000</v>
      </c>
      <c r="M342" s="958">
        <f>SUM(M339:M341)</f>
        <v>0</v>
      </c>
    </row>
    <row r="343" spans="1:13" ht="18" customHeight="1">
      <c r="A343" s="942"/>
      <c r="B343" s="943"/>
      <c r="C343" s="943"/>
      <c r="D343" s="955"/>
      <c r="E343" s="943"/>
      <c r="F343" s="944"/>
      <c r="G343" s="945"/>
      <c r="H343" s="977"/>
      <c r="I343" s="950"/>
      <c r="J343" s="951"/>
      <c r="K343" s="951"/>
      <c r="L343" s="951"/>
      <c r="M343" s="951"/>
    </row>
    <row r="344" spans="1:13" ht="18" customHeight="1">
      <c r="A344" s="962" t="s">
        <v>625</v>
      </c>
      <c r="B344" s="963"/>
      <c r="C344" s="963"/>
      <c r="D344" s="963"/>
      <c r="E344" s="963"/>
      <c r="F344" s="964"/>
      <c r="G344" s="965"/>
      <c r="H344" s="981"/>
      <c r="I344" s="967">
        <f>SUM(I342+I337+I329)</f>
        <v>2502833.5099999998</v>
      </c>
      <c r="J344" s="967">
        <f>SUM(J342+J337+J329)</f>
        <v>1291893.32</v>
      </c>
      <c r="K344" s="967">
        <f>SUM(K342+K337+K329)</f>
        <v>1368074.88</v>
      </c>
      <c r="L344" s="967">
        <f>SUM(L342+L337+L329)</f>
        <v>2659968.2000000002</v>
      </c>
      <c r="M344" s="967">
        <f>SUM(M342+M337+M329)</f>
        <v>2542520</v>
      </c>
    </row>
    <row r="345" spans="1:13" ht="18" customHeight="1">
      <c r="A345" s="930"/>
      <c r="B345" s="968"/>
      <c r="C345" s="930"/>
      <c r="D345" s="930"/>
      <c r="E345" s="930"/>
      <c r="F345" s="930"/>
      <c r="G345" s="930"/>
      <c r="H345" s="969"/>
      <c r="I345" s="969"/>
      <c r="J345" s="970"/>
      <c r="K345" s="970"/>
      <c r="L345" s="970"/>
      <c r="M345" s="970"/>
    </row>
    <row r="346" spans="1:13" ht="18" customHeight="1">
      <c r="A346" s="1278" t="s">
        <v>1758</v>
      </c>
      <c r="B346" s="1278"/>
      <c r="C346" s="1278"/>
      <c r="D346" s="1278"/>
      <c r="E346" s="1278"/>
      <c r="F346" s="1278"/>
      <c r="G346" s="1278"/>
      <c r="H346" s="1278"/>
      <c r="I346" s="1278"/>
      <c r="J346" s="1278"/>
      <c r="K346" s="1278"/>
      <c r="L346" s="1278"/>
      <c r="M346" s="1278"/>
    </row>
    <row r="347" spans="1:13" ht="18" customHeight="1">
      <c r="A347" s="1218"/>
      <c r="B347" s="1218"/>
      <c r="C347" s="1218"/>
      <c r="D347" s="1218"/>
      <c r="E347" s="1218"/>
      <c r="F347" s="1218"/>
      <c r="G347" s="1218"/>
      <c r="H347" s="1218"/>
      <c r="I347" s="1218"/>
      <c r="J347" s="1218"/>
      <c r="K347" s="1218"/>
      <c r="L347" s="1218"/>
      <c r="M347" s="1218"/>
    </row>
    <row r="348" spans="1:13" ht="18" customHeight="1">
      <c r="A348" s="1218"/>
      <c r="B348" s="1218"/>
      <c r="C348" s="1218"/>
      <c r="D348" s="1218"/>
      <c r="E348" s="1218"/>
      <c r="F348" s="1218"/>
      <c r="G348" s="1218"/>
      <c r="H348" s="1218"/>
      <c r="I348" s="1218"/>
      <c r="J348" s="1218"/>
      <c r="K348" s="1218"/>
      <c r="L348" s="1218"/>
      <c r="M348" s="1218"/>
    </row>
    <row r="349" spans="1:13" ht="18" customHeight="1">
      <c r="A349" s="1218"/>
      <c r="B349" s="1218"/>
      <c r="C349" s="1218"/>
      <c r="D349" s="1218"/>
      <c r="E349" s="1218"/>
      <c r="F349" s="1218"/>
      <c r="G349" s="1218"/>
      <c r="H349" s="1218"/>
      <c r="I349" s="1218"/>
      <c r="J349" s="1218"/>
      <c r="K349" s="1218"/>
      <c r="L349" s="1218"/>
      <c r="M349" s="1218"/>
    </row>
    <row r="350" spans="1:13" ht="18" customHeight="1">
      <c r="A350" s="1218"/>
      <c r="B350" s="1218"/>
      <c r="C350" s="1218"/>
      <c r="D350" s="1218"/>
      <c r="E350" s="1218"/>
      <c r="F350" s="1218"/>
      <c r="G350" s="1218"/>
      <c r="H350" s="1218"/>
      <c r="I350" s="1218"/>
      <c r="J350" s="1218"/>
      <c r="K350" s="1218"/>
      <c r="L350" s="1218"/>
      <c r="M350" s="1218"/>
    </row>
    <row r="351" spans="1:13" ht="18" customHeight="1">
      <c r="A351" s="1218"/>
      <c r="B351" s="1218"/>
      <c r="C351" s="1218"/>
      <c r="D351" s="1218"/>
      <c r="E351" s="1218"/>
      <c r="F351" s="1218"/>
      <c r="G351" s="1218"/>
      <c r="H351" s="1218"/>
      <c r="I351" s="1218"/>
      <c r="J351" s="1218"/>
      <c r="K351" s="1218"/>
      <c r="L351" s="1218"/>
      <c r="M351" s="1218"/>
    </row>
    <row r="352" spans="1:13" ht="18" customHeight="1">
      <c r="A352" s="1218"/>
      <c r="B352" s="1218"/>
      <c r="C352" s="1218"/>
      <c r="D352" s="1218"/>
      <c r="E352" s="1218"/>
      <c r="F352" s="1218"/>
      <c r="G352" s="1218"/>
      <c r="H352" s="1218"/>
      <c r="I352" s="1218"/>
      <c r="J352" s="1218"/>
      <c r="K352" s="1218"/>
      <c r="L352" s="1218"/>
      <c r="M352" s="1218"/>
    </row>
    <row r="353" spans="1:14" ht="18" customHeight="1">
      <c r="A353" s="1218"/>
      <c r="B353" s="1218"/>
      <c r="C353" s="1218"/>
      <c r="D353" s="1218"/>
      <c r="E353" s="1218"/>
      <c r="F353" s="1218"/>
      <c r="G353" s="1218"/>
      <c r="H353" s="1218"/>
      <c r="I353" s="1218"/>
      <c r="J353" s="1218"/>
      <c r="K353" s="1218"/>
      <c r="L353" s="1218"/>
      <c r="M353" s="1218"/>
    </row>
    <row r="354" spans="1:14" s="987" customFormat="1" ht="20.100000000000001" customHeight="1">
      <c r="A354" s="1276" t="s">
        <v>976</v>
      </c>
      <c r="B354" s="1276"/>
      <c r="C354" s="1276"/>
      <c r="D354" s="1276"/>
      <c r="E354" s="1276"/>
      <c r="F354" s="1276"/>
      <c r="G354" s="1276"/>
      <c r="H354" s="1276"/>
      <c r="I354" s="1276"/>
      <c r="J354" s="1276"/>
      <c r="K354" s="1276"/>
      <c r="L354" s="1276"/>
      <c r="M354" s="1276"/>
    </row>
    <row r="355" spans="1:14" s="917" customFormat="1" ht="18" customHeight="1">
      <c r="A355" s="914"/>
      <c r="B355" s="915"/>
      <c r="C355" s="915"/>
      <c r="D355" s="915"/>
      <c r="E355" s="915"/>
      <c r="F355" s="915"/>
      <c r="G355" s="915"/>
      <c r="H355" s="915"/>
      <c r="I355" s="915"/>
      <c r="J355" s="915"/>
      <c r="K355" s="915"/>
      <c r="L355" s="915"/>
      <c r="M355" s="916"/>
    </row>
    <row r="356" spans="1:14" s="917" customFormat="1" ht="18" customHeight="1">
      <c r="A356" s="914"/>
      <c r="B356" s="915"/>
      <c r="C356" s="915"/>
      <c r="D356" s="915"/>
      <c r="E356" s="915"/>
      <c r="F356" s="915"/>
      <c r="G356" s="915"/>
      <c r="H356" s="915"/>
      <c r="I356" s="915"/>
      <c r="J356" s="915"/>
      <c r="K356" s="915"/>
      <c r="L356" s="915"/>
      <c r="M356" s="916"/>
    </row>
    <row r="357" spans="1:14" s="786" customFormat="1" ht="15" customHeight="1">
      <c r="A357" s="794"/>
      <c r="B357" s="795"/>
      <c r="C357" s="795"/>
      <c r="D357" s="795"/>
      <c r="E357" s="795"/>
      <c r="F357" s="795"/>
      <c r="G357" s="795"/>
      <c r="H357" s="795"/>
      <c r="I357" s="795"/>
      <c r="J357" s="795"/>
      <c r="K357" s="795"/>
      <c r="L357" s="795"/>
      <c r="M357" s="796"/>
    </row>
    <row r="358" spans="1:14" s="1113" customFormat="1" ht="15" customHeight="1">
      <c r="A358" s="1259" t="s">
        <v>883</v>
      </c>
      <c r="B358" s="1259"/>
      <c r="C358" s="1259"/>
      <c r="D358" s="1259"/>
      <c r="E358" s="1259"/>
      <c r="F358" s="1259"/>
      <c r="G358" s="1259"/>
      <c r="H358" s="1259"/>
      <c r="I358" s="1259"/>
      <c r="J358" s="1259"/>
      <c r="K358" s="1259"/>
      <c r="L358" s="1259"/>
      <c r="M358" s="1259"/>
      <c r="N358" s="1165"/>
    </row>
    <row r="359" spans="1:14" s="1113" customFormat="1" ht="15" customHeight="1">
      <c r="A359" s="1259" t="s">
        <v>178</v>
      </c>
      <c r="B359" s="1259"/>
      <c r="C359" s="1259"/>
      <c r="D359" s="1259"/>
      <c r="E359" s="1259"/>
      <c r="F359" s="1259"/>
      <c r="G359" s="1259"/>
      <c r="H359" s="1259"/>
      <c r="I359" s="1259"/>
      <c r="J359" s="1259"/>
      <c r="K359" s="1259"/>
      <c r="L359" s="1259"/>
      <c r="M359" s="1259"/>
      <c r="N359" s="1165"/>
    </row>
    <row r="360" spans="1:14" s="1113" customFormat="1" ht="15" customHeight="1">
      <c r="A360" s="1259" t="s">
        <v>1742</v>
      </c>
      <c r="B360" s="1259"/>
      <c r="C360" s="1259"/>
      <c r="D360" s="1259"/>
      <c r="E360" s="1259"/>
      <c r="F360" s="1259"/>
      <c r="G360" s="1259"/>
      <c r="H360" s="1259"/>
      <c r="I360" s="1259"/>
      <c r="J360" s="1259"/>
      <c r="K360" s="1259"/>
      <c r="L360" s="1259"/>
      <c r="M360" s="1259"/>
      <c r="N360" s="1165"/>
    </row>
    <row r="361" spans="1:14" s="1113" customFormat="1" ht="15" customHeight="1">
      <c r="A361" s="1259"/>
      <c r="B361" s="1259"/>
      <c r="C361" s="1259"/>
      <c r="D361" s="1259"/>
      <c r="E361" s="1259"/>
      <c r="F361" s="1259"/>
      <c r="G361" s="1259"/>
      <c r="H361" s="1259"/>
      <c r="I361" s="1259"/>
      <c r="J361" s="1259"/>
      <c r="K361" s="1259"/>
      <c r="L361" s="1259"/>
      <c r="M361" s="1259"/>
      <c r="N361" s="1165"/>
    </row>
    <row r="362" spans="1:14" s="1113" customFormat="1" ht="15" customHeight="1">
      <c r="A362" s="1145"/>
      <c r="B362" s="1145"/>
      <c r="C362" s="1145"/>
      <c r="D362" s="1145"/>
      <c r="E362" s="1145"/>
      <c r="F362" s="1145"/>
      <c r="G362" s="1145"/>
      <c r="H362" s="1145"/>
      <c r="I362" s="1145"/>
      <c r="J362" s="1145"/>
      <c r="K362" s="1145"/>
      <c r="L362" s="1145"/>
      <c r="M362" s="1145"/>
      <c r="N362" s="1165"/>
    </row>
    <row r="363" spans="1:14" s="1113" customFormat="1" ht="15" customHeight="1">
      <c r="A363" s="1145"/>
      <c r="B363" s="1145"/>
      <c r="C363" s="1145"/>
      <c r="D363" s="1145"/>
      <c r="E363" s="1145"/>
      <c r="F363" s="1145"/>
      <c r="G363" s="1145"/>
      <c r="H363" s="1145"/>
      <c r="I363" s="1145"/>
      <c r="J363" s="1145"/>
      <c r="K363" s="1145"/>
      <c r="L363" s="1145"/>
      <c r="M363" s="1145"/>
      <c r="N363" s="1165"/>
    </row>
    <row r="364" spans="1:14" s="1113" customFormat="1" ht="18" customHeight="1">
      <c r="A364" s="1232" t="s">
        <v>1743</v>
      </c>
      <c r="B364" s="1232"/>
      <c r="C364" s="1232"/>
      <c r="D364" s="1232"/>
      <c r="E364" s="1232"/>
      <c r="F364" s="1232"/>
      <c r="G364" s="1232"/>
      <c r="H364" s="1232"/>
      <c r="I364" s="1232"/>
      <c r="J364" s="1232"/>
      <c r="K364" s="1232"/>
      <c r="L364" s="1232"/>
      <c r="M364" s="1232"/>
      <c r="N364" s="1166"/>
    </row>
    <row r="365" spans="1:14" s="1113" customFormat="1">
      <c r="A365" s="1234" t="s">
        <v>1780</v>
      </c>
      <c r="B365" s="1234"/>
      <c r="C365" s="1234"/>
      <c r="D365" s="1234"/>
      <c r="E365" s="1234"/>
      <c r="F365" s="1234"/>
      <c r="G365" s="1234"/>
      <c r="H365" s="1234"/>
      <c r="I365" s="1234"/>
      <c r="J365" s="1234"/>
      <c r="K365" s="1234"/>
      <c r="L365" s="1234"/>
      <c r="M365" s="1234"/>
      <c r="N365" s="1167"/>
    </row>
    <row r="366" spans="1:14" s="1113" customFormat="1" ht="15.75">
      <c r="A366" s="1113" t="s">
        <v>1794</v>
      </c>
      <c r="G366" s="1145"/>
      <c r="I366" s="1160"/>
      <c r="L366" s="1146"/>
      <c r="M366" s="1146"/>
    </row>
    <row r="367" spans="1:14" s="1113" customFormat="1" ht="15.75">
      <c r="A367" s="1113" t="s">
        <v>1776</v>
      </c>
      <c r="G367" s="1145"/>
      <c r="I367" s="1160"/>
      <c r="L367" s="1146"/>
      <c r="M367" s="1146"/>
    </row>
    <row r="368" spans="1:14" s="1113" customFormat="1" ht="8.1" customHeight="1">
      <c r="A368" s="1161" t="s">
        <v>1774</v>
      </c>
      <c r="G368" s="1145"/>
      <c r="I368" s="1160"/>
      <c r="L368" s="1146"/>
      <c r="M368" s="1146"/>
    </row>
    <row r="369" spans="1:14" s="1113" customFormat="1" ht="15.75" customHeight="1">
      <c r="A369" s="1113" t="s">
        <v>1795</v>
      </c>
      <c r="C369" s="1280" t="s">
        <v>1796</v>
      </c>
      <c r="D369" s="1280"/>
      <c r="E369" s="1280"/>
      <c r="F369" s="1280"/>
      <c r="G369" s="1280"/>
      <c r="H369" s="1280"/>
      <c r="I369" s="1280"/>
      <c r="J369" s="1280"/>
      <c r="K369" s="1280"/>
      <c r="L369" s="1280"/>
      <c r="M369" s="1280"/>
      <c r="N369" s="1144"/>
    </row>
    <row r="370" spans="1:14" s="1113" customFormat="1" ht="15.75" customHeight="1" thickBot="1">
      <c r="C370" s="1280"/>
      <c r="D370" s="1280"/>
      <c r="E370" s="1280"/>
      <c r="F370" s="1280"/>
      <c r="G370" s="1280"/>
      <c r="H370" s="1280"/>
      <c r="I370" s="1280"/>
      <c r="J370" s="1280"/>
      <c r="K370" s="1280"/>
      <c r="L370" s="1280"/>
      <c r="M370" s="1280"/>
      <c r="N370" s="1144"/>
    </row>
    <row r="371" spans="1:14" ht="18" customHeight="1">
      <c r="A371" s="919"/>
      <c r="B371" s="920"/>
      <c r="C371" s="920"/>
      <c r="D371" s="920"/>
      <c r="E371" s="920"/>
      <c r="F371" s="921"/>
      <c r="G371" s="922"/>
      <c r="H371" s="923"/>
      <c r="I371" s="923" t="s">
        <v>6</v>
      </c>
      <c r="J371" s="1266" t="s">
        <v>630</v>
      </c>
      <c r="K371" s="1267"/>
      <c r="L371" s="1268"/>
      <c r="M371" s="924" t="s">
        <v>7</v>
      </c>
    </row>
    <row r="372" spans="1:14" ht="18" customHeight="1">
      <c r="A372" s="1269"/>
      <c r="B372" s="1270"/>
      <c r="C372" s="1270"/>
      <c r="D372" s="1270"/>
      <c r="E372" s="1270"/>
      <c r="F372" s="1271"/>
      <c r="G372" s="1106"/>
      <c r="H372" s="925"/>
      <c r="I372" s="925">
        <v>2020</v>
      </c>
      <c r="J372" s="925" t="s">
        <v>572</v>
      </c>
      <c r="K372" s="925" t="s">
        <v>573</v>
      </c>
      <c r="L372" s="925">
        <v>2021</v>
      </c>
      <c r="M372" s="926">
        <v>2022</v>
      </c>
    </row>
    <row r="373" spans="1:14" ht="18" customHeight="1">
      <c r="A373" s="1269" t="s">
        <v>21</v>
      </c>
      <c r="B373" s="1270"/>
      <c r="C373" s="1270"/>
      <c r="D373" s="1270"/>
      <c r="E373" s="1270"/>
      <c r="F373" s="1271"/>
      <c r="G373" s="927"/>
      <c r="H373" s="928" t="s">
        <v>624</v>
      </c>
      <c r="I373" s="925" t="s">
        <v>933</v>
      </c>
      <c r="J373" s="925" t="s">
        <v>571</v>
      </c>
      <c r="K373" s="925" t="s">
        <v>574</v>
      </c>
      <c r="L373" s="925" t="s">
        <v>933</v>
      </c>
      <c r="M373" s="926" t="s">
        <v>933</v>
      </c>
    </row>
    <row r="374" spans="1:14" ht="18" customHeight="1">
      <c r="A374" s="929"/>
      <c r="B374" s="930"/>
      <c r="C374" s="930"/>
      <c r="D374" s="930"/>
      <c r="E374" s="930"/>
      <c r="F374" s="931"/>
      <c r="G374" s="927"/>
      <c r="H374" s="925"/>
      <c r="I374" s="1220" t="s">
        <v>571</v>
      </c>
      <c r="J374" s="925">
        <v>2021</v>
      </c>
      <c r="K374" s="925">
        <v>2021</v>
      </c>
      <c r="L374" s="1220" t="s">
        <v>934</v>
      </c>
      <c r="M374" s="1221" t="s">
        <v>576</v>
      </c>
    </row>
    <row r="375" spans="1:14" ht="18" customHeight="1" thickBot="1">
      <c r="A375" s="1272"/>
      <c r="B375" s="1273"/>
      <c r="C375" s="1273"/>
      <c r="D375" s="1273"/>
      <c r="E375" s="1273"/>
      <c r="F375" s="1274"/>
      <c r="G375" s="1107"/>
      <c r="H375" s="932"/>
      <c r="I375" s="932"/>
      <c r="J375" s="932"/>
      <c r="K375" s="932"/>
      <c r="L375" s="932"/>
      <c r="M375" s="933"/>
    </row>
    <row r="376" spans="1:14" ht="18" customHeight="1">
      <c r="A376" s="934"/>
      <c r="B376" s="935" t="s">
        <v>366</v>
      </c>
      <c r="C376" s="936"/>
      <c r="D376" s="935"/>
      <c r="E376" s="935"/>
      <c r="F376" s="937"/>
      <c r="G376" s="938"/>
      <c r="H376" s="974"/>
      <c r="I376" s="975"/>
      <c r="J376" s="976"/>
      <c r="K376" s="976"/>
      <c r="L376" s="976"/>
      <c r="M376" s="976"/>
    </row>
    <row r="377" spans="1:14" ht="18" customHeight="1">
      <c r="A377" s="942"/>
      <c r="B377" s="943"/>
      <c r="C377" s="943" t="s">
        <v>525</v>
      </c>
      <c r="D377" s="943"/>
      <c r="E377" s="943"/>
      <c r="F377" s="944"/>
      <c r="G377" s="945"/>
      <c r="H377" s="977"/>
      <c r="I377" s="978"/>
      <c r="J377" s="979"/>
      <c r="K377" s="979"/>
      <c r="L377" s="979"/>
      <c r="M377" s="979"/>
    </row>
    <row r="378" spans="1:14" ht="18" customHeight="1">
      <c r="A378" s="942"/>
      <c r="B378" s="943"/>
      <c r="C378" s="943"/>
      <c r="D378" s="943" t="s">
        <v>526</v>
      </c>
      <c r="E378" s="943"/>
      <c r="F378" s="944"/>
      <c r="G378" s="945" t="s">
        <v>594</v>
      </c>
      <c r="H378" s="949" t="s">
        <v>687</v>
      </c>
      <c r="I378" s="950">
        <v>1390294.91</v>
      </c>
      <c r="J378" s="951">
        <f>844998</f>
        <v>844998</v>
      </c>
      <c r="K378" s="951">
        <f>1697339-J378</f>
        <v>852341</v>
      </c>
      <c r="L378" s="951">
        <f t="shared" ref="L378:L397" si="12">SUM(K378+J378)</f>
        <v>1697339</v>
      </c>
      <c r="M378" s="951">
        <f>1759716+389136</f>
        <v>2148852</v>
      </c>
    </row>
    <row r="379" spans="1:14" ht="18" customHeight="1">
      <c r="A379" s="942"/>
      <c r="B379" s="943"/>
      <c r="C379" s="943" t="s">
        <v>527</v>
      </c>
      <c r="D379" s="943"/>
      <c r="E379" s="943"/>
      <c r="F379" s="944"/>
      <c r="G379" s="945"/>
      <c r="H379" s="977"/>
      <c r="I379" s="950"/>
      <c r="J379" s="951"/>
      <c r="K379" s="951"/>
      <c r="L379" s="951"/>
      <c r="M379" s="951"/>
    </row>
    <row r="380" spans="1:14" ht="18" customHeight="1">
      <c r="A380" s="942"/>
      <c r="B380" s="943"/>
      <c r="C380" s="943"/>
      <c r="D380" s="943" t="s">
        <v>528</v>
      </c>
      <c r="E380" s="943"/>
      <c r="F380" s="944"/>
      <c r="G380" s="945" t="s">
        <v>595</v>
      </c>
      <c r="H380" s="949" t="s">
        <v>688</v>
      </c>
      <c r="I380" s="950">
        <v>90000</v>
      </c>
      <c r="J380" s="951">
        <f>60000</f>
        <v>60000</v>
      </c>
      <c r="K380" s="951">
        <f>120000-J380</f>
        <v>60000</v>
      </c>
      <c r="L380" s="951">
        <f t="shared" si="12"/>
        <v>120000</v>
      </c>
      <c r="M380" s="951">
        <f>120000+24000</f>
        <v>144000</v>
      </c>
    </row>
    <row r="381" spans="1:14" ht="18" customHeight="1">
      <c r="A381" s="942"/>
      <c r="B381" s="943"/>
      <c r="C381" s="943"/>
      <c r="D381" s="943" t="s">
        <v>538</v>
      </c>
      <c r="E381" s="943"/>
      <c r="F381" s="944"/>
      <c r="G381" s="945" t="s">
        <v>596</v>
      </c>
      <c r="H381" s="949" t="s">
        <v>689</v>
      </c>
      <c r="I381" s="950">
        <v>76500</v>
      </c>
      <c r="J381" s="951">
        <f>38250</f>
        <v>38250</v>
      </c>
      <c r="K381" s="951">
        <f>76500-J381</f>
        <v>38250</v>
      </c>
      <c r="L381" s="951">
        <f t="shared" si="12"/>
        <v>76500</v>
      </c>
      <c r="M381" s="951">
        <v>76500</v>
      </c>
    </row>
    <row r="382" spans="1:14" ht="18" customHeight="1">
      <c r="A382" s="942"/>
      <c r="B382" s="943"/>
      <c r="C382" s="943"/>
      <c r="D382" s="943" t="s">
        <v>537</v>
      </c>
      <c r="E382" s="943"/>
      <c r="F382" s="944"/>
      <c r="G382" s="945" t="s">
        <v>597</v>
      </c>
      <c r="H382" s="949" t="s">
        <v>690</v>
      </c>
      <c r="I382" s="950">
        <v>76500</v>
      </c>
      <c r="J382" s="951">
        <f>38250</f>
        <v>38250</v>
      </c>
      <c r="K382" s="951">
        <f>76500-J382</f>
        <v>38250</v>
      </c>
      <c r="L382" s="951">
        <f t="shared" si="12"/>
        <v>76500</v>
      </c>
      <c r="M382" s="951">
        <v>76500</v>
      </c>
    </row>
    <row r="383" spans="1:14" ht="18" customHeight="1">
      <c r="A383" s="942"/>
      <c r="B383" s="943"/>
      <c r="C383" s="943"/>
      <c r="D383" s="943" t="s">
        <v>539</v>
      </c>
      <c r="E383" s="943"/>
      <c r="F383" s="944"/>
      <c r="G383" s="945" t="s">
        <v>598</v>
      </c>
      <c r="H383" s="949" t="s">
        <v>691</v>
      </c>
      <c r="I383" s="950">
        <v>24000</v>
      </c>
      <c r="J383" s="951">
        <f>30000</f>
        <v>30000</v>
      </c>
      <c r="K383" s="951">
        <f>30000-J383</f>
        <v>0</v>
      </c>
      <c r="L383" s="951">
        <f t="shared" si="12"/>
        <v>30000</v>
      </c>
      <c r="M383" s="951">
        <f>30000+6000</f>
        <v>36000</v>
      </c>
    </row>
    <row r="384" spans="1:14" ht="18" customHeight="1">
      <c r="A384" s="942"/>
      <c r="B384" s="943"/>
      <c r="C384" s="943"/>
      <c r="D384" s="943" t="s">
        <v>685</v>
      </c>
      <c r="E384" s="943"/>
      <c r="F384" s="944"/>
      <c r="G384" s="945" t="s">
        <v>600</v>
      </c>
      <c r="H384" s="949" t="s">
        <v>692</v>
      </c>
      <c r="I384" s="950">
        <v>19000</v>
      </c>
      <c r="J384" s="951">
        <v>0</v>
      </c>
      <c r="K384" s="951">
        <f>25000-J384</f>
        <v>25000</v>
      </c>
      <c r="L384" s="951">
        <f t="shared" si="12"/>
        <v>25000</v>
      </c>
      <c r="M384" s="951">
        <f>25000+5000</f>
        <v>30000</v>
      </c>
    </row>
    <row r="385" spans="1:13" ht="18" customHeight="1">
      <c r="A385" s="942"/>
      <c r="B385" s="943"/>
      <c r="C385" s="943"/>
      <c r="D385" s="943" t="s">
        <v>541</v>
      </c>
      <c r="E385" s="943"/>
      <c r="F385" s="944"/>
      <c r="G385" s="945" t="s">
        <v>433</v>
      </c>
      <c r="H385" s="949" t="s">
        <v>693</v>
      </c>
      <c r="I385" s="950">
        <v>0</v>
      </c>
      <c r="J385" s="951">
        <v>0</v>
      </c>
      <c r="K385" s="951">
        <v>0</v>
      </c>
      <c r="L385" s="951">
        <f t="shared" si="12"/>
        <v>0</v>
      </c>
      <c r="M385" s="951">
        <v>10000</v>
      </c>
    </row>
    <row r="386" spans="1:13" ht="18" customHeight="1">
      <c r="A386" s="942"/>
      <c r="B386" s="943"/>
      <c r="C386" s="943"/>
      <c r="D386" s="943" t="s">
        <v>1630</v>
      </c>
      <c r="E386" s="943"/>
      <c r="F386" s="944"/>
      <c r="G386" s="945" t="s">
        <v>433</v>
      </c>
      <c r="H386" s="949" t="s">
        <v>693</v>
      </c>
      <c r="I386" s="950"/>
      <c r="J386" s="951">
        <f>9000</f>
        <v>9000</v>
      </c>
      <c r="K386" s="951">
        <f>9000-J386</f>
        <v>0</v>
      </c>
      <c r="L386" s="951">
        <f t="shared" si="12"/>
        <v>9000</v>
      </c>
      <c r="M386" s="951">
        <v>0</v>
      </c>
    </row>
    <row r="387" spans="1:13" ht="18" customHeight="1">
      <c r="A387" s="942"/>
      <c r="B387" s="943"/>
      <c r="C387" s="943"/>
      <c r="D387" s="943" t="s">
        <v>1513</v>
      </c>
      <c r="E387" s="943"/>
      <c r="F387" s="944"/>
      <c r="G387" s="945"/>
      <c r="H387" s="949" t="s">
        <v>693</v>
      </c>
      <c r="I387" s="950">
        <v>70687.5</v>
      </c>
      <c r="J387" s="951">
        <v>0</v>
      </c>
      <c r="K387" s="951">
        <v>0</v>
      </c>
      <c r="L387" s="951">
        <f t="shared" si="12"/>
        <v>0</v>
      </c>
      <c r="M387" s="951">
        <v>0</v>
      </c>
    </row>
    <row r="388" spans="1:13" ht="18" customHeight="1">
      <c r="A388" s="942"/>
      <c r="B388" s="943"/>
      <c r="C388" s="943"/>
      <c r="D388" s="943" t="s">
        <v>367</v>
      </c>
      <c r="E388" s="943"/>
      <c r="F388" s="944"/>
      <c r="G388" s="945" t="s">
        <v>602</v>
      </c>
      <c r="H388" s="949" t="s">
        <v>710</v>
      </c>
      <c r="I388" s="950">
        <f>14730.15+5267.85</f>
        <v>19998</v>
      </c>
      <c r="J388" s="951">
        <f>8058.88</f>
        <v>8058.88</v>
      </c>
      <c r="K388" s="951">
        <f>35000-J388</f>
        <v>26941.119999999999</v>
      </c>
      <c r="L388" s="951">
        <f t="shared" si="12"/>
        <v>35000</v>
      </c>
      <c r="M388" s="951">
        <v>22000</v>
      </c>
    </row>
    <row r="389" spans="1:13" ht="18" customHeight="1">
      <c r="A389" s="942"/>
      <c r="B389" s="943"/>
      <c r="C389" s="943"/>
      <c r="D389" s="943" t="s">
        <v>544</v>
      </c>
      <c r="E389" s="943"/>
      <c r="F389" s="944"/>
      <c r="G389" s="945" t="s">
        <v>603</v>
      </c>
      <c r="H389" s="949" t="s">
        <v>694</v>
      </c>
      <c r="I389" s="950">
        <v>18000</v>
      </c>
      <c r="J389" s="951">
        <v>0</v>
      </c>
      <c r="K389" s="951">
        <f>25000-J389</f>
        <v>25000</v>
      </c>
      <c r="L389" s="951">
        <f t="shared" si="12"/>
        <v>25000</v>
      </c>
      <c r="M389" s="951">
        <f>25000+5000</f>
        <v>30000</v>
      </c>
    </row>
    <row r="390" spans="1:13" ht="18" customHeight="1">
      <c r="A390" s="942"/>
      <c r="B390" s="943"/>
      <c r="C390" s="943"/>
      <c r="D390" s="943" t="s">
        <v>805</v>
      </c>
      <c r="E390" s="943"/>
      <c r="F390" s="943"/>
      <c r="G390" s="953" t="s">
        <v>433</v>
      </c>
      <c r="H390" s="949" t="s">
        <v>693</v>
      </c>
      <c r="I390" s="950">
        <v>102276</v>
      </c>
      <c r="J390" s="951">
        <f>140833</f>
        <v>140833</v>
      </c>
      <c r="K390" s="951">
        <f>140927-J390</f>
        <v>94</v>
      </c>
      <c r="L390" s="951">
        <f t="shared" si="12"/>
        <v>140927</v>
      </c>
      <c r="M390" s="951">
        <f>146643+32428</f>
        <v>179071</v>
      </c>
    </row>
    <row r="391" spans="1:13" ht="18" customHeight="1">
      <c r="A391" s="942"/>
      <c r="B391" s="943"/>
      <c r="C391" s="943"/>
      <c r="D391" s="943" t="s">
        <v>545</v>
      </c>
      <c r="E391" s="943"/>
      <c r="F391" s="944"/>
      <c r="G391" s="945" t="s">
        <v>604</v>
      </c>
      <c r="H391" s="949" t="s">
        <v>695</v>
      </c>
      <c r="I391" s="950">
        <v>103735</v>
      </c>
      <c r="J391" s="951">
        <v>0</v>
      </c>
      <c r="K391" s="951">
        <f>142170-J391</f>
        <v>142170</v>
      </c>
      <c r="L391" s="951">
        <f t="shared" si="12"/>
        <v>142170</v>
      </c>
      <c r="M391" s="951">
        <f>146643+32428</f>
        <v>179071</v>
      </c>
    </row>
    <row r="392" spans="1:13" ht="18" customHeight="1">
      <c r="A392" s="942"/>
      <c r="B392" s="943"/>
      <c r="C392" s="943"/>
      <c r="D392" s="943" t="s">
        <v>658</v>
      </c>
      <c r="E392" s="943"/>
      <c r="F392" s="944"/>
      <c r="G392" s="945" t="s">
        <v>605</v>
      </c>
      <c r="H392" s="949" t="s">
        <v>696</v>
      </c>
      <c r="I392" s="950">
        <f>163512.96+3240.96</f>
        <v>166753.91999999998</v>
      </c>
      <c r="J392" s="951">
        <f>98182.32</f>
        <v>98182.32</v>
      </c>
      <c r="K392" s="951">
        <f>204000-J392</f>
        <v>105817.68</v>
      </c>
      <c r="L392" s="951">
        <f t="shared" si="12"/>
        <v>204000</v>
      </c>
      <c r="M392" s="951">
        <f>212000+46800</f>
        <v>258800</v>
      </c>
    </row>
    <row r="393" spans="1:13" ht="18" customHeight="1">
      <c r="A393" s="942"/>
      <c r="B393" s="943"/>
      <c r="C393" s="943"/>
      <c r="D393" s="943" t="s">
        <v>546</v>
      </c>
      <c r="E393" s="943"/>
      <c r="F393" s="944"/>
      <c r="G393" s="945" t="s">
        <v>606</v>
      </c>
      <c r="H393" s="949" t="s">
        <v>697</v>
      </c>
      <c r="I393" s="950">
        <v>4500</v>
      </c>
      <c r="J393" s="951">
        <f>3000</f>
        <v>3000</v>
      </c>
      <c r="K393" s="951">
        <f>9000-J393</f>
        <v>6000</v>
      </c>
      <c r="L393" s="951">
        <f t="shared" si="12"/>
        <v>9000</v>
      </c>
      <c r="M393" s="951">
        <f>9000+1800</f>
        <v>10800</v>
      </c>
    </row>
    <row r="394" spans="1:13" ht="18" customHeight="1">
      <c r="A394" s="942"/>
      <c r="B394" s="943"/>
      <c r="C394" s="943"/>
      <c r="D394" s="943" t="s">
        <v>547</v>
      </c>
      <c r="E394" s="943"/>
      <c r="F394" s="944"/>
      <c r="G394" s="945" t="s">
        <v>607</v>
      </c>
      <c r="H394" s="949" t="s">
        <v>698</v>
      </c>
      <c r="I394" s="950">
        <v>17805</v>
      </c>
      <c r="J394" s="951">
        <f>11010</f>
        <v>11010</v>
      </c>
      <c r="K394" s="951">
        <f>30000-J394</f>
        <v>18990</v>
      </c>
      <c r="L394" s="951">
        <f t="shared" si="12"/>
        <v>30000</v>
      </c>
      <c r="M394" s="951">
        <f>36000+7800</f>
        <v>43800</v>
      </c>
    </row>
    <row r="395" spans="1:13" ht="18" customHeight="1">
      <c r="A395" s="942"/>
      <c r="B395" s="943"/>
      <c r="C395" s="943"/>
      <c r="D395" s="943" t="s">
        <v>654</v>
      </c>
      <c r="E395" s="943"/>
      <c r="F395" s="944"/>
      <c r="G395" s="945" t="s">
        <v>608</v>
      </c>
      <c r="H395" s="949" t="s">
        <v>699</v>
      </c>
      <c r="I395" s="950">
        <v>4500</v>
      </c>
      <c r="J395" s="951">
        <f>2900</f>
        <v>2900</v>
      </c>
      <c r="K395" s="951">
        <f>6000-J395</f>
        <v>3100</v>
      </c>
      <c r="L395" s="951">
        <f t="shared" si="12"/>
        <v>6000</v>
      </c>
      <c r="M395" s="951">
        <f>6000+1200</f>
        <v>7200</v>
      </c>
    </row>
    <row r="396" spans="1:13" ht="18" customHeight="1">
      <c r="A396" s="942"/>
      <c r="B396" s="943"/>
      <c r="C396" s="943"/>
      <c r="D396" s="943" t="s">
        <v>549</v>
      </c>
      <c r="E396" s="943"/>
      <c r="F396" s="944"/>
      <c r="G396" s="945" t="s">
        <v>396</v>
      </c>
      <c r="H396" s="949" t="s">
        <v>711</v>
      </c>
      <c r="I396" s="950">
        <v>165705.74</v>
      </c>
      <c r="J396" s="951">
        <f>138422.45</f>
        <v>138422.45000000001</v>
      </c>
      <c r="K396" s="951">
        <f>138422.45-J396</f>
        <v>0</v>
      </c>
      <c r="L396" s="951">
        <f t="shared" si="12"/>
        <v>138422.45000000001</v>
      </c>
      <c r="M396" s="951">
        <v>0</v>
      </c>
    </row>
    <row r="397" spans="1:13" ht="18" customHeight="1">
      <c r="A397" s="942"/>
      <c r="B397" s="943"/>
      <c r="C397" s="943"/>
      <c r="D397" s="943" t="s">
        <v>1514</v>
      </c>
      <c r="E397" s="943"/>
      <c r="F397" s="944"/>
      <c r="G397" s="945"/>
      <c r="H397" s="949" t="s">
        <v>711</v>
      </c>
      <c r="I397" s="950">
        <v>37000</v>
      </c>
      <c r="J397" s="951">
        <v>0</v>
      </c>
      <c r="K397" s="951">
        <f>0-J397</f>
        <v>0</v>
      </c>
      <c r="L397" s="951">
        <f t="shared" si="12"/>
        <v>0</v>
      </c>
      <c r="M397" s="951">
        <v>0</v>
      </c>
    </row>
    <row r="398" spans="1:13" s="959" customFormat="1" ht="18" customHeight="1">
      <c r="A398" s="954"/>
      <c r="B398" s="955"/>
      <c r="C398" s="955"/>
      <c r="D398" s="955" t="s">
        <v>371</v>
      </c>
      <c r="E398" s="955"/>
      <c r="F398" s="956"/>
      <c r="G398" s="957"/>
      <c r="H398" s="980"/>
      <c r="I398" s="958">
        <f>SUM(I378:I397)</f>
        <v>2387256.0700000003</v>
      </c>
      <c r="J398" s="958">
        <f>SUM(J378:J397)</f>
        <v>1422904.65</v>
      </c>
      <c r="K398" s="958">
        <f>SUM(K378:K397)</f>
        <v>1341953.8</v>
      </c>
      <c r="L398" s="958">
        <f>SUM(L378:L397)</f>
        <v>2764858.45</v>
      </c>
      <c r="M398" s="958">
        <f>SUM(M378:M397)</f>
        <v>3252594</v>
      </c>
    </row>
    <row r="399" spans="1:13" ht="18" customHeight="1">
      <c r="A399" s="942"/>
      <c r="B399" s="943" t="s">
        <v>550</v>
      </c>
      <c r="C399" s="943"/>
      <c r="D399" s="943"/>
      <c r="E399" s="943"/>
      <c r="F399" s="944"/>
      <c r="G399" s="945"/>
      <c r="H399" s="977"/>
      <c r="I399" s="950"/>
      <c r="J399" s="951"/>
      <c r="K399" s="951"/>
      <c r="L399" s="951"/>
      <c r="M399" s="951"/>
    </row>
    <row r="400" spans="1:13" ht="18" customHeight="1">
      <c r="A400" s="942"/>
      <c r="B400" s="943"/>
      <c r="C400" s="943"/>
      <c r="D400" s="943" t="s">
        <v>551</v>
      </c>
      <c r="E400" s="943"/>
      <c r="F400" s="944"/>
      <c r="G400" s="945" t="s">
        <v>384</v>
      </c>
      <c r="H400" s="949" t="s">
        <v>701</v>
      </c>
      <c r="I400" s="950">
        <v>0</v>
      </c>
      <c r="J400" s="951">
        <v>0</v>
      </c>
      <c r="K400" s="951">
        <f>108000-J400</f>
        <v>108000</v>
      </c>
      <c r="L400" s="951">
        <f t="shared" ref="L400:L405" si="13">SUM(K400+J400)</f>
        <v>108000</v>
      </c>
      <c r="M400" s="951">
        <v>110000</v>
      </c>
    </row>
    <row r="401" spans="1:13" ht="18" customHeight="1">
      <c r="A401" s="942"/>
      <c r="B401" s="943"/>
      <c r="C401" s="943"/>
      <c r="D401" s="943" t="s">
        <v>429</v>
      </c>
      <c r="E401" s="943"/>
      <c r="F401" s="944"/>
      <c r="G401" s="945" t="s">
        <v>385</v>
      </c>
      <c r="H401" s="949" t="s">
        <v>702</v>
      </c>
      <c r="I401" s="950">
        <v>0</v>
      </c>
      <c r="J401" s="951">
        <v>0</v>
      </c>
      <c r="K401" s="951">
        <f>120000-J401</f>
        <v>120000</v>
      </c>
      <c r="L401" s="951">
        <f t="shared" si="13"/>
        <v>120000</v>
      </c>
      <c r="M401" s="951">
        <v>130000</v>
      </c>
    </row>
    <row r="402" spans="1:13" ht="18" customHeight="1">
      <c r="A402" s="942"/>
      <c r="B402" s="943"/>
      <c r="C402" s="943"/>
      <c r="D402" s="943" t="s">
        <v>378</v>
      </c>
      <c r="E402" s="943"/>
      <c r="F402" s="944"/>
      <c r="G402" s="945" t="s">
        <v>387</v>
      </c>
      <c r="H402" s="949" t="s">
        <v>703</v>
      </c>
      <c r="I402" s="950">
        <f>135659.31+4836</f>
        <v>140495.31</v>
      </c>
      <c r="J402" s="951">
        <f>47863.75</f>
        <v>47863.75</v>
      </c>
      <c r="K402" s="951">
        <f>194245-J402</f>
        <v>146381.25</v>
      </c>
      <c r="L402" s="951">
        <f t="shared" si="13"/>
        <v>194245</v>
      </c>
      <c r="M402" s="951">
        <v>250815</v>
      </c>
    </row>
    <row r="403" spans="1:13" ht="18" customHeight="1">
      <c r="A403" s="942"/>
      <c r="B403" s="943"/>
      <c r="C403" s="943"/>
      <c r="D403" s="943" t="s">
        <v>557</v>
      </c>
      <c r="E403" s="943"/>
      <c r="F403" s="944"/>
      <c r="G403" s="945" t="s">
        <v>388</v>
      </c>
      <c r="H403" s="949" t="s">
        <v>705</v>
      </c>
      <c r="I403" s="950">
        <v>24000</v>
      </c>
      <c r="J403" s="951">
        <f>21000</f>
        <v>21000</v>
      </c>
      <c r="K403" s="951">
        <f>42000-J403</f>
        <v>21000</v>
      </c>
      <c r="L403" s="951">
        <f t="shared" si="13"/>
        <v>42000</v>
      </c>
      <c r="M403" s="951">
        <v>48000</v>
      </c>
    </row>
    <row r="404" spans="1:13" ht="18" customHeight="1">
      <c r="A404" s="942"/>
      <c r="B404" s="943"/>
      <c r="C404" s="943"/>
      <c r="D404" s="943" t="s">
        <v>926</v>
      </c>
      <c r="E404" s="943"/>
      <c r="F404" s="944"/>
      <c r="G404" s="945" t="s">
        <v>389</v>
      </c>
      <c r="H404" s="949" t="s">
        <v>706</v>
      </c>
      <c r="I404" s="950">
        <v>32410</v>
      </c>
      <c r="J404" s="951">
        <f>26250</f>
        <v>26250</v>
      </c>
      <c r="K404" s="951">
        <f>35000-J404</f>
        <v>8750</v>
      </c>
      <c r="L404" s="951">
        <f t="shared" si="13"/>
        <v>35000</v>
      </c>
      <c r="M404" s="951">
        <v>35000</v>
      </c>
    </row>
    <row r="405" spans="1:13" ht="18" customHeight="1">
      <c r="A405" s="942"/>
      <c r="B405" s="943"/>
      <c r="C405" s="943"/>
      <c r="D405" s="943" t="s">
        <v>564</v>
      </c>
      <c r="E405" s="943"/>
      <c r="F405" s="944"/>
      <c r="G405" s="945" t="s">
        <v>390</v>
      </c>
      <c r="H405" s="949" t="s">
        <v>707</v>
      </c>
      <c r="I405" s="950">
        <v>115000</v>
      </c>
      <c r="J405" s="951">
        <v>0</v>
      </c>
      <c r="K405" s="951">
        <f>0-J405</f>
        <v>0</v>
      </c>
      <c r="L405" s="951">
        <f t="shared" si="13"/>
        <v>0</v>
      </c>
      <c r="M405" s="951">
        <v>0</v>
      </c>
    </row>
    <row r="406" spans="1:13" s="959" customFormat="1" ht="18" customHeight="1">
      <c r="A406" s="954"/>
      <c r="B406" s="955"/>
      <c r="C406" s="955"/>
      <c r="D406" s="955" t="s">
        <v>752</v>
      </c>
      <c r="E406" s="955"/>
      <c r="F406" s="956"/>
      <c r="G406" s="957"/>
      <c r="H406" s="980"/>
      <c r="I406" s="958">
        <f>SUM(I400:I405)</f>
        <v>311905.31</v>
      </c>
      <c r="J406" s="958">
        <f>SUM(J400:J405)</f>
        <v>95113.75</v>
      </c>
      <c r="K406" s="958">
        <f>SUM(K400:K405)</f>
        <v>404131.25</v>
      </c>
      <c r="L406" s="958">
        <f>SUM(L400:L405)</f>
        <v>499245</v>
      </c>
      <c r="M406" s="958">
        <f>SUM(M400:M405)</f>
        <v>573815</v>
      </c>
    </row>
    <row r="407" spans="1:13" ht="18" customHeight="1">
      <c r="A407" s="942"/>
      <c r="B407" s="943" t="s">
        <v>565</v>
      </c>
      <c r="C407" s="943"/>
      <c r="D407" s="943"/>
      <c r="E407" s="943"/>
      <c r="F407" s="944"/>
      <c r="G407" s="945"/>
      <c r="H407" s="977"/>
      <c r="I407" s="950"/>
      <c r="J407" s="951"/>
      <c r="K407" s="951"/>
      <c r="L407" s="951"/>
      <c r="M407" s="951"/>
    </row>
    <row r="408" spans="1:13" ht="18" customHeight="1">
      <c r="A408" s="942"/>
      <c r="B408" s="943"/>
      <c r="C408" s="943"/>
      <c r="D408" s="943" t="s">
        <v>686</v>
      </c>
      <c r="E408" s="943"/>
      <c r="F408" s="944"/>
      <c r="G408" s="945" t="s">
        <v>846</v>
      </c>
      <c r="H408" s="949" t="s">
        <v>847</v>
      </c>
      <c r="I408" s="950">
        <v>30846</v>
      </c>
      <c r="J408" s="951">
        <f>42500</f>
        <v>42500</v>
      </c>
      <c r="K408" s="951">
        <f>61500-J408</f>
        <v>19000</v>
      </c>
      <c r="L408" s="951">
        <f>SUM(K408+J408)</f>
        <v>61500</v>
      </c>
      <c r="M408" s="951">
        <v>80000</v>
      </c>
    </row>
    <row r="409" spans="1:13" ht="18" customHeight="1">
      <c r="A409" s="942"/>
      <c r="B409" s="943"/>
      <c r="C409" s="943"/>
      <c r="D409" s="943" t="s">
        <v>845</v>
      </c>
      <c r="E409" s="943"/>
      <c r="F409" s="944"/>
      <c r="G409" s="945" t="s">
        <v>848</v>
      </c>
      <c r="H409" s="949" t="s">
        <v>1567</v>
      </c>
      <c r="I409" s="950">
        <v>0</v>
      </c>
      <c r="J409" s="951">
        <v>0</v>
      </c>
      <c r="K409" s="951">
        <f>10000-J409</f>
        <v>10000</v>
      </c>
      <c r="L409" s="951">
        <f>SUM(K409+J409)</f>
        <v>10000</v>
      </c>
      <c r="M409" s="951">
        <v>100000</v>
      </c>
    </row>
    <row r="410" spans="1:13" ht="18" customHeight="1">
      <c r="A410" s="942"/>
      <c r="B410" s="943"/>
      <c r="C410" s="943"/>
      <c r="D410" s="943" t="s">
        <v>855</v>
      </c>
      <c r="E410" s="943"/>
      <c r="F410" s="944"/>
      <c r="G410" s="945" t="s">
        <v>914</v>
      </c>
      <c r="H410" s="949" t="s">
        <v>856</v>
      </c>
      <c r="I410" s="950">
        <v>0</v>
      </c>
      <c r="J410" s="951">
        <f>18990</f>
        <v>18990</v>
      </c>
      <c r="K410" s="951">
        <f>20000-J410</f>
        <v>1010</v>
      </c>
      <c r="L410" s="951">
        <f>SUM(K410+J410)</f>
        <v>20000</v>
      </c>
      <c r="M410" s="951">
        <v>0</v>
      </c>
    </row>
    <row r="411" spans="1:13" ht="18" customHeight="1">
      <c r="A411" s="942"/>
      <c r="B411" s="943"/>
      <c r="C411" s="943"/>
      <c r="D411" s="943" t="s">
        <v>849</v>
      </c>
      <c r="E411" s="943"/>
      <c r="F411" s="944"/>
      <c r="G411" s="945" t="s">
        <v>850</v>
      </c>
      <c r="H411" s="949" t="s">
        <v>851</v>
      </c>
      <c r="I411" s="950">
        <v>150100</v>
      </c>
      <c r="J411" s="951">
        <f>42500</f>
        <v>42500</v>
      </c>
      <c r="K411" s="951">
        <f>64000-J411</f>
        <v>21500</v>
      </c>
      <c r="L411" s="951">
        <f>SUM(K411+J411)</f>
        <v>64000</v>
      </c>
      <c r="M411" s="951">
        <v>0</v>
      </c>
    </row>
    <row r="412" spans="1:13" s="959" customFormat="1" ht="18" customHeight="1">
      <c r="A412" s="954"/>
      <c r="B412" s="955"/>
      <c r="C412" s="955"/>
      <c r="D412" s="955" t="s">
        <v>797</v>
      </c>
      <c r="E412" s="955"/>
      <c r="F412" s="956"/>
      <c r="G412" s="957"/>
      <c r="H412" s="980"/>
      <c r="I412" s="958">
        <f>SUM(I408:I411)</f>
        <v>180946</v>
      </c>
      <c r="J412" s="958">
        <f>SUM(J408:J411)</f>
        <v>103990</v>
      </c>
      <c r="K412" s="961">
        <f>SUM(K408:K411)</f>
        <v>51510</v>
      </c>
      <c r="L412" s="961">
        <f>SUM(L408:L411)</f>
        <v>155500</v>
      </c>
      <c r="M412" s="961">
        <f>SUM(M408:M411)</f>
        <v>180000</v>
      </c>
    </row>
    <row r="413" spans="1:13" s="959" customFormat="1" ht="18" customHeight="1">
      <c r="A413" s="954"/>
      <c r="B413" s="955"/>
      <c r="C413" s="955"/>
      <c r="D413" s="955"/>
      <c r="E413" s="955"/>
      <c r="F413" s="956"/>
      <c r="G413" s="957"/>
      <c r="H413" s="980"/>
      <c r="I413" s="958"/>
      <c r="J413" s="961"/>
      <c r="K413" s="961"/>
      <c r="L413" s="961"/>
      <c r="M413" s="961"/>
    </row>
    <row r="414" spans="1:13" ht="18" customHeight="1">
      <c r="A414" s="962" t="s">
        <v>625</v>
      </c>
      <c r="B414" s="963"/>
      <c r="C414" s="963"/>
      <c r="D414" s="963"/>
      <c r="E414" s="963"/>
      <c r="F414" s="964"/>
      <c r="G414" s="965"/>
      <c r="H414" s="981"/>
      <c r="I414" s="967">
        <f>SUM(I412+I406+I398)</f>
        <v>2880107.3800000004</v>
      </c>
      <c r="J414" s="967">
        <f>SUM(J412+J406+J398)</f>
        <v>1622008.4</v>
      </c>
      <c r="K414" s="967">
        <f>SUM(K412+K406+K398)</f>
        <v>1797595.05</v>
      </c>
      <c r="L414" s="967">
        <f>SUM(L412+L406+L398)</f>
        <v>3419603.45</v>
      </c>
      <c r="M414" s="967">
        <f>SUM(M412+M406+M398)</f>
        <v>4006409</v>
      </c>
    </row>
    <row r="415" spans="1:13" ht="18" customHeight="1">
      <c r="A415" s="930"/>
      <c r="B415" s="968"/>
      <c r="C415" s="930"/>
      <c r="D415" s="930"/>
      <c r="E415" s="930"/>
      <c r="F415" s="930"/>
      <c r="G415" s="930"/>
      <c r="H415" s="969"/>
      <c r="I415" s="969"/>
      <c r="J415" s="970"/>
      <c r="K415" s="970"/>
      <c r="L415" s="970"/>
      <c r="M415" s="970"/>
    </row>
    <row r="416" spans="1:13" ht="18" customHeight="1">
      <c r="A416" s="1278" t="s">
        <v>1758</v>
      </c>
      <c r="B416" s="1278"/>
      <c r="C416" s="1278"/>
      <c r="D416" s="1278"/>
      <c r="E416" s="1278"/>
      <c r="F416" s="1278"/>
      <c r="G416" s="1278"/>
      <c r="H416" s="1278"/>
      <c r="I416" s="1278"/>
      <c r="J416" s="1278"/>
      <c r="K416" s="1278"/>
      <c r="L416" s="1278"/>
      <c r="M416" s="1278"/>
    </row>
    <row r="417" spans="1:14" ht="18" customHeight="1">
      <c r="A417" s="1218"/>
      <c r="B417" s="1218"/>
      <c r="C417" s="1218"/>
      <c r="D417" s="1218"/>
      <c r="E417" s="1218"/>
      <c r="F417" s="1218"/>
      <c r="G417" s="1218"/>
      <c r="H417" s="1218"/>
      <c r="I417" s="1218"/>
      <c r="J417" s="1218"/>
      <c r="K417" s="1218"/>
      <c r="L417" s="1218"/>
      <c r="M417" s="1218"/>
    </row>
    <row r="418" spans="1:14" ht="18" customHeight="1">
      <c r="A418" s="1218"/>
      <c r="B418" s="1218"/>
      <c r="C418" s="1218"/>
      <c r="D418" s="1218"/>
      <c r="E418" s="1218"/>
      <c r="F418" s="1218"/>
      <c r="G418" s="1218"/>
      <c r="H418" s="1218"/>
      <c r="I418" s="1218"/>
      <c r="J418" s="1218"/>
      <c r="K418" s="1218"/>
      <c r="L418" s="1218"/>
      <c r="M418" s="1218"/>
    </row>
    <row r="419" spans="1:14" ht="18" customHeight="1">
      <c r="A419" s="1218"/>
      <c r="B419" s="1218"/>
      <c r="C419" s="1218"/>
      <c r="D419" s="1218"/>
      <c r="E419" s="1218"/>
      <c r="F419" s="1218"/>
      <c r="G419" s="1218"/>
      <c r="H419" s="1218"/>
      <c r="I419" s="1218"/>
      <c r="J419" s="1218"/>
      <c r="K419" s="1218"/>
      <c r="L419" s="1218"/>
      <c r="M419" s="1218"/>
    </row>
    <row r="420" spans="1:14" ht="18" customHeight="1">
      <c r="A420" s="1218"/>
      <c r="B420" s="1218"/>
      <c r="C420" s="1218"/>
      <c r="D420" s="1218"/>
      <c r="E420" s="1218"/>
      <c r="F420" s="1218"/>
      <c r="G420" s="1218"/>
      <c r="H420" s="1218"/>
      <c r="I420" s="1218"/>
      <c r="J420" s="1218"/>
      <c r="K420" s="1218"/>
      <c r="L420" s="1218"/>
      <c r="M420" s="1218"/>
    </row>
    <row r="421" spans="1:14" ht="18" customHeight="1">
      <c r="A421" s="1218"/>
      <c r="B421" s="1218"/>
      <c r="C421" s="1218"/>
      <c r="D421" s="1218"/>
      <c r="E421" s="1218"/>
      <c r="F421" s="1218"/>
      <c r="G421" s="1218"/>
      <c r="H421" s="1218"/>
      <c r="I421" s="1218"/>
      <c r="J421" s="1218"/>
      <c r="K421" s="1218"/>
      <c r="L421" s="1218"/>
      <c r="M421" s="1218"/>
    </row>
    <row r="422" spans="1:14" ht="18" customHeight="1">
      <c r="A422" s="930"/>
      <c r="B422" s="968"/>
      <c r="C422" s="930"/>
      <c r="D422" s="930"/>
      <c r="E422" s="930"/>
      <c r="F422" s="930"/>
      <c r="G422" s="930"/>
      <c r="H422" s="969"/>
      <c r="I422" s="969"/>
      <c r="J422" s="970"/>
      <c r="K422" s="970"/>
      <c r="L422" s="970"/>
      <c r="M422" s="970"/>
    </row>
    <row r="423" spans="1:14" s="987" customFormat="1" ht="20.100000000000001" customHeight="1">
      <c r="A423" s="1276" t="s">
        <v>1621</v>
      </c>
      <c r="B423" s="1276"/>
      <c r="C423" s="1276"/>
      <c r="D423" s="1276"/>
      <c r="E423" s="1276"/>
      <c r="F423" s="1276"/>
      <c r="G423" s="1276"/>
      <c r="H423" s="1276"/>
      <c r="I423" s="1276"/>
      <c r="J423" s="1276"/>
      <c r="K423" s="1276"/>
      <c r="L423" s="1276"/>
      <c r="M423" s="1276"/>
    </row>
    <row r="424" spans="1:14" s="987" customFormat="1" ht="20.100000000000001" customHeight="1">
      <c r="A424" s="1105"/>
      <c r="B424" s="1105"/>
      <c r="C424" s="1105"/>
      <c r="D424" s="1105"/>
      <c r="E424" s="1105"/>
      <c r="F424" s="1105"/>
      <c r="G424" s="1105"/>
      <c r="H424" s="1105"/>
      <c r="I424" s="1105"/>
      <c r="J424" s="1105"/>
      <c r="K424" s="1105"/>
      <c r="L424" s="1105"/>
      <c r="M424" s="1105"/>
    </row>
    <row r="425" spans="1:14" s="917" customFormat="1" ht="18" customHeight="1">
      <c r="A425" s="914"/>
      <c r="B425" s="915"/>
      <c r="C425" s="915"/>
      <c r="D425" s="915"/>
      <c r="E425" s="915"/>
      <c r="F425" s="915"/>
      <c r="G425" s="915"/>
      <c r="H425" s="915"/>
      <c r="I425" s="915"/>
      <c r="J425" s="915"/>
      <c r="K425" s="915"/>
      <c r="L425" s="915"/>
      <c r="M425" s="988"/>
    </row>
    <row r="426" spans="1:14" s="1113" customFormat="1" ht="15" customHeight="1">
      <c r="A426" s="1259" t="s">
        <v>883</v>
      </c>
      <c r="B426" s="1259"/>
      <c r="C426" s="1259"/>
      <c r="D426" s="1259"/>
      <c r="E426" s="1259"/>
      <c r="F426" s="1259"/>
      <c r="G426" s="1259"/>
      <c r="H426" s="1259"/>
      <c r="I426" s="1259"/>
      <c r="J426" s="1259"/>
      <c r="K426" s="1259"/>
      <c r="L426" s="1259"/>
      <c r="M426" s="1259"/>
      <c r="N426" s="1165"/>
    </row>
    <row r="427" spans="1:14" s="1113" customFormat="1" ht="15" customHeight="1">
      <c r="A427" s="1259" t="s">
        <v>178</v>
      </c>
      <c r="B427" s="1259"/>
      <c r="C427" s="1259"/>
      <c r="D427" s="1259"/>
      <c r="E427" s="1259"/>
      <c r="F427" s="1259"/>
      <c r="G427" s="1259"/>
      <c r="H427" s="1259"/>
      <c r="I427" s="1259"/>
      <c r="J427" s="1259"/>
      <c r="K427" s="1259"/>
      <c r="L427" s="1259"/>
      <c r="M427" s="1259"/>
      <c r="N427" s="1165"/>
    </row>
    <row r="428" spans="1:14" s="1113" customFormat="1" ht="15" customHeight="1">
      <c r="A428" s="1259" t="s">
        <v>1742</v>
      </c>
      <c r="B428" s="1259"/>
      <c r="C428" s="1259"/>
      <c r="D428" s="1259"/>
      <c r="E428" s="1259"/>
      <c r="F428" s="1259"/>
      <c r="G428" s="1259"/>
      <c r="H428" s="1259"/>
      <c r="I428" s="1259"/>
      <c r="J428" s="1259"/>
      <c r="K428" s="1259"/>
      <c r="L428" s="1259"/>
      <c r="M428" s="1259"/>
      <c r="N428" s="1165"/>
    </row>
    <row r="429" spans="1:14" s="1113" customFormat="1" ht="15" customHeight="1">
      <c r="A429" s="1259"/>
      <c r="B429" s="1259"/>
      <c r="C429" s="1259"/>
      <c r="D429" s="1259"/>
      <c r="E429" s="1259"/>
      <c r="F429" s="1259"/>
      <c r="G429" s="1259"/>
      <c r="H429" s="1259"/>
      <c r="I429" s="1259"/>
      <c r="J429" s="1259"/>
      <c r="K429" s="1259"/>
      <c r="L429" s="1259"/>
      <c r="M429" s="1259"/>
      <c r="N429" s="1165"/>
    </row>
    <row r="430" spans="1:14" s="1113" customFormat="1" ht="15" customHeight="1">
      <c r="A430" s="1145"/>
      <c r="B430" s="1145"/>
      <c r="C430" s="1145"/>
      <c r="D430" s="1145"/>
      <c r="E430" s="1145"/>
      <c r="F430" s="1145"/>
      <c r="G430" s="1145"/>
      <c r="H430" s="1145"/>
      <c r="I430" s="1145"/>
      <c r="J430" s="1145"/>
      <c r="K430" s="1145"/>
      <c r="L430" s="1145"/>
      <c r="M430" s="1145"/>
      <c r="N430" s="1165"/>
    </row>
    <row r="431" spans="1:14" s="1113" customFormat="1" ht="15" customHeight="1">
      <c r="A431" s="1145"/>
      <c r="B431" s="1145"/>
      <c r="C431" s="1145"/>
      <c r="D431" s="1145"/>
      <c r="E431" s="1145"/>
      <c r="F431" s="1145"/>
      <c r="G431" s="1145"/>
      <c r="H431" s="1145"/>
      <c r="I431" s="1145"/>
      <c r="J431" s="1145"/>
      <c r="K431" s="1145"/>
      <c r="L431" s="1145"/>
      <c r="M431" s="1145"/>
      <c r="N431" s="1165"/>
    </row>
    <row r="432" spans="1:14" s="1113" customFormat="1" ht="15" customHeight="1">
      <c r="A432" s="1232" t="s">
        <v>1743</v>
      </c>
      <c r="B432" s="1232"/>
      <c r="C432" s="1232"/>
      <c r="D432" s="1232"/>
      <c r="E432" s="1232"/>
      <c r="F432" s="1232"/>
      <c r="G432" s="1232"/>
      <c r="H432" s="1232"/>
      <c r="I432" s="1232"/>
      <c r="J432" s="1232"/>
      <c r="K432" s="1232"/>
      <c r="L432" s="1232"/>
      <c r="M432" s="1232"/>
      <c r="N432" s="1165"/>
    </row>
    <row r="433" spans="1:14" s="1113" customFormat="1" ht="18" customHeight="1">
      <c r="A433" s="1234" t="s">
        <v>1780</v>
      </c>
      <c r="B433" s="1234"/>
      <c r="C433" s="1234"/>
      <c r="D433" s="1234"/>
      <c r="E433" s="1234"/>
      <c r="F433" s="1234"/>
      <c r="G433" s="1234"/>
      <c r="H433" s="1234"/>
      <c r="I433" s="1234"/>
      <c r="J433" s="1234"/>
      <c r="K433" s="1234"/>
      <c r="L433" s="1234"/>
      <c r="M433" s="1234"/>
      <c r="N433" s="1166"/>
    </row>
    <row r="434" spans="1:14" s="1113" customFormat="1" ht="15.75">
      <c r="A434" s="1113" t="s">
        <v>1797</v>
      </c>
      <c r="G434" s="1145"/>
      <c r="I434" s="1160"/>
      <c r="L434" s="1146"/>
      <c r="M434" s="1146"/>
    </row>
    <row r="435" spans="1:14" s="1113" customFormat="1" ht="15.75">
      <c r="A435" s="1113" t="s">
        <v>1776</v>
      </c>
      <c r="G435" s="1145"/>
      <c r="I435" s="1160"/>
      <c r="L435" s="1146"/>
      <c r="M435" s="1146"/>
    </row>
    <row r="436" spans="1:14" s="1113" customFormat="1" ht="8.1" customHeight="1">
      <c r="A436" s="1161" t="s">
        <v>1774</v>
      </c>
      <c r="G436" s="1145"/>
      <c r="I436" s="1160"/>
      <c r="L436" s="1146"/>
      <c r="M436" s="1146"/>
    </row>
    <row r="437" spans="1:14" s="1113" customFormat="1" ht="15.75" customHeight="1">
      <c r="A437" s="1113" t="s">
        <v>1798</v>
      </c>
      <c r="C437" s="1280" t="s">
        <v>1799</v>
      </c>
      <c r="D437" s="1280"/>
      <c r="E437" s="1280"/>
      <c r="F437" s="1280"/>
      <c r="G437" s="1280"/>
      <c r="H437" s="1280"/>
      <c r="I437" s="1280"/>
      <c r="J437" s="1280"/>
      <c r="K437" s="1280"/>
      <c r="L437" s="1280"/>
      <c r="M437" s="1280"/>
      <c r="N437" s="1144"/>
    </row>
    <row r="438" spans="1:14" s="917" customFormat="1" ht="18" customHeight="1" thickBot="1">
      <c r="A438" s="1279"/>
      <c r="B438" s="1279"/>
      <c r="C438" s="1279"/>
      <c r="D438" s="1279"/>
      <c r="E438" s="1279"/>
      <c r="F438" s="1279"/>
      <c r="G438" s="1279"/>
      <c r="H438" s="1279"/>
      <c r="I438" s="1279"/>
      <c r="J438" s="1279"/>
      <c r="K438" s="1279"/>
      <c r="L438" s="1279"/>
      <c r="M438" s="1279"/>
    </row>
    <row r="439" spans="1:14" ht="18" customHeight="1">
      <c r="A439" s="919"/>
      <c r="B439" s="920"/>
      <c r="C439" s="920"/>
      <c r="D439" s="920"/>
      <c r="E439" s="920"/>
      <c r="F439" s="921"/>
      <c r="G439" s="922"/>
      <c r="H439" s="923"/>
      <c r="I439" s="923" t="s">
        <v>6</v>
      </c>
      <c r="J439" s="1266" t="s">
        <v>630</v>
      </c>
      <c r="K439" s="1267"/>
      <c r="L439" s="1268"/>
      <c r="M439" s="924" t="s">
        <v>7</v>
      </c>
    </row>
    <row r="440" spans="1:14" ht="18" customHeight="1">
      <c r="A440" s="1269"/>
      <c r="B440" s="1270"/>
      <c r="C440" s="1270"/>
      <c r="D440" s="1270"/>
      <c r="E440" s="1270"/>
      <c r="F440" s="1271"/>
      <c r="G440" s="1106"/>
      <c r="H440" s="925"/>
      <c r="I440" s="925">
        <v>2020</v>
      </c>
      <c r="J440" s="925" t="s">
        <v>572</v>
      </c>
      <c r="K440" s="925" t="s">
        <v>573</v>
      </c>
      <c r="L440" s="925">
        <v>2021</v>
      </c>
      <c r="M440" s="926">
        <v>2022</v>
      </c>
    </row>
    <row r="441" spans="1:14" ht="18" customHeight="1">
      <c r="A441" s="1269" t="s">
        <v>21</v>
      </c>
      <c r="B441" s="1270"/>
      <c r="C441" s="1270"/>
      <c r="D441" s="1270"/>
      <c r="E441" s="1270"/>
      <c r="F441" s="1271"/>
      <c r="G441" s="927"/>
      <c r="H441" s="928" t="s">
        <v>624</v>
      </c>
      <c r="I441" s="925" t="s">
        <v>933</v>
      </c>
      <c r="J441" s="925" t="s">
        <v>571</v>
      </c>
      <c r="K441" s="925" t="s">
        <v>574</v>
      </c>
      <c r="L441" s="925" t="s">
        <v>933</v>
      </c>
      <c r="M441" s="926" t="s">
        <v>933</v>
      </c>
    </row>
    <row r="442" spans="1:14" ht="18" customHeight="1">
      <c r="A442" s="929"/>
      <c r="B442" s="930"/>
      <c r="C442" s="930"/>
      <c r="D442" s="930"/>
      <c r="E442" s="930"/>
      <c r="F442" s="931"/>
      <c r="G442" s="927"/>
      <c r="H442" s="925"/>
      <c r="I442" s="1220" t="s">
        <v>571</v>
      </c>
      <c r="J442" s="925">
        <v>2021</v>
      </c>
      <c r="K442" s="925">
        <v>2021</v>
      </c>
      <c r="L442" s="1220" t="s">
        <v>934</v>
      </c>
      <c r="M442" s="1221" t="s">
        <v>576</v>
      </c>
    </row>
    <row r="443" spans="1:14" ht="18" customHeight="1" thickBot="1">
      <c r="A443" s="1272"/>
      <c r="B443" s="1273"/>
      <c r="C443" s="1273"/>
      <c r="D443" s="1273"/>
      <c r="E443" s="1273"/>
      <c r="F443" s="1274"/>
      <c r="G443" s="1107"/>
      <c r="H443" s="932"/>
      <c r="I443" s="932"/>
      <c r="J443" s="932"/>
      <c r="K443" s="932"/>
      <c r="L443" s="932"/>
      <c r="M443" s="933"/>
    </row>
    <row r="444" spans="1:14" ht="18" customHeight="1">
      <c r="A444" s="934"/>
      <c r="B444" s="935" t="s">
        <v>366</v>
      </c>
      <c r="C444" s="936"/>
      <c r="D444" s="935"/>
      <c r="E444" s="935"/>
      <c r="F444" s="937"/>
      <c r="G444" s="938"/>
      <c r="H444" s="974"/>
      <c r="I444" s="975"/>
      <c r="J444" s="976"/>
      <c r="K444" s="976"/>
      <c r="L444" s="976"/>
      <c r="M444" s="976"/>
    </row>
    <row r="445" spans="1:14" ht="18" customHeight="1">
      <c r="A445" s="942"/>
      <c r="B445" s="943"/>
      <c r="C445" s="943" t="s">
        <v>525</v>
      </c>
      <c r="D445" s="943"/>
      <c r="E445" s="943"/>
      <c r="F445" s="944"/>
      <c r="G445" s="945"/>
      <c r="H445" s="977"/>
      <c r="I445" s="978"/>
      <c r="J445" s="979"/>
      <c r="K445" s="979"/>
      <c r="L445" s="979"/>
      <c r="M445" s="979"/>
    </row>
    <row r="446" spans="1:14" ht="18" customHeight="1">
      <c r="A446" s="942"/>
      <c r="B446" s="943"/>
      <c r="C446" s="943"/>
      <c r="D446" s="943" t="s">
        <v>526</v>
      </c>
      <c r="E446" s="943"/>
      <c r="F446" s="944"/>
      <c r="G446" s="945" t="s">
        <v>594</v>
      </c>
      <c r="H446" s="949" t="s">
        <v>687</v>
      </c>
      <c r="I446" s="950">
        <v>2794810</v>
      </c>
      <c r="J446" s="951">
        <f>1405921.5</f>
        <v>1405921.5</v>
      </c>
      <c r="K446" s="951">
        <f>2926558-J446</f>
        <v>1520636.5</v>
      </c>
      <c r="L446" s="951">
        <f>SUM(K446+J446)</f>
        <v>2926558</v>
      </c>
      <c r="M446" s="951">
        <f>3044285+259476</f>
        <v>3303761</v>
      </c>
    </row>
    <row r="447" spans="1:14" ht="18" customHeight="1">
      <c r="A447" s="942"/>
      <c r="B447" s="943"/>
      <c r="C447" s="943" t="s">
        <v>527</v>
      </c>
      <c r="D447" s="943"/>
      <c r="E447" s="943"/>
      <c r="F447" s="944"/>
      <c r="G447" s="945"/>
      <c r="H447" s="977"/>
      <c r="I447" s="950"/>
      <c r="J447" s="951"/>
      <c r="K447" s="951"/>
      <c r="L447" s="951"/>
      <c r="M447" s="951"/>
    </row>
    <row r="448" spans="1:14" ht="18" customHeight="1">
      <c r="A448" s="942"/>
      <c r="B448" s="943"/>
      <c r="C448" s="943"/>
      <c r="D448" s="943" t="s">
        <v>528</v>
      </c>
      <c r="E448" s="943"/>
      <c r="F448" s="944"/>
      <c r="G448" s="945" t="s">
        <v>595</v>
      </c>
      <c r="H448" s="949" t="s">
        <v>688</v>
      </c>
      <c r="I448" s="950">
        <v>286000</v>
      </c>
      <c r="J448" s="951">
        <f>136000</f>
        <v>136000</v>
      </c>
      <c r="K448" s="951">
        <f>288000-J448</f>
        <v>152000</v>
      </c>
      <c r="L448" s="951">
        <f t="shared" ref="L448:L465" si="14">SUM(K448+J448)</f>
        <v>288000</v>
      </c>
      <c r="M448" s="951">
        <f>288000+24000</f>
        <v>312000</v>
      </c>
    </row>
    <row r="449" spans="1:13" ht="18" customHeight="1">
      <c r="A449" s="942"/>
      <c r="B449" s="943"/>
      <c r="C449" s="943"/>
      <c r="D449" s="943" t="s">
        <v>538</v>
      </c>
      <c r="E449" s="943"/>
      <c r="F449" s="944"/>
      <c r="G449" s="945" t="s">
        <v>596</v>
      </c>
      <c r="H449" s="949" t="s">
        <v>689</v>
      </c>
      <c r="I449" s="950">
        <v>76500</v>
      </c>
      <c r="J449" s="951">
        <f>38250</f>
        <v>38250</v>
      </c>
      <c r="K449" s="951">
        <f>76500-J449</f>
        <v>38250</v>
      </c>
      <c r="L449" s="951">
        <f t="shared" si="14"/>
        <v>76500</v>
      </c>
      <c r="M449" s="951">
        <v>76500</v>
      </c>
    </row>
    <row r="450" spans="1:13" ht="18" customHeight="1">
      <c r="A450" s="942"/>
      <c r="B450" s="943"/>
      <c r="C450" s="943"/>
      <c r="D450" s="943" t="s">
        <v>537</v>
      </c>
      <c r="E450" s="943"/>
      <c r="F450" s="944"/>
      <c r="G450" s="945" t="s">
        <v>597</v>
      </c>
      <c r="H450" s="949" t="s">
        <v>690</v>
      </c>
      <c r="I450" s="950">
        <v>76500</v>
      </c>
      <c r="J450" s="951">
        <f>38250</f>
        <v>38250</v>
      </c>
      <c r="K450" s="951">
        <f>76500-J450</f>
        <v>38250</v>
      </c>
      <c r="L450" s="951">
        <f t="shared" si="14"/>
        <v>76500</v>
      </c>
      <c r="M450" s="951">
        <v>76500</v>
      </c>
    </row>
    <row r="451" spans="1:13" ht="18" customHeight="1">
      <c r="A451" s="942"/>
      <c r="B451" s="943"/>
      <c r="C451" s="943"/>
      <c r="D451" s="943" t="s">
        <v>539</v>
      </c>
      <c r="E451" s="943"/>
      <c r="F451" s="944"/>
      <c r="G451" s="945" t="s">
        <v>598</v>
      </c>
      <c r="H451" s="949" t="s">
        <v>691</v>
      </c>
      <c r="I451" s="950">
        <v>72000</v>
      </c>
      <c r="J451" s="951">
        <f>66000</f>
        <v>66000</v>
      </c>
      <c r="K451" s="951">
        <f>72000-J451</f>
        <v>6000</v>
      </c>
      <c r="L451" s="951">
        <f t="shared" si="14"/>
        <v>72000</v>
      </c>
      <c r="M451" s="951">
        <f>72000+6000</f>
        <v>78000</v>
      </c>
    </row>
    <row r="452" spans="1:13" ht="18" customHeight="1">
      <c r="A452" s="942"/>
      <c r="B452" s="943"/>
      <c r="C452" s="943"/>
      <c r="D452" s="943" t="s">
        <v>685</v>
      </c>
      <c r="E452" s="943"/>
      <c r="F452" s="944"/>
      <c r="G452" s="945" t="s">
        <v>600</v>
      </c>
      <c r="H452" s="949" t="s">
        <v>692</v>
      </c>
      <c r="I452" s="950">
        <v>60000</v>
      </c>
      <c r="J452" s="951">
        <v>0</v>
      </c>
      <c r="K452" s="951">
        <f>60000-J452</f>
        <v>60000</v>
      </c>
      <c r="L452" s="951">
        <f t="shared" si="14"/>
        <v>60000</v>
      </c>
      <c r="M452" s="951">
        <f>60000+5000</f>
        <v>65000</v>
      </c>
    </row>
    <row r="453" spans="1:13" ht="18" customHeight="1">
      <c r="A453" s="942"/>
      <c r="B453" s="943"/>
      <c r="C453" s="943"/>
      <c r="D453" s="943" t="s">
        <v>541</v>
      </c>
      <c r="E453" s="943"/>
      <c r="F453" s="944"/>
      <c r="G453" s="945" t="s">
        <v>433</v>
      </c>
      <c r="H453" s="949" t="s">
        <v>693</v>
      </c>
      <c r="I453" s="950">
        <v>10000</v>
      </c>
      <c r="J453" s="951">
        <v>0</v>
      </c>
      <c r="K453" s="951">
        <f>5000-J453</f>
        <v>5000</v>
      </c>
      <c r="L453" s="951">
        <f t="shared" si="14"/>
        <v>5000</v>
      </c>
      <c r="M453" s="951">
        <v>5000</v>
      </c>
    </row>
    <row r="454" spans="1:13" ht="18" customHeight="1">
      <c r="A454" s="942"/>
      <c r="B454" s="943"/>
      <c r="C454" s="943"/>
      <c r="D454" s="943" t="s">
        <v>1630</v>
      </c>
      <c r="E454" s="943"/>
      <c r="F454" s="944"/>
      <c r="G454" s="945" t="s">
        <v>433</v>
      </c>
      <c r="H454" s="949" t="s">
        <v>693</v>
      </c>
      <c r="I454" s="950"/>
      <c r="J454" s="951">
        <f>33000</f>
        <v>33000</v>
      </c>
      <c r="K454" s="951">
        <f>33000-J454</f>
        <v>0</v>
      </c>
      <c r="L454" s="951">
        <f t="shared" si="14"/>
        <v>33000</v>
      </c>
      <c r="M454" s="951">
        <v>0</v>
      </c>
    </row>
    <row r="455" spans="1:13" ht="18" customHeight="1">
      <c r="A455" s="942"/>
      <c r="B455" s="943"/>
      <c r="C455" s="943"/>
      <c r="D455" s="943" t="s">
        <v>1513</v>
      </c>
      <c r="E455" s="943"/>
      <c r="F455" s="944"/>
      <c r="G455" s="945"/>
      <c r="H455" s="949" t="s">
        <v>693</v>
      </c>
      <c r="I455" s="950">
        <v>111815.4</v>
      </c>
      <c r="J455" s="951">
        <v>0</v>
      </c>
      <c r="K455" s="951">
        <v>0</v>
      </c>
      <c r="L455" s="951">
        <f t="shared" si="14"/>
        <v>0</v>
      </c>
      <c r="M455" s="951">
        <v>0</v>
      </c>
    </row>
    <row r="456" spans="1:13" ht="18" customHeight="1">
      <c r="A456" s="942"/>
      <c r="B456" s="943"/>
      <c r="C456" s="943"/>
      <c r="D456" s="943" t="s">
        <v>367</v>
      </c>
      <c r="E456" s="943"/>
      <c r="F456" s="944"/>
      <c r="G456" s="945" t="s">
        <v>602</v>
      </c>
      <c r="H456" s="949" t="s">
        <v>710</v>
      </c>
      <c r="I456" s="950">
        <f>47543.92+8094.44</f>
        <v>55638.36</v>
      </c>
      <c r="J456" s="951">
        <v>0</v>
      </c>
      <c r="K456" s="951">
        <f>80000-J456</f>
        <v>80000</v>
      </c>
      <c r="L456" s="951">
        <f t="shared" si="14"/>
        <v>80000</v>
      </c>
      <c r="M456" s="951">
        <v>100000</v>
      </c>
    </row>
    <row r="457" spans="1:13" ht="18" customHeight="1">
      <c r="A457" s="942"/>
      <c r="B457" s="943"/>
      <c r="C457" s="943"/>
      <c r="D457" s="943" t="s">
        <v>544</v>
      </c>
      <c r="E457" s="943"/>
      <c r="F457" s="944"/>
      <c r="G457" s="945" t="s">
        <v>603</v>
      </c>
      <c r="H457" s="949" t="s">
        <v>694</v>
      </c>
      <c r="I457" s="950">
        <v>60000</v>
      </c>
      <c r="J457" s="951">
        <v>0</v>
      </c>
      <c r="K457" s="951">
        <f>60000-J457</f>
        <v>60000</v>
      </c>
      <c r="L457" s="951">
        <f t="shared" si="14"/>
        <v>60000</v>
      </c>
      <c r="M457" s="951">
        <f>60000+5000</f>
        <v>65000</v>
      </c>
    </row>
    <row r="458" spans="1:13" ht="18" customHeight="1">
      <c r="A458" s="942"/>
      <c r="B458" s="943"/>
      <c r="C458" s="943"/>
      <c r="D458" s="943" t="s">
        <v>805</v>
      </c>
      <c r="E458" s="943"/>
      <c r="F458" s="943"/>
      <c r="G458" s="953" t="s">
        <v>433</v>
      </c>
      <c r="H458" s="949" t="s">
        <v>693</v>
      </c>
      <c r="I458" s="950">
        <v>222717</v>
      </c>
      <c r="J458" s="951">
        <f>242863</f>
        <v>242863</v>
      </c>
      <c r="K458" s="951">
        <f>243063-J458</f>
        <v>200</v>
      </c>
      <c r="L458" s="951">
        <f t="shared" si="14"/>
        <v>243063</v>
      </c>
      <c r="M458" s="951">
        <f>253598+21623</f>
        <v>275221</v>
      </c>
    </row>
    <row r="459" spans="1:13" ht="18" customHeight="1">
      <c r="A459" s="942"/>
      <c r="B459" s="943"/>
      <c r="C459" s="943"/>
      <c r="D459" s="943" t="s">
        <v>545</v>
      </c>
      <c r="E459" s="943"/>
      <c r="F459" s="944"/>
      <c r="G459" s="945" t="s">
        <v>604</v>
      </c>
      <c r="H459" s="949" t="s">
        <v>695</v>
      </c>
      <c r="I459" s="950">
        <v>233879</v>
      </c>
      <c r="J459" s="951">
        <v>0</v>
      </c>
      <c r="K459" s="951">
        <f>244688-J459</f>
        <v>244688</v>
      </c>
      <c r="L459" s="951">
        <f t="shared" si="14"/>
        <v>244688</v>
      </c>
      <c r="M459" s="951">
        <f>253702+21623</f>
        <v>275325</v>
      </c>
    </row>
    <row r="460" spans="1:13" ht="18" customHeight="1">
      <c r="A460" s="942"/>
      <c r="B460" s="943"/>
      <c r="C460" s="943"/>
      <c r="D460" s="943" t="s">
        <v>658</v>
      </c>
      <c r="E460" s="943"/>
      <c r="F460" s="944"/>
      <c r="G460" s="945" t="s">
        <v>605</v>
      </c>
      <c r="H460" s="949" t="s">
        <v>696</v>
      </c>
      <c r="I460" s="950">
        <f>326503.7+9724.78</f>
        <v>336228.48000000004</v>
      </c>
      <c r="J460" s="951">
        <f>165746.64</f>
        <v>165746.64000000001</v>
      </c>
      <c r="K460" s="951">
        <f>352000-J460</f>
        <v>186253.36</v>
      </c>
      <c r="L460" s="951">
        <f t="shared" si="14"/>
        <v>352000</v>
      </c>
      <c r="M460" s="951">
        <f>366000+31150</f>
        <v>397150</v>
      </c>
    </row>
    <row r="461" spans="1:13" ht="18" customHeight="1">
      <c r="A461" s="942"/>
      <c r="B461" s="943"/>
      <c r="C461" s="943"/>
      <c r="D461" s="943" t="s">
        <v>546</v>
      </c>
      <c r="E461" s="943"/>
      <c r="F461" s="944"/>
      <c r="G461" s="945" t="s">
        <v>606</v>
      </c>
      <c r="H461" s="949" t="s">
        <v>697</v>
      </c>
      <c r="I461" s="950">
        <v>14300</v>
      </c>
      <c r="J461" s="951">
        <f>6800</f>
        <v>6800</v>
      </c>
      <c r="K461" s="951">
        <f>21600-J461</f>
        <v>14800</v>
      </c>
      <c r="L461" s="951">
        <f t="shared" si="14"/>
        <v>21600</v>
      </c>
      <c r="M461" s="951">
        <f>21600+1800</f>
        <v>23400</v>
      </c>
    </row>
    <row r="462" spans="1:13" ht="18" customHeight="1">
      <c r="A462" s="942"/>
      <c r="B462" s="943"/>
      <c r="C462" s="943"/>
      <c r="D462" s="943" t="s">
        <v>547</v>
      </c>
      <c r="E462" s="943"/>
      <c r="F462" s="944"/>
      <c r="G462" s="945" t="s">
        <v>607</v>
      </c>
      <c r="H462" s="949" t="s">
        <v>698</v>
      </c>
      <c r="I462" s="950">
        <v>38700</v>
      </c>
      <c r="J462" s="951">
        <f>19290</f>
        <v>19290</v>
      </c>
      <c r="K462" s="951">
        <f>52000-J462</f>
        <v>32710</v>
      </c>
      <c r="L462" s="951">
        <f t="shared" si="14"/>
        <v>52000</v>
      </c>
      <c r="M462" s="951">
        <f>62000+5200</f>
        <v>67200</v>
      </c>
    </row>
    <row r="463" spans="1:13" ht="18" customHeight="1">
      <c r="A463" s="942"/>
      <c r="B463" s="943"/>
      <c r="C463" s="943"/>
      <c r="D463" s="943" t="s">
        <v>654</v>
      </c>
      <c r="E463" s="943"/>
      <c r="F463" s="944"/>
      <c r="G463" s="945" t="s">
        <v>608</v>
      </c>
      <c r="H463" s="949" t="s">
        <v>699</v>
      </c>
      <c r="I463" s="950">
        <v>14300</v>
      </c>
      <c r="J463" s="951">
        <f>6900</f>
        <v>6900</v>
      </c>
      <c r="K463" s="951">
        <f>14400-J463</f>
        <v>7500</v>
      </c>
      <c r="L463" s="951">
        <f t="shared" si="14"/>
        <v>14400</v>
      </c>
      <c r="M463" s="951">
        <f>14400+1200</f>
        <v>15600</v>
      </c>
    </row>
    <row r="464" spans="1:13" ht="18" customHeight="1">
      <c r="A464" s="942"/>
      <c r="B464" s="943"/>
      <c r="C464" s="943"/>
      <c r="D464" s="943" t="s">
        <v>549</v>
      </c>
      <c r="E464" s="943"/>
      <c r="F464" s="944"/>
      <c r="G464" s="945" t="s">
        <v>396</v>
      </c>
      <c r="H464" s="949" t="s">
        <v>711</v>
      </c>
      <c r="I464" s="950">
        <v>90935.38</v>
      </c>
      <c r="J464" s="951">
        <f>37718.98</f>
        <v>37718.980000000003</v>
      </c>
      <c r="K464" s="951">
        <f>37718.98-J464</f>
        <v>0</v>
      </c>
      <c r="L464" s="951">
        <f t="shared" si="14"/>
        <v>37718.980000000003</v>
      </c>
      <c r="M464" s="951">
        <v>0</v>
      </c>
    </row>
    <row r="465" spans="1:13" ht="18" customHeight="1">
      <c r="A465" s="942"/>
      <c r="B465" s="943"/>
      <c r="C465" s="943"/>
      <c r="D465" s="943" t="s">
        <v>1514</v>
      </c>
      <c r="E465" s="943"/>
      <c r="F465" s="944"/>
      <c r="G465" s="945"/>
      <c r="H465" s="949" t="s">
        <v>711</v>
      </c>
      <c r="I465" s="950">
        <v>120000</v>
      </c>
      <c r="J465" s="951">
        <v>0</v>
      </c>
      <c r="K465" s="951">
        <f>0-J465</f>
        <v>0</v>
      </c>
      <c r="L465" s="951">
        <f t="shared" si="14"/>
        <v>0</v>
      </c>
      <c r="M465" s="951">
        <v>0</v>
      </c>
    </row>
    <row r="466" spans="1:13" ht="18" customHeight="1">
      <c r="A466" s="954"/>
      <c r="B466" s="955"/>
      <c r="C466" s="955"/>
      <c r="D466" s="955" t="s">
        <v>371</v>
      </c>
      <c r="E466" s="955"/>
      <c r="F466" s="956"/>
      <c r="G466" s="957"/>
      <c r="H466" s="980"/>
      <c r="I466" s="958">
        <f>SUM(I446:I465)</f>
        <v>4674323.62</v>
      </c>
      <c r="J466" s="958">
        <f>SUM(J446:J465)</f>
        <v>2196740.12</v>
      </c>
      <c r="K466" s="958">
        <f>SUM(K446:K465)</f>
        <v>2446287.86</v>
      </c>
      <c r="L466" s="958">
        <f>SUM(L446:L465)</f>
        <v>4643027.9800000004</v>
      </c>
      <c r="M466" s="958">
        <f>SUM(M446:M465)</f>
        <v>5135657</v>
      </c>
    </row>
    <row r="467" spans="1:13" ht="18" customHeight="1">
      <c r="A467" s="942"/>
      <c r="B467" s="943" t="s">
        <v>550</v>
      </c>
      <c r="C467" s="943"/>
      <c r="D467" s="943"/>
      <c r="E467" s="943"/>
      <c r="F467" s="944"/>
      <c r="G467" s="945"/>
      <c r="H467" s="977"/>
      <c r="I467" s="950"/>
      <c r="J467" s="951"/>
      <c r="K467" s="951"/>
      <c r="L467" s="951"/>
      <c r="M467" s="951"/>
    </row>
    <row r="468" spans="1:13" ht="18" customHeight="1">
      <c r="A468" s="942"/>
      <c r="B468" s="943"/>
      <c r="C468" s="943"/>
      <c r="D468" s="943" t="s">
        <v>551</v>
      </c>
      <c r="E468" s="943"/>
      <c r="F468" s="944"/>
      <c r="G468" s="945" t="s">
        <v>384</v>
      </c>
      <c r="H468" s="949" t="s">
        <v>701</v>
      </c>
      <c r="I468" s="950">
        <f>4800+7603</f>
        <v>12403</v>
      </c>
      <c r="J468" s="951">
        <f>1350</f>
        <v>1350</v>
      </c>
      <c r="K468" s="951">
        <f>138000-J468</f>
        <v>136650</v>
      </c>
      <c r="L468" s="951">
        <f t="shared" ref="L468:L476" si="15">SUM(K468+J468)</f>
        <v>138000</v>
      </c>
      <c r="M468" s="951">
        <v>130000</v>
      </c>
    </row>
    <row r="469" spans="1:13" ht="18" customHeight="1">
      <c r="A469" s="942"/>
      <c r="B469" s="943"/>
      <c r="C469" s="943"/>
      <c r="D469" s="943" t="s">
        <v>429</v>
      </c>
      <c r="E469" s="943"/>
      <c r="F469" s="944"/>
      <c r="G469" s="945" t="s">
        <v>385</v>
      </c>
      <c r="H469" s="949" t="s">
        <v>702</v>
      </c>
      <c r="I469" s="950">
        <v>3000</v>
      </c>
      <c r="J469" s="951">
        <v>0</v>
      </c>
      <c r="K469" s="951">
        <f>110000-J469</f>
        <v>110000</v>
      </c>
      <c r="L469" s="951">
        <f t="shared" si="15"/>
        <v>110000</v>
      </c>
      <c r="M469" s="951">
        <v>100000</v>
      </c>
    </row>
    <row r="470" spans="1:13" ht="18" customHeight="1">
      <c r="A470" s="942"/>
      <c r="B470" s="943"/>
      <c r="C470" s="943"/>
      <c r="D470" s="943" t="s">
        <v>378</v>
      </c>
      <c r="E470" s="943"/>
      <c r="F470" s="944"/>
      <c r="G470" s="945" t="s">
        <v>387</v>
      </c>
      <c r="H470" s="949" t="s">
        <v>703</v>
      </c>
      <c r="I470" s="950">
        <v>193858.5</v>
      </c>
      <c r="J470" s="951">
        <f>91799</f>
        <v>91799</v>
      </c>
      <c r="K470" s="951">
        <f>220000-J470</f>
        <v>128201</v>
      </c>
      <c r="L470" s="951">
        <f t="shared" si="15"/>
        <v>220000</v>
      </c>
      <c r="M470" s="951">
        <v>230000</v>
      </c>
    </row>
    <row r="471" spans="1:13" ht="18" customHeight="1">
      <c r="A471" s="942"/>
      <c r="B471" s="943"/>
      <c r="C471" s="943"/>
      <c r="D471" s="943" t="s">
        <v>552</v>
      </c>
      <c r="E471" s="943"/>
      <c r="F471" s="944"/>
      <c r="G471" s="945" t="s">
        <v>611</v>
      </c>
      <c r="H471" s="949" t="s">
        <v>712</v>
      </c>
      <c r="I471" s="950">
        <v>193140</v>
      </c>
      <c r="J471" s="951">
        <f>161090</f>
        <v>161090</v>
      </c>
      <c r="K471" s="951">
        <f>200000-J471</f>
        <v>38910</v>
      </c>
      <c r="L471" s="951">
        <f t="shared" si="15"/>
        <v>200000</v>
      </c>
      <c r="M471" s="951">
        <v>200000</v>
      </c>
    </row>
    <row r="472" spans="1:13" ht="18" customHeight="1">
      <c r="A472" s="942"/>
      <c r="B472" s="943"/>
      <c r="C472" s="943"/>
      <c r="D472" s="943" t="s">
        <v>555</v>
      </c>
      <c r="E472" s="943"/>
      <c r="F472" s="944"/>
      <c r="G472" s="945" t="s">
        <v>613</v>
      </c>
      <c r="H472" s="949" t="s">
        <v>704</v>
      </c>
      <c r="I472" s="950">
        <v>0</v>
      </c>
      <c r="J472" s="951">
        <v>0</v>
      </c>
      <c r="K472" s="951">
        <f>5000-J472</f>
        <v>5000</v>
      </c>
      <c r="L472" s="951">
        <f t="shared" si="15"/>
        <v>5000</v>
      </c>
      <c r="M472" s="951">
        <v>5000</v>
      </c>
    </row>
    <row r="473" spans="1:13" ht="18" customHeight="1">
      <c r="A473" s="942"/>
      <c r="B473" s="943"/>
      <c r="C473" s="943"/>
      <c r="D473" s="943" t="s">
        <v>557</v>
      </c>
      <c r="E473" s="943"/>
      <c r="F473" s="944"/>
      <c r="G473" s="945" t="s">
        <v>388</v>
      </c>
      <c r="H473" s="949" t="s">
        <v>705</v>
      </c>
      <c r="I473" s="950">
        <v>24000</v>
      </c>
      <c r="J473" s="951">
        <f>18000</f>
        <v>18000</v>
      </c>
      <c r="K473" s="951">
        <f>36000-J473</f>
        <v>18000</v>
      </c>
      <c r="L473" s="951">
        <f t="shared" si="15"/>
        <v>36000</v>
      </c>
      <c r="M473" s="951">
        <f>24000+12000</f>
        <v>36000</v>
      </c>
    </row>
    <row r="474" spans="1:13" ht="18" customHeight="1">
      <c r="A474" s="942"/>
      <c r="B474" s="943"/>
      <c r="C474" s="943"/>
      <c r="D474" s="943" t="s">
        <v>926</v>
      </c>
      <c r="E474" s="943"/>
      <c r="F474" s="944"/>
      <c r="G474" s="945" t="s">
        <v>389</v>
      </c>
      <c r="H474" s="949" t="s">
        <v>706</v>
      </c>
      <c r="I474" s="950">
        <v>15999.5</v>
      </c>
      <c r="J474" s="951">
        <f>25600</f>
        <v>25600</v>
      </c>
      <c r="K474" s="951">
        <f>50000-J474</f>
        <v>24400</v>
      </c>
      <c r="L474" s="951">
        <f t="shared" si="15"/>
        <v>50000</v>
      </c>
      <c r="M474" s="951">
        <v>50000</v>
      </c>
    </row>
    <row r="475" spans="1:13" ht="18" customHeight="1">
      <c r="A475" s="942"/>
      <c r="B475" s="943"/>
      <c r="C475" s="943"/>
      <c r="D475" s="943" t="s">
        <v>563</v>
      </c>
      <c r="E475" s="943"/>
      <c r="F475" s="944"/>
      <c r="G475" s="945" t="s">
        <v>620</v>
      </c>
      <c r="H475" s="949" t="s">
        <v>720</v>
      </c>
      <c r="I475" s="950">
        <v>99697.5</v>
      </c>
      <c r="J475" s="951">
        <f>4500</f>
        <v>4500</v>
      </c>
      <c r="K475" s="951">
        <f>120000-J475</f>
        <v>115500</v>
      </c>
      <c r="L475" s="951">
        <f t="shared" si="15"/>
        <v>120000</v>
      </c>
      <c r="M475" s="951">
        <v>300000</v>
      </c>
    </row>
    <row r="476" spans="1:13" ht="18" customHeight="1">
      <c r="A476" s="942"/>
      <c r="B476" s="943"/>
      <c r="C476" s="943"/>
      <c r="D476" s="943" t="s">
        <v>564</v>
      </c>
      <c r="E476" s="943"/>
      <c r="F476" s="944"/>
      <c r="G476" s="945" t="s">
        <v>390</v>
      </c>
      <c r="H476" s="949" t="s">
        <v>707</v>
      </c>
      <c r="I476" s="950">
        <v>303600</v>
      </c>
      <c r="J476" s="951">
        <f>1500</f>
        <v>1500</v>
      </c>
      <c r="K476" s="951">
        <f>25000-J476</f>
        <v>23500</v>
      </c>
      <c r="L476" s="951">
        <f t="shared" si="15"/>
        <v>25000</v>
      </c>
      <c r="M476" s="951">
        <v>25000</v>
      </c>
    </row>
    <row r="477" spans="1:13" ht="18" customHeight="1">
      <c r="A477" s="954"/>
      <c r="B477" s="955"/>
      <c r="C477" s="955"/>
      <c r="D477" s="955" t="s">
        <v>752</v>
      </c>
      <c r="E477" s="955"/>
      <c r="F477" s="956"/>
      <c r="G477" s="957"/>
      <c r="H477" s="980"/>
      <c r="I477" s="958">
        <f>SUM(I468:I476)</f>
        <v>845698.5</v>
      </c>
      <c r="J477" s="958">
        <f>SUM(J468:J476)</f>
        <v>303839</v>
      </c>
      <c r="K477" s="958">
        <f>SUM(K468:K476)</f>
        <v>600161</v>
      </c>
      <c r="L477" s="958">
        <f>SUM(L468:L476)</f>
        <v>904000</v>
      </c>
      <c r="M477" s="958">
        <f>SUM(M468:M476)</f>
        <v>1076000</v>
      </c>
    </row>
    <row r="478" spans="1:13" ht="18" customHeight="1">
      <c r="A478" s="942"/>
      <c r="B478" s="943" t="s">
        <v>565</v>
      </c>
      <c r="C478" s="943"/>
      <c r="D478" s="943"/>
      <c r="E478" s="943"/>
      <c r="F478" s="944"/>
      <c r="G478" s="945"/>
      <c r="H478" s="977"/>
      <c r="I478" s="950"/>
      <c r="J478" s="951"/>
      <c r="K478" s="951"/>
      <c r="L478" s="951"/>
      <c r="M478" s="951"/>
    </row>
    <row r="479" spans="1:13" ht="18" customHeight="1">
      <c r="A479" s="942"/>
      <c r="B479" s="943"/>
      <c r="C479" s="943"/>
      <c r="D479" s="943" t="s">
        <v>686</v>
      </c>
      <c r="E479" s="943"/>
      <c r="F479" s="944"/>
      <c r="G479" s="945" t="s">
        <v>846</v>
      </c>
      <c r="H479" s="949" t="s">
        <v>847</v>
      </c>
      <c r="I479" s="950">
        <v>58500</v>
      </c>
      <c r="J479" s="951">
        <v>0</v>
      </c>
      <c r="K479" s="951">
        <f>10000-J479</f>
        <v>10000</v>
      </c>
      <c r="L479" s="951">
        <f>SUM(K479+J479)</f>
        <v>10000</v>
      </c>
      <c r="M479" s="951">
        <v>35000</v>
      </c>
    </row>
    <row r="480" spans="1:13" ht="18" customHeight="1">
      <c r="A480" s="942"/>
      <c r="B480" s="943"/>
      <c r="C480" s="943"/>
      <c r="D480" s="943" t="s">
        <v>845</v>
      </c>
      <c r="E480" s="943"/>
      <c r="F480" s="944"/>
      <c r="G480" s="945" t="s">
        <v>848</v>
      </c>
      <c r="H480" s="949" t="s">
        <v>1567</v>
      </c>
      <c r="I480" s="950">
        <v>34600</v>
      </c>
      <c r="J480" s="951">
        <f>97400</f>
        <v>97400</v>
      </c>
      <c r="K480" s="951">
        <f>150000-J480</f>
        <v>52600</v>
      </c>
      <c r="L480" s="951">
        <f t="shared" ref="L480:L481" si="16">SUM(K480+J480)</f>
        <v>150000</v>
      </c>
      <c r="M480" s="951">
        <v>385000</v>
      </c>
    </row>
    <row r="481" spans="1:14" ht="18" customHeight="1">
      <c r="A481" s="942"/>
      <c r="B481" s="943"/>
      <c r="C481" s="943"/>
      <c r="D481" s="943" t="s">
        <v>855</v>
      </c>
      <c r="E481" s="943"/>
      <c r="F481" s="944"/>
      <c r="G481" s="945"/>
      <c r="H481" s="949" t="s">
        <v>856</v>
      </c>
      <c r="I481" s="950">
        <v>0</v>
      </c>
      <c r="J481" s="951"/>
      <c r="K481" s="951">
        <v>0</v>
      </c>
      <c r="L481" s="951">
        <f t="shared" si="16"/>
        <v>0</v>
      </c>
      <c r="M481" s="951">
        <v>0</v>
      </c>
    </row>
    <row r="482" spans="1:14" ht="18" customHeight="1">
      <c r="A482" s="942"/>
      <c r="B482" s="943"/>
      <c r="C482" s="943"/>
      <c r="D482" s="943" t="s">
        <v>849</v>
      </c>
      <c r="E482" s="943"/>
      <c r="F482" s="944"/>
      <c r="G482" s="945" t="s">
        <v>850</v>
      </c>
      <c r="H482" s="949" t="s">
        <v>851</v>
      </c>
      <c r="I482" s="950">
        <v>15200</v>
      </c>
      <c r="J482" s="951">
        <v>0</v>
      </c>
      <c r="K482" s="951">
        <v>0</v>
      </c>
      <c r="L482" s="951">
        <f>SUM(K482+J482)</f>
        <v>0</v>
      </c>
      <c r="M482" s="951">
        <v>10000</v>
      </c>
    </row>
    <row r="483" spans="1:14" ht="18" customHeight="1">
      <c r="A483" s="954"/>
      <c r="B483" s="955"/>
      <c r="C483" s="955"/>
      <c r="D483" s="955" t="s">
        <v>797</v>
      </c>
      <c r="E483" s="955"/>
      <c r="F483" s="956"/>
      <c r="G483" s="957"/>
      <c r="H483" s="980"/>
      <c r="I483" s="958">
        <f>SUM(I479:I482)</f>
        <v>108300</v>
      </c>
      <c r="J483" s="961">
        <f>SUM(J479:J482)</f>
        <v>97400</v>
      </c>
      <c r="K483" s="961">
        <f>SUM(K479:K482)</f>
        <v>62600</v>
      </c>
      <c r="L483" s="961">
        <f>SUM(L479:L482)</f>
        <v>160000</v>
      </c>
      <c r="M483" s="961">
        <f>SUM(M479:M482)</f>
        <v>430000</v>
      </c>
    </row>
    <row r="484" spans="1:14" ht="18" customHeight="1">
      <c r="A484" s="954"/>
      <c r="B484" s="955"/>
      <c r="C484" s="955"/>
      <c r="D484" s="955"/>
      <c r="E484" s="955"/>
      <c r="F484" s="956"/>
      <c r="G484" s="957"/>
      <c r="H484" s="980"/>
      <c r="I484" s="958"/>
      <c r="J484" s="961"/>
      <c r="K484" s="961"/>
      <c r="L484" s="961"/>
      <c r="M484" s="961"/>
    </row>
    <row r="485" spans="1:14" ht="18" customHeight="1">
      <c r="A485" s="962" t="s">
        <v>625</v>
      </c>
      <c r="B485" s="963"/>
      <c r="C485" s="963"/>
      <c r="D485" s="963"/>
      <c r="E485" s="963"/>
      <c r="F485" s="964"/>
      <c r="G485" s="965"/>
      <c r="H485" s="981"/>
      <c r="I485" s="967">
        <f>SUM(I483+I477+I466)</f>
        <v>5628322.1200000001</v>
      </c>
      <c r="J485" s="967">
        <f>SUM(J483+J477+J466)</f>
        <v>2597979.12</v>
      </c>
      <c r="K485" s="967">
        <f>SUM(K483+K477+K466)</f>
        <v>3109048.86</v>
      </c>
      <c r="L485" s="967">
        <f>SUM(L483+L477+L466)</f>
        <v>5707027.9800000004</v>
      </c>
      <c r="M485" s="967">
        <f>SUM(M483+M477+M466)</f>
        <v>6641657</v>
      </c>
    </row>
    <row r="486" spans="1:14" ht="18" customHeight="1">
      <c r="A486" s="930"/>
      <c r="B486" s="968"/>
      <c r="C486" s="930"/>
      <c r="D486" s="930"/>
      <c r="E486" s="930"/>
      <c r="F486" s="930"/>
      <c r="G486" s="930"/>
      <c r="H486" s="969"/>
      <c r="I486" s="969"/>
      <c r="J486" s="970"/>
      <c r="K486" s="970"/>
      <c r="L486" s="970"/>
      <c r="M486" s="970"/>
    </row>
    <row r="487" spans="1:14" s="917" customFormat="1" ht="18" customHeight="1">
      <c r="A487" s="1278" t="s">
        <v>1758</v>
      </c>
      <c r="B487" s="1278"/>
      <c r="C487" s="1278"/>
      <c r="D487" s="1278"/>
      <c r="E487" s="1278"/>
      <c r="F487" s="1278"/>
      <c r="G487" s="1278"/>
      <c r="H487" s="1278"/>
      <c r="I487" s="1278"/>
      <c r="J487" s="1278"/>
      <c r="K487" s="1278"/>
      <c r="L487" s="1278"/>
      <c r="M487" s="1278"/>
    </row>
    <row r="488" spans="1:14" s="917" customFormat="1" ht="18" customHeight="1">
      <c r="A488" s="915"/>
      <c r="B488" s="914"/>
      <c r="C488" s="915"/>
      <c r="D488" s="915"/>
      <c r="E488" s="915"/>
      <c r="F488" s="915"/>
      <c r="G488" s="972"/>
      <c r="H488" s="969"/>
      <c r="I488" s="969"/>
      <c r="K488" s="973"/>
      <c r="L488" s="973"/>
      <c r="M488" s="970"/>
    </row>
    <row r="489" spans="1:14" s="917" customFormat="1" ht="18" customHeight="1">
      <c r="A489" s="915"/>
      <c r="B489" s="914"/>
      <c r="C489" s="915"/>
      <c r="D489" s="915"/>
      <c r="E489" s="915"/>
      <c r="F489" s="915"/>
      <c r="G489" s="972"/>
      <c r="H489" s="969"/>
      <c r="I489" s="969"/>
      <c r="K489" s="973"/>
      <c r="L489" s="973"/>
      <c r="M489" s="970"/>
    </row>
    <row r="490" spans="1:14" s="917" customFormat="1" ht="18" customHeight="1">
      <c r="A490" s="915"/>
      <c r="B490" s="914"/>
      <c r="C490" s="915"/>
      <c r="D490" s="915"/>
      <c r="E490" s="915"/>
      <c r="F490" s="915"/>
      <c r="G490" s="972"/>
      <c r="H490" s="969"/>
      <c r="I490" s="969"/>
      <c r="K490" s="973"/>
      <c r="L490" s="973"/>
      <c r="M490" s="970"/>
    </row>
    <row r="491" spans="1:14" s="987" customFormat="1" ht="20.100000000000001" customHeight="1">
      <c r="A491" s="1276" t="s">
        <v>1622</v>
      </c>
      <c r="B491" s="1276"/>
      <c r="C491" s="1276"/>
      <c r="D491" s="1276"/>
      <c r="E491" s="1276"/>
      <c r="F491" s="1276"/>
      <c r="G491" s="1276"/>
      <c r="H491" s="1276"/>
      <c r="I491" s="1276"/>
      <c r="J491" s="1276"/>
      <c r="K491" s="1276"/>
      <c r="L491" s="1276"/>
      <c r="M491" s="1276"/>
    </row>
    <row r="492" spans="1:14" s="917" customFormat="1" ht="18" customHeight="1">
      <c r="A492" s="914"/>
      <c r="B492" s="915"/>
      <c r="C492" s="915"/>
      <c r="D492" s="915"/>
      <c r="E492" s="915"/>
      <c r="F492" s="915"/>
      <c r="G492" s="915"/>
      <c r="H492" s="915"/>
      <c r="I492" s="915"/>
      <c r="J492" s="915"/>
      <c r="K492" s="915"/>
      <c r="L492" s="915"/>
      <c r="M492" s="916"/>
    </row>
    <row r="493" spans="1:14" s="1113" customFormat="1" ht="15" customHeight="1">
      <c r="A493" s="1259" t="s">
        <v>883</v>
      </c>
      <c r="B493" s="1259"/>
      <c r="C493" s="1259"/>
      <c r="D493" s="1259"/>
      <c r="E493" s="1259"/>
      <c r="F493" s="1259"/>
      <c r="G493" s="1259"/>
      <c r="H493" s="1259"/>
      <c r="I493" s="1259"/>
      <c r="J493" s="1259"/>
      <c r="K493" s="1259"/>
      <c r="L493" s="1259"/>
      <c r="M493" s="1259"/>
      <c r="N493" s="1165"/>
    </row>
    <row r="494" spans="1:14" s="1113" customFormat="1" ht="15" customHeight="1">
      <c r="A494" s="1259" t="s">
        <v>178</v>
      </c>
      <c r="B494" s="1259"/>
      <c r="C494" s="1259"/>
      <c r="D494" s="1259"/>
      <c r="E494" s="1259"/>
      <c r="F494" s="1259"/>
      <c r="G494" s="1259"/>
      <c r="H494" s="1259"/>
      <c r="I494" s="1259"/>
      <c r="J494" s="1259"/>
      <c r="K494" s="1259"/>
      <c r="L494" s="1259"/>
      <c r="M494" s="1259"/>
      <c r="N494" s="1165"/>
    </row>
    <row r="495" spans="1:14" s="1113" customFormat="1" ht="15" customHeight="1">
      <c r="A495" s="1259" t="s">
        <v>1742</v>
      </c>
      <c r="B495" s="1259"/>
      <c r="C495" s="1259"/>
      <c r="D495" s="1259"/>
      <c r="E495" s="1259"/>
      <c r="F495" s="1259"/>
      <c r="G495" s="1259"/>
      <c r="H495" s="1259"/>
      <c r="I495" s="1259"/>
      <c r="J495" s="1259"/>
      <c r="K495" s="1259"/>
      <c r="L495" s="1259"/>
      <c r="M495" s="1259"/>
      <c r="N495" s="1165"/>
    </row>
    <row r="496" spans="1:14" s="1113" customFormat="1" ht="15" customHeight="1">
      <c r="A496" s="1259"/>
      <c r="B496" s="1259"/>
      <c r="C496" s="1259"/>
      <c r="D496" s="1259"/>
      <c r="E496" s="1259"/>
      <c r="F496" s="1259"/>
      <c r="G496" s="1259"/>
      <c r="H496" s="1259"/>
      <c r="I496" s="1259"/>
      <c r="J496" s="1259"/>
      <c r="K496" s="1259"/>
      <c r="L496" s="1259"/>
      <c r="M496" s="1259"/>
      <c r="N496" s="1165"/>
    </row>
    <row r="497" spans="1:14" s="1113" customFormat="1" ht="15" customHeight="1">
      <c r="A497" s="1145"/>
      <c r="B497" s="1145"/>
      <c r="C497" s="1145"/>
      <c r="D497" s="1145"/>
      <c r="E497" s="1145"/>
      <c r="F497" s="1145"/>
      <c r="G497" s="1145"/>
      <c r="H497" s="1145"/>
      <c r="I497" s="1145"/>
      <c r="J497" s="1145"/>
      <c r="K497" s="1145"/>
      <c r="L497" s="1145"/>
      <c r="M497" s="1145"/>
      <c r="N497" s="1165"/>
    </row>
    <row r="498" spans="1:14" s="1113" customFormat="1" ht="15" customHeight="1">
      <c r="A498" s="1145"/>
      <c r="B498" s="1145"/>
      <c r="C498" s="1145"/>
      <c r="D498" s="1145"/>
      <c r="E498" s="1145"/>
      <c r="F498" s="1145"/>
      <c r="G498" s="1145"/>
      <c r="H498" s="1145"/>
      <c r="I498" s="1145"/>
      <c r="J498" s="1145"/>
      <c r="K498" s="1145"/>
      <c r="L498" s="1145"/>
      <c r="M498" s="1145"/>
      <c r="N498" s="1165"/>
    </row>
    <row r="499" spans="1:14" s="1113" customFormat="1" ht="15" customHeight="1">
      <c r="A499" s="1145"/>
      <c r="B499" s="1145"/>
      <c r="C499" s="1145"/>
      <c r="D499" s="1145"/>
      <c r="E499" s="1145"/>
      <c r="F499" s="1145"/>
      <c r="G499" s="1145"/>
      <c r="H499" s="1145"/>
      <c r="I499" s="1145"/>
      <c r="J499" s="1145"/>
      <c r="K499" s="1145"/>
      <c r="L499" s="1145"/>
      <c r="M499" s="1145"/>
      <c r="N499" s="1165"/>
    </row>
    <row r="500" spans="1:14" s="1113" customFormat="1" ht="18" customHeight="1">
      <c r="A500" s="1232" t="s">
        <v>1743</v>
      </c>
      <c r="B500" s="1232"/>
      <c r="C500" s="1232"/>
      <c r="D500" s="1232"/>
      <c r="E500" s="1232"/>
      <c r="F500" s="1232"/>
      <c r="G500" s="1232"/>
      <c r="H500" s="1232"/>
      <c r="I500" s="1232"/>
      <c r="J500" s="1232"/>
      <c r="K500" s="1232"/>
      <c r="L500" s="1232"/>
      <c r="M500" s="1232"/>
      <c r="N500" s="1166"/>
    </row>
    <row r="501" spans="1:14" s="1113" customFormat="1">
      <c r="A501" s="1234" t="s">
        <v>1780</v>
      </c>
      <c r="B501" s="1234"/>
      <c r="C501" s="1234"/>
      <c r="D501" s="1234"/>
      <c r="E501" s="1234"/>
      <c r="F501" s="1234"/>
      <c r="G501" s="1234"/>
      <c r="H501" s="1234"/>
      <c r="I501" s="1234"/>
      <c r="J501" s="1234"/>
      <c r="K501" s="1234"/>
      <c r="L501" s="1234"/>
      <c r="M501" s="1234"/>
      <c r="N501" s="1167"/>
    </row>
    <row r="502" spans="1:14" s="1113" customFormat="1" ht="15.75">
      <c r="A502" s="1113" t="s">
        <v>1800</v>
      </c>
      <c r="G502" s="1145"/>
      <c r="I502" s="1160"/>
      <c r="L502" s="1146"/>
      <c r="M502" s="1146"/>
    </row>
    <row r="503" spans="1:14" s="1113" customFormat="1" ht="15.75">
      <c r="A503" s="1113" t="s">
        <v>1776</v>
      </c>
      <c r="G503" s="1145"/>
      <c r="I503" s="1160"/>
      <c r="L503" s="1146"/>
      <c r="M503" s="1146"/>
    </row>
    <row r="504" spans="1:14" s="1113" customFormat="1" ht="8.1" customHeight="1">
      <c r="A504" s="1161" t="s">
        <v>1774</v>
      </c>
      <c r="G504" s="1145"/>
      <c r="I504" s="1160"/>
      <c r="L504" s="1146"/>
      <c r="M504" s="1146"/>
    </row>
    <row r="505" spans="1:14" s="1113" customFormat="1" ht="15.75" customHeight="1">
      <c r="A505" s="1113" t="s">
        <v>1801</v>
      </c>
      <c r="C505" s="1280" t="s">
        <v>1802</v>
      </c>
      <c r="D505" s="1280"/>
      <c r="E505" s="1280"/>
      <c r="F505" s="1280"/>
      <c r="G505" s="1280"/>
      <c r="H505" s="1280"/>
      <c r="I505" s="1280"/>
      <c r="J505" s="1280"/>
      <c r="K505" s="1280"/>
      <c r="L505" s="1280"/>
      <c r="M505" s="1280"/>
      <c r="N505" s="1144"/>
    </row>
    <row r="506" spans="1:14" ht="18" customHeight="1" thickBot="1">
      <c r="A506" s="1281"/>
      <c r="B506" s="1281"/>
      <c r="C506" s="1281"/>
      <c r="D506" s="1281"/>
      <c r="E506" s="1281"/>
      <c r="F506" s="1281"/>
      <c r="G506" s="1281"/>
      <c r="H506" s="1281"/>
      <c r="I506" s="1281"/>
      <c r="J506" s="1281"/>
      <c r="K506" s="1281"/>
      <c r="L506" s="1281"/>
      <c r="M506" s="1281"/>
    </row>
    <row r="507" spans="1:14" ht="18" customHeight="1">
      <c r="A507" s="919"/>
      <c r="B507" s="920"/>
      <c r="C507" s="920"/>
      <c r="D507" s="920"/>
      <c r="E507" s="920"/>
      <c r="F507" s="921"/>
      <c r="G507" s="922"/>
      <c r="H507" s="923"/>
      <c r="I507" s="923" t="s">
        <v>6</v>
      </c>
      <c r="J507" s="1266" t="s">
        <v>630</v>
      </c>
      <c r="K507" s="1267"/>
      <c r="L507" s="1268"/>
      <c r="M507" s="924" t="s">
        <v>7</v>
      </c>
    </row>
    <row r="508" spans="1:14" ht="18" customHeight="1">
      <c r="A508" s="1269"/>
      <c r="B508" s="1270"/>
      <c r="C508" s="1270"/>
      <c r="D508" s="1270"/>
      <c r="E508" s="1270"/>
      <c r="F508" s="1271"/>
      <c r="G508" s="1106"/>
      <c r="H508" s="925"/>
      <c r="I508" s="925">
        <v>2020</v>
      </c>
      <c r="J508" s="925" t="s">
        <v>572</v>
      </c>
      <c r="K508" s="925" t="s">
        <v>573</v>
      </c>
      <c r="L508" s="925">
        <v>2021</v>
      </c>
      <c r="M508" s="926">
        <v>2022</v>
      </c>
    </row>
    <row r="509" spans="1:14" ht="18" customHeight="1">
      <c r="A509" s="1269" t="s">
        <v>21</v>
      </c>
      <c r="B509" s="1270"/>
      <c r="C509" s="1270"/>
      <c r="D509" s="1270"/>
      <c r="E509" s="1270"/>
      <c r="F509" s="1271"/>
      <c r="G509" s="927"/>
      <c r="H509" s="928" t="s">
        <v>624</v>
      </c>
      <c r="I509" s="925" t="s">
        <v>933</v>
      </c>
      <c r="J509" s="925" t="s">
        <v>571</v>
      </c>
      <c r="K509" s="925" t="s">
        <v>574</v>
      </c>
      <c r="L509" s="925" t="s">
        <v>933</v>
      </c>
      <c r="M509" s="926" t="s">
        <v>933</v>
      </c>
    </row>
    <row r="510" spans="1:14" ht="18" customHeight="1">
      <c r="A510" s="929"/>
      <c r="B510" s="930"/>
      <c r="C510" s="930"/>
      <c r="D510" s="930"/>
      <c r="E510" s="930"/>
      <c r="F510" s="931"/>
      <c r="G510" s="927"/>
      <c r="H510" s="925"/>
      <c r="I510" s="1220" t="s">
        <v>571</v>
      </c>
      <c r="J510" s="925">
        <v>2021</v>
      </c>
      <c r="K510" s="925">
        <v>2021</v>
      </c>
      <c r="L510" s="1220" t="s">
        <v>934</v>
      </c>
      <c r="M510" s="1221" t="s">
        <v>576</v>
      </c>
    </row>
    <row r="511" spans="1:14" ht="18" customHeight="1" thickBot="1">
      <c r="A511" s="1272"/>
      <c r="B511" s="1273"/>
      <c r="C511" s="1273"/>
      <c r="D511" s="1273"/>
      <c r="E511" s="1273"/>
      <c r="F511" s="1274"/>
      <c r="G511" s="1107"/>
      <c r="H511" s="932"/>
      <c r="I511" s="932"/>
      <c r="J511" s="932"/>
      <c r="K511" s="932"/>
      <c r="L511" s="932"/>
      <c r="M511" s="933"/>
    </row>
    <row r="512" spans="1:14" ht="18" customHeight="1">
      <c r="A512" s="934"/>
      <c r="B512" s="935" t="s">
        <v>366</v>
      </c>
      <c r="C512" s="936"/>
      <c r="D512" s="935"/>
      <c r="E512" s="935"/>
      <c r="F512" s="937"/>
      <c r="G512" s="938"/>
      <c r="H512" s="974"/>
      <c r="I512" s="975"/>
      <c r="J512" s="976"/>
      <c r="K512" s="976"/>
      <c r="L512" s="976"/>
      <c r="M512" s="976"/>
    </row>
    <row r="513" spans="1:13" ht="18" customHeight="1">
      <c r="A513" s="942"/>
      <c r="B513" s="943"/>
      <c r="C513" s="943" t="s">
        <v>525</v>
      </c>
      <c r="D513" s="943"/>
      <c r="E513" s="943"/>
      <c r="F513" s="944"/>
      <c r="G513" s="945"/>
      <c r="H513" s="977"/>
      <c r="I513" s="978"/>
      <c r="J513" s="979"/>
      <c r="K513" s="979"/>
      <c r="L513" s="979"/>
      <c r="M513" s="979"/>
    </row>
    <row r="514" spans="1:13" ht="18" customHeight="1">
      <c r="A514" s="942"/>
      <c r="B514" s="943"/>
      <c r="C514" s="943"/>
      <c r="D514" s="943" t="s">
        <v>526</v>
      </c>
      <c r="E514" s="943"/>
      <c r="F514" s="944"/>
      <c r="G514" s="945" t="s">
        <v>594</v>
      </c>
      <c r="H514" s="949" t="s">
        <v>687</v>
      </c>
      <c r="I514" s="950">
        <v>1686485.82</v>
      </c>
      <c r="J514" s="951">
        <f>905124</f>
        <v>905124</v>
      </c>
      <c r="K514" s="951">
        <f>1814037-J514</f>
        <v>908913</v>
      </c>
      <c r="L514" s="951">
        <f>SUM(K514+J514)</f>
        <v>1814037</v>
      </c>
      <c r="M514" s="951">
        <v>1886924</v>
      </c>
    </row>
    <row r="515" spans="1:13" ht="18" customHeight="1">
      <c r="A515" s="942"/>
      <c r="B515" s="943"/>
      <c r="C515" s="943" t="s">
        <v>527</v>
      </c>
      <c r="D515" s="943"/>
      <c r="E515" s="943"/>
      <c r="F515" s="944"/>
      <c r="G515" s="945"/>
      <c r="H515" s="977"/>
      <c r="I515" s="950"/>
      <c r="J515" s="951"/>
      <c r="K515" s="951"/>
      <c r="L515" s="951"/>
      <c r="M515" s="951"/>
    </row>
    <row r="516" spans="1:13" ht="18" customHeight="1">
      <c r="A516" s="942"/>
      <c r="B516" s="943"/>
      <c r="C516" s="943"/>
      <c r="D516" s="943" t="s">
        <v>528</v>
      </c>
      <c r="E516" s="943"/>
      <c r="F516" s="944"/>
      <c r="G516" s="945" t="s">
        <v>595</v>
      </c>
      <c r="H516" s="949" t="s">
        <v>688</v>
      </c>
      <c r="I516" s="950">
        <v>119363.63</v>
      </c>
      <c r="J516" s="951">
        <f>72000</f>
        <v>72000</v>
      </c>
      <c r="K516" s="951">
        <f>144000-J516</f>
        <v>72000</v>
      </c>
      <c r="L516" s="951">
        <f t="shared" ref="L516:L532" si="17">SUM(K516+J516)</f>
        <v>144000</v>
      </c>
      <c r="M516" s="951">
        <v>144000</v>
      </c>
    </row>
    <row r="517" spans="1:13" ht="18" customHeight="1">
      <c r="A517" s="942"/>
      <c r="B517" s="943"/>
      <c r="C517" s="943"/>
      <c r="D517" s="943" t="s">
        <v>538</v>
      </c>
      <c r="E517" s="943"/>
      <c r="F517" s="944"/>
      <c r="G517" s="945" t="s">
        <v>596</v>
      </c>
      <c r="H517" s="949" t="s">
        <v>689</v>
      </c>
      <c r="I517" s="950">
        <v>76500</v>
      </c>
      <c r="J517" s="951">
        <v>38250</v>
      </c>
      <c r="K517" s="951">
        <f>76500-J517</f>
        <v>38250</v>
      </c>
      <c r="L517" s="951">
        <f t="shared" si="17"/>
        <v>76500</v>
      </c>
      <c r="M517" s="951">
        <v>76500</v>
      </c>
    </row>
    <row r="518" spans="1:13" ht="18" customHeight="1">
      <c r="A518" s="942"/>
      <c r="B518" s="943"/>
      <c r="C518" s="943"/>
      <c r="D518" s="943" t="s">
        <v>537</v>
      </c>
      <c r="E518" s="943"/>
      <c r="F518" s="944"/>
      <c r="G518" s="945" t="s">
        <v>597</v>
      </c>
      <c r="H518" s="949" t="s">
        <v>690</v>
      </c>
      <c r="I518" s="950">
        <v>76500</v>
      </c>
      <c r="J518" s="951">
        <v>38250</v>
      </c>
      <c r="K518" s="951">
        <f>76500-J518</f>
        <v>38250</v>
      </c>
      <c r="L518" s="951">
        <f t="shared" si="17"/>
        <v>76500</v>
      </c>
      <c r="M518" s="951">
        <v>76500</v>
      </c>
    </row>
    <row r="519" spans="1:13" ht="18" customHeight="1">
      <c r="A519" s="942"/>
      <c r="B519" s="943"/>
      <c r="C519" s="943"/>
      <c r="D519" s="943" t="s">
        <v>539</v>
      </c>
      <c r="E519" s="943"/>
      <c r="F519" s="944"/>
      <c r="G519" s="945" t="s">
        <v>598</v>
      </c>
      <c r="H519" s="949" t="s">
        <v>691</v>
      </c>
      <c r="I519" s="950">
        <v>30000</v>
      </c>
      <c r="J519" s="951">
        <v>36000</v>
      </c>
      <c r="K519" s="951">
        <f>36000-J519</f>
        <v>0</v>
      </c>
      <c r="L519" s="951">
        <f t="shared" si="17"/>
        <v>36000</v>
      </c>
      <c r="M519" s="951">
        <v>36000</v>
      </c>
    </row>
    <row r="520" spans="1:13" ht="18" customHeight="1">
      <c r="A520" s="942"/>
      <c r="B520" s="943"/>
      <c r="C520" s="943"/>
      <c r="D520" s="943" t="s">
        <v>685</v>
      </c>
      <c r="E520" s="943"/>
      <c r="F520" s="944"/>
      <c r="G520" s="945" t="s">
        <v>600</v>
      </c>
      <c r="H520" s="949" t="s">
        <v>692</v>
      </c>
      <c r="I520" s="950">
        <v>30000</v>
      </c>
      <c r="J520" s="951">
        <v>0</v>
      </c>
      <c r="K520" s="951">
        <f>30000-J520</f>
        <v>30000</v>
      </c>
      <c r="L520" s="951">
        <f t="shared" si="17"/>
        <v>30000</v>
      </c>
      <c r="M520" s="951">
        <v>30000</v>
      </c>
    </row>
    <row r="521" spans="1:13" ht="18" customHeight="1">
      <c r="A521" s="942"/>
      <c r="B521" s="943"/>
      <c r="C521" s="943"/>
      <c r="D521" s="943" t="s">
        <v>541</v>
      </c>
      <c r="E521" s="943"/>
      <c r="F521" s="944"/>
      <c r="G521" s="945" t="s">
        <v>433</v>
      </c>
      <c r="H521" s="949" t="s">
        <v>693</v>
      </c>
      <c r="I521" s="950">
        <v>5000</v>
      </c>
      <c r="J521" s="951">
        <v>0</v>
      </c>
      <c r="K521" s="951">
        <v>0</v>
      </c>
      <c r="L521" s="951">
        <f t="shared" si="17"/>
        <v>0</v>
      </c>
      <c r="M521" s="951">
        <v>5000</v>
      </c>
    </row>
    <row r="522" spans="1:13" ht="18" customHeight="1">
      <c r="A522" s="942"/>
      <c r="B522" s="943"/>
      <c r="C522" s="943"/>
      <c r="D522" s="943" t="s">
        <v>1630</v>
      </c>
      <c r="E522" s="943"/>
      <c r="F522" s="944"/>
      <c r="G522" s="945" t="s">
        <v>433</v>
      </c>
      <c r="H522" s="949" t="s">
        <v>693</v>
      </c>
      <c r="I522" s="950"/>
      <c r="J522" s="951">
        <v>15000</v>
      </c>
      <c r="K522" s="951">
        <f>15000-J522</f>
        <v>0</v>
      </c>
      <c r="L522" s="951">
        <f t="shared" si="17"/>
        <v>15000</v>
      </c>
      <c r="M522" s="951">
        <v>0</v>
      </c>
    </row>
    <row r="523" spans="1:13" ht="18" customHeight="1">
      <c r="A523" s="942"/>
      <c r="B523" s="943"/>
      <c r="C523" s="943"/>
      <c r="D523" s="943" t="s">
        <v>1513</v>
      </c>
      <c r="E523" s="943"/>
      <c r="F523" s="944"/>
      <c r="G523" s="945"/>
      <c r="H523" s="949" t="s">
        <v>693</v>
      </c>
      <c r="I523" s="950">
        <v>64095</v>
      </c>
      <c r="J523" s="951">
        <v>0</v>
      </c>
      <c r="K523" s="951">
        <v>0</v>
      </c>
      <c r="L523" s="951">
        <f t="shared" si="17"/>
        <v>0</v>
      </c>
      <c r="M523" s="951">
        <v>0</v>
      </c>
    </row>
    <row r="524" spans="1:13" ht="18" customHeight="1">
      <c r="A524" s="942"/>
      <c r="B524" s="943"/>
      <c r="C524" s="943"/>
      <c r="D524" s="943" t="s">
        <v>544</v>
      </c>
      <c r="E524" s="943"/>
      <c r="F524" s="944"/>
      <c r="G524" s="945" t="s">
        <v>603</v>
      </c>
      <c r="H524" s="949" t="s">
        <v>694</v>
      </c>
      <c r="I524" s="950">
        <v>27000</v>
      </c>
      <c r="J524" s="951">
        <v>0</v>
      </c>
      <c r="K524" s="951">
        <f>30000-J524</f>
        <v>30000</v>
      </c>
      <c r="L524" s="951">
        <f t="shared" si="17"/>
        <v>30000</v>
      </c>
      <c r="M524" s="951">
        <v>30000</v>
      </c>
    </row>
    <row r="525" spans="1:13" ht="18" customHeight="1">
      <c r="A525" s="942"/>
      <c r="B525" s="943"/>
      <c r="C525" s="943"/>
      <c r="D525" s="943" t="s">
        <v>805</v>
      </c>
      <c r="E525" s="943"/>
      <c r="F525" s="943"/>
      <c r="G525" s="953" t="s">
        <v>433</v>
      </c>
      <c r="H525" s="949" t="s">
        <v>693</v>
      </c>
      <c r="I525" s="950">
        <v>134098</v>
      </c>
      <c r="J525" s="951">
        <v>150854</v>
      </c>
      <c r="K525" s="951">
        <f>150854-J525</f>
        <v>0</v>
      </c>
      <c r="L525" s="951">
        <f t="shared" si="17"/>
        <v>150854</v>
      </c>
      <c r="M525" s="951">
        <v>157163</v>
      </c>
    </row>
    <row r="526" spans="1:13" ht="18" customHeight="1">
      <c r="A526" s="942"/>
      <c r="B526" s="943"/>
      <c r="C526" s="943"/>
      <c r="D526" s="943" t="s">
        <v>545</v>
      </c>
      <c r="E526" s="943"/>
      <c r="F526" s="944"/>
      <c r="G526" s="945" t="s">
        <v>604</v>
      </c>
      <c r="H526" s="949" t="s">
        <v>695</v>
      </c>
      <c r="I526" s="950">
        <v>134098</v>
      </c>
      <c r="J526" s="951">
        <v>0</v>
      </c>
      <c r="K526" s="951">
        <f>152117-J526</f>
        <v>152117</v>
      </c>
      <c r="L526" s="951">
        <f t="shared" si="17"/>
        <v>152117</v>
      </c>
      <c r="M526" s="951">
        <v>157405</v>
      </c>
    </row>
    <row r="527" spans="1:13" ht="18" customHeight="1">
      <c r="A527" s="942"/>
      <c r="B527" s="943"/>
      <c r="C527" s="943"/>
      <c r="D527" s="943" t="s">
        <v>658</v>
      </c>
      <c r="E527" s="943"/>
      <c r="F527" s="944"/>
      <c r="G527" s="945" t="s">
        <v>605</v>
      </c>
      <c r="H527" s="949" t="s">
        <v>696</v>
      </c>
      <c r="I527" s="950">
        <f>188235.84+9290.76</f>
        <v>197526.6</v>
      </c>
      <c r="J527" s="951">
        <v>106315.2</v>
      </c>
      <c r="K527" s="951">
        <f>219000-J527</f>
        <v>112684.8</v>
      </c>
      <c r="L527" s="951">
        <f t="shared" si="17"/>
        <v>219000</v>
      </c>
      <c r="M527" s="951">
        <v>227000</v>
      </c>
    </row>
    <row r="528" spans="1:13" ht="18" customHeight="1">
      <c r="A528" s="942"/>
      <c r="B528" s="943"/>
      <c r="C528" s="943"/>
      <c r="D528" s="943" t="s">
        <v>546</v>
      </c>
      <c r="E528" s="943"/>
      <c r="F528" s="944"/>
      <c r="G528" s="945" t="s">
        <v>606</v>
      </c>
      <c r="H528" s="949" t="s">
        <v>697</v>
      </c>
      <c r="I528" s="950">
        <v>6500</v>
      </c>
      <c r="J528" s="951">
        <v>3600</v>
      </c>
      <c r="K528" s="951">
        <f>10800-J528</f>
        <v>7200</v>
      </c>
      <c r="L528" s="951">
        <f t="shared" si="17"/>
        <v>10800</v>
      </c>
      <c r="M528" s="951">
        <v>10800</v>
      </c>
    </row>
    <row r="529" spans="1:13" ht="18" customHeight="1">
      <c r="A529" s="942"/>
      <c r="B529" s="943"/>
      <c r="C529" s="943"/>
      <c r="D529" s="943" t="s">
        <v>547</v>
      </c>
      <c r="E529" s="943"/>
      <c r="F529" s="944"/>
      <c r="G529" s="945" t="s">
        <v>607</v>
      </c>
      <c r="H529" s="949" t="s">
        <v>698</v>
      </c>
      <c r="I529" s="950">
        <v>21600</v>
      </c>
      <c r="J529" s="951">
        <v>11730</v>
      </c>
      <c r="K529" s="951">
        <f>32000-J529</f>
        <v>20270</v>
      </c>
      <c r="L529" s="951">
        <f t="shared" si="17"/>
        <v>32000</v>
      </c>
      <c r="M529" s="951">
        <v>39000</v>
      </c>
    </row>
    <row r="530" spans="1:13" ht="18" customHeight="1">
      <c r="A530" s="942"/>
      <c r="B530" s="943"/>
      <c r="C530" s="943"/>
      <c r="D530" s="943" t="s">
        <v>654</v>
      </c>
      <c r="E530" s="943"/>
      <c r="F530" s="944"/>
      <c r="G530" s="945" t="s">
        <v>608</v>
      </c>
      <c r="H530" s="949" t="s">
        <v>699</v>
      </c>
      <c r="I530" s="950">
        <v>6500</v>
      </c>
      <c r="J530" s="951">
        <v>3600</v>
      </c>
      <c r="K530" s="951">
        <f>7200-J530</f>
        <v>3600</v>
      </c>
      <c r="L530" s="951">
        <f t="shared" si="17"/>
        <v>7200</v>
      </c>
      <c r="M530" s="951">
        <v>7200</v>
      </c>
    </row>
    <row r="531" spans="1:13" ht="18" customHeight="1">
      <c r="A531" s="942"/>
      <c r="B531" s="943"/>
      <c r="C531" s="943"/>
      <c r="D531" s="943" t="s">
        <v>549</v>
      </c>
      <c r="E531" s="943"/>
      <c r="F531" s="944"/>
      <c r="G531" s="945" t="s">
        <v>396</v>
      </c>
      <c r="H531" s="949" t="s">
        <v>711</v>
      </c>
      <c r="I531" s="950">
        <v>78134.77</v>
      </c>
      <c r="J531" s="951">
        <v>24505.02</v>
      </c>
      <c r="K531" s="951">
        <f>24505.02-J531</f>
        <v>0</v>
      </c>
      <c r="L531" s="951">
        <f t="shared" si="17"/>
        <v>24505.02</v>
      </c>
      <c r="M531" s="951">
        <v>0</v>
      </c>
    </row>
    <row r="532" spans="1:13" ht="18" customHeight="1">
      <c r="A532" s="942"/>
      <c r="B532" s="943"/>
      <c r="C532" s="943"/>
      <c r="D532" s="943" t="s">
        <v>1514</v>
      </c>
      <c r="E532" s="943"/>
      <c r="F532" s="944"/>
      <c r="G532" s="945"/>
      <c r="H532" s="949" t="s">
        <v>711</v>
      </c>
      <c r="I532" s="950">
        <v>60000</v>
      </c>
      <c r="J532" s="951">
        <v>0</v>
      </c>
      <c r="K532" s="951">
        <f>0-J532</f>
        <v>0</v>
      </c>
      <c r="L532" s="951">
        <f t="shared" si="17"/>
        <v>0</v>
      </c>
      <c r="M532" s="951">
        <v>0</v>
      </c>
    </row>
    <row r="533" spans="1:13" ht="18" customHeight="1">
      <c r="A533" s="954"/>
      <c r="B533" s="955"/>
      <c r="C533" s="955"/>
      <c r="D533" s="955" t="s">
        <v>371</v>
      </c>
      <c r="E533" s="955"/>
      <c r="F533" s="956"/>
      <c r="G533" s="957"/>
      <c r="H533" s="980"/>
      <c r="I533" s="958">
        <f>SUM(I514:I532)</f>
        <v>2753401.8200000003</v>
      </c>
      <c r="J533" s="958">
        <f>SUM(J514:J532)</f>
        <v>1405228.22</v>
      </c>
      <c r="K533" s="958">
        <f>SUM(K514:K532)</f>
        <v>1413284.8</v>
      </c>
      <c r="L533" s="958">
        <f>SUM(L514:L532)</f>
        <v>2818513.02</v>
      </c>
      <c r="M533" s="958">
        <f>SUM(M514:M532)</f>
        <v>2883492</v>
      </c>
    </row>
    <row r="534" spans="1:13" ht="18" customHeight="1">
      <c r="A534" s="942"/>
      <c r="B534" s="943" t="s">
        <v>550</v>
      </c>
      <c r="C534" s="943"/>
      <c r="D534" s="943"/>
      <c r="E534" s="943"/>
      <c r="F534" s="944"/>
      <c r="G534" s="945"/>
      <c r="H534" s="977"/>
      <c r="I534" s="950"/>
      <c r="J534" s="951"/>
      <c r="K534" s="951"/>
      <c r="L534" s="951"/>
      <c r="M534" s="951"/>
    </row>
    <row r="535" spans="1:13" ht="18" customHeight="1">
      <c r="A535" s="942"/>
      <c r="B535" s="943"/>
      <c r="C535" s="943"/>
      <c r="D535" s="943" t="s">
        <v>551</v>
      </c>
      <c r="E535" s="943"/>
      <c r="F535" s="944"/>
      <c r="G535" s="945" t="s">
        <v>384</v>
      </c>
      <c r="H535" s="949" t="s">
        <v>701</v>
      </c>
      <c r="I535" s="950">
        <v>29134</v>
      </c>
      <c r="J535" s="951">
        <f>13850</f>
        <v>13850</v>
      </c>
      <c r="K535" s="951">
        <f>138000-J535</f>
        <v>124150</v>
      </c>
      <c r="L535" s="951">
        <f t="shared" ref="L535:L541" si="18">SUM(K535+J535)</f>
        <v>138000</v>
      </c>
      <c r="M535" s="951">
        <v>140000</v>
      </c>
    </row>
    <row r="536" spans="1:13" ht="18" customHeight="1">
      <c r="A536" s="942"/>
      <c r="B536" s="943"/>
      <c r="C536" s="943"/>
      <c r="D536" s="943" t="s">
        <v>429</v>
      </c>
      <c r="E536" s="943"/>
      <c r="F536" s="944"/>
      <c r="G536" s="945" t="s">
        <v>385</v>
      </c>
      <c r="H536" s="949" t="s">
        <v>702</v>
      </c>
      <c r="I536" s="950">
        <v>0</v>
      </c>
      <c r="J536" s="951">
        <v>0</v>
      </c>
      <c r="K536" s="951">
        <f>100000-J536</f>
        <v>100000</v>
      </c>
      <c r="L536" s="951">
        <f t="shared" si="18"/>
        <v>100000</v>
      </c>
      <c r="M536" s="951">
        <v>100000</v>
      </c>
    </row>
    <row r="537" spans="1:13" ht="18" customHeight="1">
      <c r="A537" s="942"/>
      <c r="B537" s="943"/>
      <c r="C537" s="943"/>
      <c r="D537" s="943" t="s">
        <v>378</v>
      </c>
      <c r="E537" s="943"/>
      <c r="F537" s="944"/>
      <c r="G537" s="945" t="s">
        <v>387</v>
      </c>
      <c r="H537" s="949" t="s">
        <v>703</v>
      </c>
      <c r="I537" s="950">
        <f>87821.5+9540</f>
        <v>97361.5</v>
      </c>
      <c r="J537" s="951">
        <f>29665.15</f>
        <v>29665.15</v>
      </c>
      <c r="K537" s="951">
        <f>110000-J537</f>
        <v>80334.850000000006</v>
      </c>
      <c r="L537" s="951">
        <f t="shared" si="18"/>
        <v>110000</v>
      </c>
      <c r="M537" s="951">
        <v>120000</v>
      </c>
    </row>
    <row r="538" spans="1:13" ht="18" customHeight="1">
      <c r="A538" s="942"/>
      <c r="B538" s="943"/>
      <c r="C538" s="943"/>
      <c r="D538" s="943" t="s">
        <v>555</v>
      </c>
      <c r="E538" s="943"/>
      <c r="F538" s="944"/>
      <c r="G538" s="945" t="s">
        <v>613</v>
      </c>
      <c r="H538" s="949" t="s">
        <v>704</v>
      </c>
      <c r="I538" s="950">
        <v>0</v>
      </c>
      <c r="J538" s="951">
        <v>0</v>
      </c>
      <c r="K538" s="951">
        <f>500-J538</f>
        <v>500</v>
      </c>
      <c r="L538" s="951">
        <f t="shared" si="18"/>
        <v>500</v>
      </c>
      <c r="M538" s="951">
        <v>500</v>
      </c>
    </row>
    <row r="539" spans="1:13" ht="18" customHeight="1">
      <c r="A539" s="942"/>
      <c r="B539" s="943"/>
      <c r="C539" s="943"/>
      <c r="D539" s="943" t="s">
        <v>557</v>
      </c>
      <c r="E539" s="943"/>
      <c r="F539" s="944"/>
      <c r="G539" s="945" t="s">
        <v>388</v>
      </c>
      <c r="H539" s="949" t="s">
        <v>705</v>
      </c>
      <c r="I539" s="950">
        <v>24000</v>
      </c>
      <c r="J539" s="951">
        <v>18000</v>
      </c>
      <c r="K539" s="951">
        <f>36000-J539</f>
        <v>18000</v>
      </c>
      <c r="L539" s="951">
        <f t="shared" si="18"/>
        <v>36000</v>
      </c>
      <c r="M539" s="951">
        <v>36000</v>
      </c>
    </row>
    <row r="540" spans="1:13" ht="18" customHeight="1">
      <c r="A540" s="942"/>
      <c r="B540" s="943"/>
      <c r="C540" s="943"/>
      <c r="D540" s="943" t="s">
        <v>926</v>
      </c>
      <c r="E540" s="943"/>
      <c r="F540" s="944"/>
      <c r="G540" s="945" t="s">
        <v>389</v>
      </c>
      <c r="H540" s="949" t="s">
        <v>706</v>
      </c>
      <c r="I540" s="950">
        <f>6774.8+11800</f>
        <v>18574.8</v>
      </c>
      <c r="J540" s="951">
        <v>1500</v>
      </c>
      <c r="K540" s="951">
        <f>25000-J540</f>
        <v>23500</v>
      </c>
      <c r="L540" s="951">
        <f t="shared" si="18"/>
        <v>25000</v>
      </c>
      <c r="M540" s="951">
        <v>25000</v>
      </c>
    </row>
    <row r="541" spans="1:13" ht="18" customHeight="1">
      <c r="A541" s="942"/>
      <c r="B541" s="943"/>
      <c r="C541" s="943"/>
      <c r="D541" s="943" t="s">
        <v>564</v>
      </c>
      <c r="E541" s="943"/>
      <c r="F541" s="944"/>
      <c r="G541" s="945" t="s">
        <v>390</v>
      </c>
      <c r="H541" s="949" t="s">
        <v>707</v>
      </c>
      <c r="I541" s="950">
        <v>150000</v>
      </c>
      <c r="J541" s="951">
        <v>0</v>
      </c>
      <c r="K541" s="951">
        <f>22000-J541</f>
        <v>22000</v>
      </c>
      <c r="L541" s="951">
        <f t="shared" si="18"/>
        <v>22000</v>
      </c>
      <c r="M541" s="951">
        <v>22000</v>
      </c>
    </row>
    <row r="542" spans="1:13" ht="18" customHeight="1">
      <c r="A542" s="954"/>
      <c r="B542" s="955"/>
      <c r="C542" s="955"/>
      <c r="D542" s="955" t="s">
        <v>752</v>
      </c>
      <c r="E542" s="955"/>
      <c r="F542" s="956"/>
      <c r="G542" s="957"/>
      <c r="H542" s="980"/>
      <c r="I542" s="958">
        <f>SUM(I535:I541)</f>
        <v>319070.3</v>
      </c>
      <c r="J542" s="958">
        <f>SUM(J535:J541)</f>
        <v>63015.15</v>
      </c>
      <c r="K542" s="958">
        <f>SUM(K535:K541)</f>
        <v>368484.85</v>
      </c>
      <c r="L542" s="958">
        <f>SUM(L535:L541)</f>
        <v>431500</v>
      </c>
      <c r="M542" s="958">
        <f>SUM(M535:M541)</f>
        <v>443500</v>
      </c>
    </row>
    <row r="543" spans="1:13" ht="18" customHeight="1">
      <c r="A543" s="942"/>
      <c r="B543" s="943" t="s">
        <v>565</v>
      </c>
      <c r="C543" s="943"/>
      <c r="D543" s="943"/>
      <c r="E543" s="943"/>
      <c r="F543" s="944"/>
      <c r="G543" s="945"/>
      <c r="H543" s="977"/>
      <c r="I543" s="950"/>
      <c r="J543" s="951"/>
      <c r="K543" s="951"/>
      <c r="L543" s="951"/>
      <c r="M543" s="951"/>
    </row>
    <row r="544" spans="1:13" ht="18" customHeight="1">
      <c r="A544" s="942"/>
      <c r="B544" s="943"/>
      <c r="C544" s="943"/>
      <c r="D544" s="943" t="s">
        <v>686</v>
      </c>
      <c r="E544" s="943"/>
      <c r="F544" s="944"/>
      <c r="G544" s="945" t="s">
        <v>846</v>
      </c>
      <c r="H544" s="949" t="s">
        <v>847</v>
      </c>
      <c r="I544" s="950">
        <v>0</v>
      </c>
      <c r="J544" s="951">
        <v>0</v>
      </c>
      <c r="K544" s="951">
        <f>40000-J544</f>
        <v>40000</v>
      </c>
      <c r="L544" s="951">
        <f>K544+J544</f>
        <v>40000</v>
      </c>
      <c r="M544" s="951">
        <v>25000</v>
      </c>
    </row>
    <row r="545" spans="1:13" ht="18" customHeight="1">
      <c r="A545" s="942"/>
      <c r="B545" s="943"/>
      <c r="C545" s="943"/>
      <c r="D545" s="943" t="s">
        <v>845</v>
      </c>
      <c r="E545" s="943"/>
      <c r="F545" s="944"/>
      <c r="G545" s="945" t="s">
        <v>848</v>
      </c>
      <c r="H545" s="949" t="s">
        <v>1567</v>
      </c>
      <c r="I545" s="950">
        <v>41600</v>
      </c>
      <c r="J545" s="951">
        <v>0</v>
      </c>
      <c r="K545" s="951">
        <f>60000-J545</f>
        <v>60000</v>
      </c>
      <c r="L545" s="951">
        <f>K545+J545</f>
        <v>60000</v>
      </c>
      <c r="M545" s="951">
        <v>40000</v>
      </c>
    </row>
    <row r="546" spans="1:13" ht="18" customHeight="1">
      <c r="A546" s="942"/>
      <c r="B546" s="943"/>
      <c r="C546" s="943"/>
      <c r="D546" s="943" t="s">
        <v>855</v>
      </c>
      <c r="E546" s="943"/>
      <c r="F546" s="944"/>
      <c r="G546" s="945"/>
      <c r="H546" s="949" t="s">
        <v>856</v>
      </c>
      <c r="I546" s="950">
        <v>0</v>
      </c>
      <c r="J546" s="951">
        <f>19999</f>
        <v>19999</v>
      </c>
      <c r="K546" s="951">
        <f>20000-J546</f>
        <v>1</v>
      </c>
      <c r="L546" s="951">
        <f>K546+J546</f>
        <v>20000</v>
      </c>
      <c r="M546" s="951">
        <v>0</v>
      </c>
    </row>
    <row r="547" spans="1:13" ht="18" customHeight="1">
      <c r="A547" s="942"/>
      <c r="B547" s="943"/>
      <c r="C547" s="943"/>
      <c r="D547" s="943" t="s">
        <v>849</v>
      </c>
      <c r="E547" s="943"/>
      <c r="F547" s="944"/>
      <c r="G547" s="945" t="s">
        <v>850</v>
      </c>
      <c r="H547" s="949" t="s">
        <v>851</v>
      </c>
      <c r="I547" s="950">
        <v>0</v>
      </c>
      <c r="J547" s="951">
        <v>0</v>
      </c>
      <c r="K547" s="951">
        <f>15000-J547</f>
        <v>15000</v>
      </c>
      <c r="L547" s="951">
        <f>K547+J547</f>
        <v>15000</v>
      </c>
      <c r="M547" s="951">
        <v>0</v>
      </c>
    </row>
    <row r="548" spans="1:13" ht="18" customHeight="1">
      <c r="A548" s="954"/>
      <c r="B548" s="955"/>
      <c r="C548" s="955"/>
      <c r="D548" s="955" t="s">
        <v>797</v>
      </c>
      <c r="E548" s="955"/>
      <c r="F548" s="956"/>
      <c r="G548" s="957"/>
      <c r="H548" s="980"/>
      <c r="I548" s="958">
        <f>SUM(I544:I547)</f>
        <v>41600</v>
      </c>
      <c r="J548" s="958">
        <f>SUM(J544:J547)</f>
        <v>19999</v>
      </c>
      <c r="K548" s="958">
        <f>SUM(K544:K547)</f>
        <v>115001</v>
      </c>
      <c r="L548" s="958">
        <f>SUM(L544:L547)</f>
        <v>135000</v>
      </c>
      <c r="M548" s="958">
        <f>SUM(M544:M547)</f>
        <v>65000</v>
      </c>
    </row>
    <row r="549" spans="1:13" ht="18" customHeight="1">
      <c r="A549" s="954"/>
      <c r="B549" s="955"/>
      <c r="C549" s="955"/>
      <c r="D549" s="955"/>
      <c r="E549" s="955"/>
      <c r="F549" s="956"/>
      <c r="G549" s="957"/>
      <c r="H549" s="980"/>
      <c r="I549" s="958"/>
      <c r="J549" s="961"/>
      <c r="K549" s="961"/>
      <c r="L549" s="961"/>
      <c r="M549" s="961"/>
    </row>
    <row r="550" spans="1:13" ht="18" customHeight="1">
      <c r="A550" s="962" t="s">
        <v>625</v>
      </c>
      <c r="B550" s="963"/>
      <c r="C550" s="963"/>
      <c r="D550" s="963"/>
      <c r="E550" s="963"/>
      <c r="F550" s="964"/>
      <c r="G550" s="965"/>
      <c r="H550" s="981"/>
      <c r="I550" s="967">
        <f>SUM(I548+I542+I533)</f>
        <v>3114072.12</v>
      </c>
      <c r="J550" s="967">
        <f>SUM(J548+J542+J533)</f>
        <v>1488242.3699999999</v>
      </c>
      <c r="K550" s="967">
        <f>SUM(K548+K542+K533)</f>
        <v>1896770.65</v>
      </c>
      <c r="L550" s="967">
        <f>SUM(L548+L542+L533)</f>
        <v>3385013.02</v>
      </c>
      <c r="M550" s="967">
        <f>SUM(M548+M542+M533)</f>
        <v>3391992</v>
      </c>
    </row>
    <row r="551" spans="1:13" ht="18" customHeight="1">
      <c r="A551" s="930"/>
      <c r="B551" s="968"/>
      <c r="C551" s="930"/>
      <c r="D551" s="930"/>
      <c r="E551" s="930"/>
      <c r="F551" s="930"/>
      <c r="G551" s="930"/>
      <c r="H551" s="969"/>
      <c r="I551" s="969"/>
      <c r="J551" s="970"/>
      <c r="K551" s="970"/>
      <c r="L551" s="970"/>
      <c r="M551" s="970"/>
    </row>
    <row r="552" spans="1:13" ht="18" customHeight="1">
      <c r="A552" s="1278" t="s">
        <v>1758</v>
      </c>
      <c r="B552" s="1278"/>
      <c r="C552" s="1278"/>
      <c r="D552" s="1278"/>
      <c r="E552" s="1278"/>
      <c r="F552" s="1278"/>
      <c r="G552" s="1278"/>
      <c r="H552" s="1278"/>
      <c r="I552" s="1278"/>
      <c r="J552" s="1278"/>
      <c r="K552" s="1278"/>
      <c r="L552" s="1278"/>
      <c r="M552" s="1278"/>
    </row>
    <row r="553" spans="1:13" s="917" customFormat="1" ht="18" customHeight="1">
      <c r="A553" s="915"/>
      <c r="B553" s="914"/>
      <c r="C553" s="915"/>
      <c r="D553" s="915"/>
      <c r="E553" s="915"/>
      <c r="F553" s="915"/>
      <c r="G553" s="972"/>
      <c r="H553" s="969"/>
      <c r="I553" s="969"/>
      <c r="K553" s="973"/>
      <c r="L553" s="973"/>
      <c r="M553" s="970"/>
    </row>
    <row r="554" spans="1:13" s="917" customFormat="1" ht="18" customHeight="1">
      <c r="A554" s="915"/>
      <c r="B554" s="914"/>
      <c r="C554" s="915"/>
      <c r="D554" s="915"/>
      <c r="E554" s="915"/>
      <c r="F554" s="915"/>
      <c r="G554" s="972"/>
      <c r="H554" s="969"/>
      <c r="I554" s="969"/>
      <c r="K554" s="973"/>
      <c r="L554" s="973"/>
      <c r="M554" s="970"/>
    </row>
    <row r="555" spans="1:13" s="917" customFormat="1" ht="18" customHeight="1">
      <c r="A555" s="915"/>
      <c r="B555" s="914"/>
      <c r="C555" s="915"/>
      <c r="D555" s="915"/>
      <c r="E555" s="915"/>
      <c r="F555" s="915"/>
      <c r="G555" s="972"/>
      <c r="H555" s="969"/>
      <c r="I555" s="969"/>
      <c r="K555" s="973"/>
      <c r="L555" s="973"/>
      <c r="M555" s="970"/>
    </row>
    <row r="556" spans="1:13" s="917" customFormat="1" ht="18" customHeight="1">
      <c r="A556" s="915"/>
      <c r="B556" s="914"/>
      <c r="C556" s="915"/>
      <c r="D556" s="915"/>
      <c r="E556" s="915"/>
      <c r="F556" s="915"/>
      <c r="G556" s="972"/>
      <c r="H556" s="969"/>
      <c r="I556" s="969"/>
      <c r="K556" s="973"/>
      <c r="L556" s="973"/>
      <c r="M556" s="970"/>
    </row>
    <row r="557" spans="1:13" s="917" customFormat="1" ht="18" customHeight="1">
      <c r="A557" s="915"/>
      <c r="B557" s="914"/>
      <c r="C557" s="915"/>
      <c r="D557" s="915"/>
      <c r="E557" s="915"/>
      <c r="F557" s="915"/>
      <c r="G557" s="972"/>
      <c r="H557" s="969"/>
      <c r="I557" s="969"/>
      <c r="K557" s="973"/>
      <c r="L557" s="973"/>
      <c r="M557" s="970"/>
    </row>
    <row r="558" spans="1:13" s="917" customFormat="1" ht="18" customHeight="1">
      <c r="A558" s="915"/>
      <c r="B558" s="914"/>
      <c r="C558" s="915"/>
      <c r="D558" s="915"/>
      <c r="E558" s="915"/>
      <c r="F558" s="915"/>
      <c r="G558" s="972"/>
      <c r="H558" s="969"/>
      <c r="I558" s="969"/>
      <c r="K558" s="973"/>
      <c r="L558" s="973"/>
      <c r="M558" s="970"/>
    </row>
    <row r="559" spans="1:13" s="917" customFormat="1" ht="20.100000000000001" customHeight="1">
      <c r="A559" s="1276" t="s">
        <v>1623</v>
      </c>
      <c r="B559" s="1276"/>
      <c r="C559" s="1276"/>
      <c r="D559" s="1276"/>
      <c r="E559" s="1276"/>
      <c r="F559" s="1276"/>
      <c r="G559" s="1276"/>
      <c r="H559" s="1276"/>
      <c r="I559" s="1276"/>
      <c r="J559" s="1276"/>
      <c r="K559" s="1276"/>
      <c r="L559" s="1276"/>
      <c r="M559" s="1276"/>
    </row>
    <row r="560" spans="1:13" s="917" customFormat="1" ht="20.100000000000001" customHeight="1">
      <c r="A560" s="1105"/>
      <c r="B560" s="1105"/>
      <c r="C560" s="1105"/>
      <c r="D560" s="1105"/>
      <c r="E560" s="1105"/>
      <c r="F560" s="1105"/>
      <c r="G560" s="1105"/>
      <c r="H560" s="1105"/>
      <c r="I560" s="1105"/>
      <c r="J560" s="1105"/>
      <c r="K560" s="1105"/>
      <c r="L560" s="1105"/>
      <c r="M560" s="1105"/>
    </row>
    <row r="561" spans="1:14" s="786" customFormat="1" ht="15" customHeight="1">
      <c r="A561" s="1259" t="s">
        <v>883</v>
      </c>
      <c r="B561" s="1259"/>
      <c r="C561" s="1259"/>
      <c r="D561" s="1259"/>
      <c r="E561" s="1259"/>
      <c r="F561" s="1259"/>
      <c r="G561" s="1259"/>
      <c r="H561" s="1259"/>
      <c r="I561" s="1259"/>
      <c r="J561" s="1259"/>
      <c r="K561" s="1259"/>
      <c r="L561" s="1259"/>
      <c r="M561" s="1259"/>
    </row>
    <row r="562" spans="1:14" s="786" customFormat="1" ht="15" customHeight="1">
      <c r="A562" s="1259" t="s">
        <v>178</v>
      </c>
      <c r="B562" s="1259"/>
      <c r="C562" s="1259"/>
      <c r="D562" s="1259"/>
      <c r="E562" s="1259"/>
      <c r="F562" s="1259"/>
      <c r="G562" s="1259"/>
      <c r="H562" s="1259"/>
      <c r="I562" s="1259"/>
      <c r="J562" s="1259"/>
      <c r="K562" s="1259"/>
      <c r="L562" s="1259"/>
      <c r="M562" s="1259"/>
    </row>
    <row r="563" spans="1:14" s="786" customFormat="1" ht="15" customHeight="1">
      <c r="A563" s="1259" t="s">
        <v>1742</v>
      </c>
      <c r="B563" s="1259"/>
      <c r="C563" s="1259"/>
      <c r="D563" s="1259"/>
      <c r="E563" s="1259"/>
      <c r="F563" s="1259"/>
      <c r="G563" s="1259"/>
      <c r="H563" s="1259"/>
      <c r="I563" s="1259"/>
      <c r="J563" s="1259"/>
      <c r="K563" s="1259"/>
      <c r="L563" s="1259"/>
      <c r="M563" s="1259"/>
    </row>
    <row r="564" spans="1:14" s="786" customFormat="1" ht="15" customHeight="1">
      <c r="A564" s="1259"/>
      <c r="B564" s="1259"/>
      <c r="C564" s="1259"/>
      <c r="D564" s="1259"/>
      <c r="E564" s="1259"/>
      <c r="F564" s="1259"/>
      <c r="G564" s="1259"/>
      <c r="H564" s="1259"/>
      <c r="I564" s="1259"/>
      <c r="J564" s="1259"/>
      <c r="K564" s="1259"/>
      <c r="L564" s="1259"/>
      <c r="M564" s="1259"/>
    </row>
    <row r="565" spans="1:14" s="786" customFormat="1" ht="15" customHeight="1">
      <c r="A565" s="1145"/>
      <c r="B565" s="1145"/>
      <c r="C565" s="1145"/>
      <c r="D565" s="1145"/>
      <c r="E565" s="1145"/>
      <c r="F565" s="1145"/>
      <c r="G565" s="1145"/>
      <c r="H565" s="1145"/>
      <c r="I565" s="1145"/>
      <c r="J565" s="1145"/>
      <c r="K565" s="1145"/>
      <c r="L565" s="1145"/>
      <c r="M565" s="1145"/>
    </row>
    <row r="566" spans="1:14" s="786" customFormat="1" ht="15" customHeight="1">
      <c r="A566" s="1145"/>
      <c r="B566" s="1145"/>
      <c r="C566" s="1145"/>
      <c r="D566" s="1145"/>
      <c r="E566" s="1145"/>
      <c r="F566" s="1145"/>
      <c r="G566" s="1145"/>
      <c r="H566" s="1145"/>
      <c r="I566" s="1145"/>
      <c r="J566" s="1145"/>
      <c r="K566" s="1145"/>
      <c r="L566" s="1145"/>
      <c r="M566" s="1145"/>
    </row>
    <row r="567" spans="1:14" s="786" customFormat="1" ht="15" customHeight="1">
      <c r="A567" s="1145"/>
      <c r="B567" s="1145"/>
      <c r="C567" s="1145"/>
      <c r="D567" s="1145"/>
      <c r="E567" s="1145"/>
      <c r="F567" s="1145"/>
      <c r="G567" s="1145"/>
      <c r="H567" s="1145"/>
      <c r="I567" s="1145"/>
      <c r="J567" s="1145"/>
      <c r="K567" s="1145"/>
      <c r="L567" s="1145"/>
      <c r="M567" s="1145"/>
    </row>
    <row r="568" spans="1:14" s="1113" customFormat="1" ht="18" customHeight="1">
      <c r="A568" s="1232" t="s">
        <v>1743</v>
      </c>
      <c r="B568" s="1232"/>
      <c r="C568" s="1232"/>
      <c r="D568" s="1232"/>
      <c r="E568" s="1232"/>
      <c r="F568" s="1232"/>
      <c r="G568" s="1232"/>
      <c r="H568" s="1232"/>
      <c r="I568" s="1232"/>
      <c r="J568" s="1232"/>
      <c r="K568" s="1232"/>
      <c r="L568" s="1232"/>
      <c r="M568" s="1232"/>
      <c r="N568" s="1166"/>
    </row>
    <row r="569" spans="1:14" s="1113" customFormat="1">
      <c r="A569" s="1234" t="s">
        <v>1780</v>
      </c>
      <c r="B569" s="1234"/>
      <c r="C569" s="1234"/>
      <c r="D569" s="1234"/>
      <c r="E569" s="1234"/>
      <c r="F569" s="1234"/>
      <c r="G569" s="1234"/>
      <c r="H569" s="1234"/>
      <c r="I569" s="1234"/>
      <c r="J569" s="1234"/>
      <c r="K569" s="1234"/>
      <c r="L569" s="1234"/>
      <c r="M569" s="1234"/>
      <c r="N569" s="1167"/>
    </row>
    <row r="570" spans="1:14" s="786" customFormat="1" ht="18" customHeight="1">
      <c r="A570" s="1113" t="s">
        <v>1803</v>
      </c>
      <c r="B570" s="1113"/>
      <c r="C570" s="1113"/>
      <c r="D570" s="1113"/>
      <c r="E570" s="1113"/>
      <c r="F570" s="1113"/>
      <c r="G570" s="1145"/>
      <c r="H570" s="1113"/>
      <c r="I570" s="1160"/>
      <c r="J570" s="1113"/>
      <c r="K570" s="1113"/>
      <c r="L570" s="1146"/>
      <c r="M570" s="1146"/>
    </row>
    <row r="571" spans="1:14" s="786" customFormat="1" ht="18" customHeight="1">
      <c r="A571" s="1113" t="s">
        <v>1776</v>
      </c>
      <c r="B571" s="1113"/>
      <c r="C571" s="1113"/>
      <c r="D571" s="1113"/>
      <c r="E571" s="1113"/>
      <c r="F571" s="1113"/>
      <c r="G571" s="1145"/>
      <c r="H571" s="1113"/>
      <c r="I571" s="1160"/>
      <c r="J571" s="1113"/>
      <c r="K571" s="1113"/>
      <c r="L571" s="1146"/>
      <c r="M571" s="1146"/>
    </row>
    <row r="572" spans="1:14" s="786" customFormat="1" ht="8.1" customHeight="1">
      <c r="A572" s="1161" t="s">
        <v>1774</v>
      </c>
      <c r="B572" s="1113"/>
      <c r="C572" s="1113"/>
      <c r="D572" s="1113"/>
      <c r="E572" s="1113"/>
      <c r="F572" s="1113"/>
      <c r="G572" s="1145"/>
      <c r="H572" s="1113"/>
      <c r="I572" s="1160"/>
      <c r="J572" s="1113"/>
      <c r="K572" s="1113"/>
      <c r="L572" s="1146"/>
      <c r="M572" s="1146"/>
    </row>
    <row r="573" spans="1:14" s="786" customFormat="1" ht="18" customHeight="1">
      <c r="A573" s="1113" t="s">
        <v>483</v>
      </c>
      <c r="B573" s="1113"/>
      <c r="C573" s="1280" t="s">
        <v>1804</v>
      </c>
      <c r="D573" s="1280"/>
      <c r="E573" s="1280"/>
      <c r="F573" s="1280"/>
      <c r="G573" s="1280"/>
      <c r="H573" s="1280"/>
      <c r="I573" s="1280"/>
      <c r="J573" s="1280"/>
      <c r="K573" s="1280"/>
      <c r="L573" s="1280"/>
      <c r="M573" s="1280"/>
    </row>
    <row r="574" spans="1:14" s="917" customFormat="1" ht="18" customHeight="1" thickBot="1">
      <c r="A574" s="1277"/>
      <c r="B574" s="1277"/>
      <c r="C574" s="1277"/>
      <c r="D574" s="1277"/>
      <c r="E574" s="1277"/>
      <c r="F574" s="1277"/>
      <c r="G574" s="1277"/>
      <c r="H574" s="1277"/>
      <c r="I574" s="1277"/>
      <c r="J574" s="1277"/>
      <c r="K574" s="1277"/>
      <c r="L574" s="1277"/>
      <c r="M574" s="1277"/>
    </row>
    <row r="575" spans="1:14" ht="18" customHeight="1">
      <c r="A575" s="919"/>
      <c r="B575" s="920"/>
      <c r="C575" s="920"/>
      <c r="D575" s="920"/>
      <c r="E575" s="920"/>
      <c r="F575" s="921"/>
      <c r="G575" s="922"/>
      <c r="H575" s="923"/>
      <c r="I575" s="923" t="s">
        <v>6</v>
      </c>
      <c r="J575" s="1266" t="s">
        <v>630</v>
      </c>
      <c r="K575" s="1267"/>
      <c r="L575" s="1268"/>
      <c r="M575" s="924" t="s">
        <v>7</v>
      </c>
    </row>
    <row r="576" spans="1:14" ht="18" customHeight="1">
      <c r="A576" s="1269"/>
      <c r="B576" s="1270"/>
      <c r="C576" s="1270"/>
      <c r="D576" s="1270"/>
      <c r="E576" s="1270"/>
      <c r="F576" s="1271"/>
      <c r="G576" s="1106"/>
      <c r="H576" s="925"/>
      <c r="I576" s="925">
        <v>2020</v>
      </c>
      <c r="J576" s="925" t="s">
        <v>572</v>
      </c>
      <c r="K576" s="925" t="s">
        <v>573</v>
      </c>
      <c r="L576" s="925">
        <v>2021</v>
      </c>
      <c r="M576" s="926">
        <v>2022</v>
      </c>
    </row>
    <row r="577" spans="1:13" ht="18" customHeight="1">
      <c r="A577" s="1269" t="s">
        <v>21</v>
      </c>
      <c r="B577" s="1270"/>
      <c r="C577" s="1270"/>
      <c r="D577" s="1270"/>
      <c r="E577" s="1270"/>
      <c r="F577" s="1271"/>
      <c r="G577" s="927"/>
      <c r="H577" s="928" t="s">
        <v>624</v>
      </c>
      <c r="I577" s="925" t="s">
        <v>933</v>
      </c>
      <c r="J577" s="925" t="s">
        <v>571</v>
      </c>
      <c r="K577" s="925" t="s">
        <v>574</v>
      </c>
      <c r="L577" s="925" t="s">
        <v>933</v>
      </c>
      <c r="M577" s="926" t="s">
        <v>933</v>
      </c>
    </row>
    <row r="578" spans="1:13" ht="18" customHeight="1">
      <c r="A578" s="929"/>
      <c r="B578" s="930"/>
      <c r="C578" s="930"/>
      <c r="D578" s="930"/>
      <c r="E578" s="930"/>
      <c r="F578" s="931"/>
      <c r="G578" s="927"/>
      <c r="H578" s="925"/>
      <c r="I578" s="1220" t="s">
        <v>571</v>
      </c>
      <c r="J578" s="925">
        <v>2021</v>
      </c>
      <c r="K578" s="925">
        <v>2021</v>
      </c>
      <c r="L578" s="1220" t="s">
        <v>934</v>
      </c>
      <c r="M578" s="1221" t="s">
        <v>576</v>
      </c>
    </row>
    <row r="579" spans="1:13" ht="18" customHeight="1" thickBot="1">
      <c r="A579" s="1272"/>
      <c r="B579" s="1273"/>
      <c r="C579" s="1273"/>
      <c r="D579" s="1273"/>
      <c r="E579" s="1273"/>
      <c r="F579" s="1274"/>
      <c r="G579" s="1107"/>
      <c r="H579" s="932"/>
      <c r="I579" s="932"/>
      <c r="J579" s="932"/>
      <c r="K579" s="932"/>
      <c r="L579" s="932"/>
      <c r="M579" s="933"/>
    </row>
    <row r="580" spans="1:13" ht="18" customHeight="1">
      <c r="A580" s="934"/>
      <c r="B580" s="935" t="s">
        <v>366</v>
      </c>
      <c r="C580" s="936"/>
      <c r="D580" s="935"/>
      <c r="E580" s="935"/>
      <c r="F580" s="937"/>
      <c r="G580" s="938"/>
      <c r="H580" s="974"/>
      <c r="I580" s="975"/>
      <c r="J580" s="976"/>
      <c r="K580" s="976"/>
      <c r="L580" s="976"/>
      <c r="M580" s="976"/>
    </row>
    <row r="581" spans="1:13" ht="18" customHeight="1">
      <c r="A581" s="942"/>
      <c r="B581" s="943"/>
      <c r="C581" s="943" t="s">
        <v>525</v>
      </c>
      <c r="D581" s="943"/>
      <c r="E581" s="943"/>
      <c r="F581" s="944"/>
      <c r="G581" s="945"/>
      <c r="H581" s="977"/>
      <c r="I581" s="978"/>
      <c r="J581" s="979"/>
      <c r="K581" s="979"/>
      <c r="L581" s="979"/>
      <c r="M581" s="979"/>
    </row>
    <row r="582" spans="1:13" ht="18" customHeight="1">
      <c r="A582" s="942"/>
      <c r="B582" s="943"/>
      <c r="C582" s="943"/>
      <c r="D582" s="943" t="s">
        <v>526</v>
      </c>
      <c r="E582" s="943"/>
      <c r="F582" s="944"/>
      <c r="G582" s="945" t="s">
        <v>594</v>
      </c>
      <c r="H582" s="949" t="s">
        <v>687</v>
      </c>
      <c r="I582" s="950">
        <v>1296156</v>
      </c>
      <c r="J582" s="951">
        <f>295082.15</f>
        <v>295082.15000000002</v>
      </c>
      <c r="K582" s="951">
        <f>1609844-J582</f>
        <v>1314761.8500000001</v>
      </c>
      <c r="L582" s="951">
        <f>SUM(K582+J582)</f>
        <v>1609844</v>
      </c>
      <c r="M582" s="951">
        <v>1482600</v>
      </c>
    </row>
    <row r="583" spans="1:13" ht="18" customHeight="1">
      <c r="A583" s="942"/>
      <c r="B583" s="943"/>
      <c r="C583" s="943" t="s">
        <v>527</v>
      </c>
      <c r="D583" s="943"/>
      <c r="E583" s="943"/>
      <c r="F583" s="944"/>
      <c r="G583" s="945"/>
      <c r="H583" s="977"/>
      <c r="I583" s="950"/>
      <c r="J583" s="951"/>
      <c r="K583" s="951"/>
      <c r="L583" s="951"/>
      <c r="M583" s="951"/>
    </row>
    <row r="584" spans="1:13" ht="18" customHeight="1">
      <c r="A584" s="942"/>
      <c r="B584" s="943"/>
      <c r="C584" s="943"/>
      <c r="D584" s="943" t="s">
        <v>528</v>
      </c>
      <c r="E584" s="943"/>
      <c r="F584" s="944"/>
      <c r="G584" s="945" t="s">
        <v>595</v>
      </c>
      <c r="H584" s="949" t="s">
        <v>688</v>
      </c>
      <c r="I584" s="950">
        <v>72000</v>
      </c>
      <c r="J584" s="951">
        <v>25545.45</v>
      </c>
      <c r="K584" s="951">
        <f>96000-J584</f>
        <v>70454.55</v>
      </c>
      <c r="L584" s="951">
        <f t="shared" ref="L584:L601" si="19">SUM(K584+J584)</f>
        <v>96000</v>
      </c>
      <c r="M584" s="951">
        <v>72000</v>
      </c>
    </row>
    <row r="585" spans="1:13" ht="18" customHeight="1">
      <c r="A585" s="942"/>
      <c r="B585" s="943"/>
      <c r="C585" s="943"/>
      <c r="D585" s="943" t="s">
        <v>538</v>
      </c>
      <c r="E585" s="943"/>
      <c r="F585" s="944"/>
      <c r="G585" s="945" t="s">
        <v>596</v>
      </c>
      <c r="H585" s="949" t="s">
        <v>689</v>
      </c>
      <c r="I585" s="950">
        <v>76500</v>
      </c>
      <c r="J585" s="951">
        <v>38250</v>
      </c>
      <c r="K585" s="951">
        <f>76500-J585</f>
        <v>38250</v>
      </c>
      <c r="L585" s="951">
        <f t="shared" si="19"/>
        <v>76500</v>
      </c>
      <c r="M585" s="951">
        <v>76500</v>
      </c>
    </row>
    <row r="586" spans="1:13" ht="18" customHeight="1">
      <c r="A586" s="942"/>
      <c r="B586" s="943"/>
      <c r="C586" s="943"/>
      <c r="D586" s="943" t="s">
        <v>537</v>
      </c>
      <c r="E586" s="943"/>
      <c r="F586" s="944"/>
      <c r="G586" s="945" t="s">
        <v>597</v>
      </c>
      <c r="H586" s="949" t="s">
        <v>690</v>
      </c>
      <c r="I586" s="950">
        <v>76500</v>
      </c>
      <c r="J586" s="951">
        <v>38250</v>
      </c>
      <c r="K586" s="951">
        <f>76500-J586</f>
        <v>38250</v>
      </c>
      <c r="L586" s="951">
        <f t="shared" si="19"/>
        <v>76500</v>
      </c>
      <c r="M586" s="951">
        <v>76500</v>
      </c>
    </row>
    <row r="587" spans="1:13" ht="18" customHeight="1">
      <c r="A587" s="942"/>
      <c r="B587" s="943"/>
      <c r="C587" s="943"/>
      <c r="D587" s="943" t="s">
        <v>539</v>
      </c>
      <c r="E587" s="943"/>
      <c r="F587" s="944"/>
      <c r="G587" s="945" t="s">
        <v>598</v>
      </c>
      <c r="H587" s="949" t="s">
        <v>691</v>
      </c>
      <c r="I587" s="950">
        <v>18000</v>
      </c>
      <c r="J587" s="951">
        <v>18000</v>
      </c>
      <c r="K587" s="951">
        <f>24000-J587</f>
        <v>6000</v>
      </c>
      <c r="L587" s="951">
        <f t="shared" si="19"/>
        <v>24000</v>
      </c>
      <c r="M587" s="951">
        <v>18000</v>
      </c>
    </row>
    <row r="588" spans="1:13" ht="18" customHeight="1">
      <c r="A588" s="942"/>
      <c r="B588" s="943"/>
      <c r="C588" s="943"/>
      <c r="D588" s="943" t="s">
        <v>685</v>
      </c>
      <c r="E588" s="943"/>
      <c r="F588" s="944"/>
      <c r="G588" s="945" t="s">
        <v>600</v>
      </c>
      <c r="H588" s="949" t="s">
        <v>692</v>
      </c>
      <c r="I588" s="950">
        <v>15000</v>
      </c>
      <c r="J588" s="951">
        <v>0</v>
      </c>
      <c r="K588" s="951">
        <f>20000-J588</f>
        <v>20000</v>
      </c>
      <c r="L588" s="951">
        <f t="shared" si="19"/>
        <v>20000</v>
      </c>
      <c r="M588" s="951">
        <v>15000</v>
      </c>
    </row>
    <row r="589" spans="1:13" ht="18" customHeight="1">
      <c r="A589" s="942"/>
      <c r="B589" s="943"/>
      <c r="C589" s="943"/>
      <c r="D589" s="943" t="s">
        <v>541</v>
      </c>
      <c r="E589" s="943"/>
      <c r="F589" s="944"/>
      <c r="G589" s="945" t="s">
        <v>433</v>
      </c>
      <c r="H589" s="949" t="s">
        <v>693</v>
      </c>
      <c r="I589" s="950">
        <v>5000</v>
      </c>
      <c r="J589" s="951">
        <v>0</v>
      </c>
      <c r="K589" s="951">
        <v>0</v>
      </c>
      <c r="L589" s="951">
        <f t="shared" si="19"/>
        <v>0</v>
      </c>
      <c r="M589" s="951">
        <v>0</v>
      </c>
    </row>
    <row r="590" spans="1:13" ht="18" customHeight="1">
      <c r="A590" s="942"/>
      <c r="B590" s="943"/>
      <c r="C590" s="943"/>
      <c r="D590" s="943" t="s">
        <v>1630</v>
      </c>
      <c r="E590" s="943"/>
      <c r="F590" s="944"/>
      <c r="G590" s="945" t="s">
        <v>433</v>
      </c>
      <c r="H590" s="949" t="s">
        <v>693</v>
      </c>
      <c r="I590" s="950"/>
      <c r="J590" s="951">
        <v>6000</v>
      </c>
      <c r="K590" s="951">
        <f>6000-J590</f>
        <v>0</v>
      </c>
      <c r="L590" s="951">
        <f t="shared" si="19"/>
        <v>6000</v>
      </c>
      <c r="M590" s="951">
        <v>0</v>
      </c>
    </row>
    <row r="591" spans="1:13" ht="18" customHeight="1">
      <c r="A591" s="942"/>
      <c r="B591" s="943"/>
      <c r="C591" s="943"/>
      <c r="D591" s="943" t="s">
        <v>1513</v>
      </c>
      <c r="E591" s="943"/>
      <c r="F591" s="944"/>
      <c r="G591" s="945"/>
      <c r="H591" s="949" t="s">
        <v>693</v>
      </c>
      <c r="I591" s="950">
        <v>40955.300000000003</v>
      </c>
      <c r="J591" s="951">
        <v>0</v>
      </c>
      <c r="K591" s="951">
        <v>0</v>
      </c>
      <c r="L591" s="951">
        <f t="shared" si="19"/>
        <v>0</v>
      </c>
      <c r="M591" s="951">
        <v>0</v>
      </c>
    </row>
    <row r="592" spans="1:13" ht="18" customHeight="1">
      <c r="A592" s="942"/>
      <c r="B592" s="943"/>
      <c r="C592" s="943"/>
      <c r="D592" s="943" t="s">
        <v>544</v>
      </c>
      <c r="E592" s="943"/>
      <c r="F592" s="944"/>
      <c r="G592" s="945" t="s">
        <v>603</v>
      </c>
      <c r="H592" s="949" t="s">
        <v>694</v>
      </c>
      <c r="I592" s="950">
        <v>15000</v>
      </c>
      <c r="J592" s="951">
        <v>0</v>
      </c>
      <c r="K592" s="951">
        <f>20000-J592</f>
        <v>20000</v>
      </c>
      <c r="L592" s="951">
        <f t="shared" si="19"/>
        <v>20000</v>
      </c>
      <c r="M592" s="951">
        <v>15000</v>
      </c>
    </row>
    <row r="593" spans="1:13" ht="18" customHeight="1">
      <c r="A593" s="942"/>
      <c r="B593" s="943"/>
      <c r="C593" s="943"/>
      <c r="D593" s="943" t="s">
        <v>805</v>
      </c>
      <c r="E593" s="943"/>
      <c r="F593" s="943"/>
      <c r="G593" s="953" t="s">
        <v>433</v>
      </c>
      <c r="H593" s="949" t="s">
        <v>693</v>
      </c>
      <c r="I593" s="950">
        <v>108013</v>
      </c>
      <c r="J593" s="951">
        <f>44288</f>
        <v>44288</v>
      </c>
      <c r="K593" s="951">
        <f>133532-J593</f>
        <v>89244</v>
      </c>
      <c r="L593" s="951">
        <f t="shared" si="19"/>
        <v>133532</v>
      </c>
      <c r="M593" s="951">
        <v>123550</v>
      </c>
    </row>
    <row r="594" spans="1:13" ht="18" customHeight="1">
      <c r="A594" s="942"/>
      <c r="B594" s="943"/>
      <c r="C594" s="943"/>
      <c r="D594" s="943" t="s">
        <v>545</v>
      </c>
      <c r="E594" s="943"/>
      <c r="F594" s="944"/>
      <c r="G594" s="945" t="s">
        <v>604</v>
      </c>
      <c r="H594" s="949" t="s">
        <v>695</v>
      </c>
      <c r="I594" s="950">
        <v>108013</v>
      </c>
      <c r="J594" s="951">
        <v>0</v>
      </c>
      <c r="K594" s="951">
        <f>134735-J594</f>
        <v>134735</v>
      </c>
      <c r="L594" s="951">
        <f t="shared" si="19"/>
        <v>134735</v>
      </c>
      <c r="M594" s="951">
        <v>123550</v>
      </c>
    </row>
    <row r="595" spans="1:13" ht="18" customHeight="1">
      <c r="A595" s="942"/>
      <c r="B595" s="943"/>
      <c r="C595" s="943"/>
      <c r="D595" s="943" t="s">
        <v>658</v>
      </c>
      <c r="E595" s="943"/>
      <c r="F595" s="944"/>
      <c r="G595" s="945" t="s">
        <v>605</v>
      </c>
      <c r="H595" s="949" t="s">
        <v>696</v>
      </c>
      <c r="I595" s="950">
        <f>151348.8+4189.92</f>
        <v>155538.72</v>
      </c>
      <c r="J595" s="951">
        <v>34857.480000000003</v>
      </c>
      <c r="K595" s="951">
        <f>193900-J595</f>
        <v>159042.51999999999</v>
      </c>
      <c r="L595" s="951">
        <f t="shared" si="19"/>
        <v>193900</v>
      </c>
      <c r="M595" s="951">
        <v>179000</v>
      </c>
    </row>
    <row r="596" spans="1:13" ht="18" customHeight="1">
      <c r="A596" s="942"/>
      <c r="B596" s="943"/>
      <c r="C596" s="943"/>
      <c r="D596" s="943" t="s">
        <v>546</v>
      </c>
      <c r="E596" s="943"/>
      <c r="F596" s="944"/>
      <c r="G596" s="945" t="s">
        <v>606</v>
      </c>
      <c r="H596" s="949" t="s">
        <v>697</v>
      </c>
      <c r="I596" s="950">
        <v>3600</v>
      </c>
      <c r="J596" s="951">
        <v>1300</v>
      </c>
      <c r="K596" s="951">
        <f>7200-J596</f>
        <v>5900</v>
      </c>
      <c r="L596" s="951">
        <f t="shared" si="19"/>
        <v>7200</v>
      </c>
      <c r="M596" s="951">
        <v>5400</v>
      </c>
    </row>
    <row r="597" spans="1:13" ht="18" customHeight="1">
      <c r="A597" s="942"/>
      <c r="B597" s="943"/>
      <c r="C597" s="943"/>
      <c r="D597" s="943" t="s">
        <v>547</v>
      </c>
      <c r="E597" s="943"/>
      <c r="F597" s="944"/>
      <c r="G597" s="945" t="s">
        <v>607</v>
      </c>
      <c r="H597" s="949" t="s">
        <v>698</v>
      </c>
      <c r="I597" s="950">
        <v>16890</v>
      </c>
      <c r="J597" s="951">
        <v>4395</v>
      </c>
      <c r="K597" s="951">
        <f>28700-J597</f>
        <v>24305</v>
      </c>
      <c r="L597" s="951">
        <f t="shared" si="19"/>
        <v>28700</v>
      </c>
      <c r="M597" s="951">
        <v>30000</v>
      </c>
    </row>
    <row r="598" spans="1:13" ht="18" customHeight="1">
      <c r="A598" s="942"/>
      <c r="B598" s="943"/>
      <c r="C598" s="943"/>
      <c r="D598" s="943" t="s">
        <v>654</v>
      </c>
      <c r="E598" s="943"/>
      <c r="F598" s="944"/>
      <c r="G598" s="945" t="s">
        <v>608</v>
      </c>
      <c r="H598" s="949" t="s">
        <v>699</v>
      </c>
      <c r="I598" s="950">
        <v>3600</v>
      </c>
      <c r="J598" s="951">
        <v>1300</v>
      </c>
      <c r="K598" s="951">
        <f>4800-J598</f>
        <v>3500</v>
      </c>
      <c r="L598" s="951">
        <f t="shared" si="19"/>
        <v>4800</v>
      </c>
      <c r="M598" s="951">
        <v>3600</v>
      </c>
    </row>
    <row r="599" spans="1:13" ht="18" customHeight="1">
      <c r="A599" s="942"/>
      <c r="B599" s="943"/>
      <c r="C599" s="943"/>
      <c r="D599" s="943" t="s">
        <v>372</v>
      </c>
      <c r="E599" s="943"/>
      <c r="F599" s="944"/>
      <c r="G599" s="945" t="s">
        <v>609</v>
      </c>
      <c r="H599" s="949" t="s">
        <v>700</v>
      </c>
      <c r="I599" s="950">
        <v>17964.55</v>
      </c>
      <c r="J599" s="951">
        <v>0</v>
      </c>
      <c r="K599" s="951">
        <v>0</v>
      </c>
      <c r="L599" s="951">
        <f t="shared" si="19"/>
        <v>0</v>
      </c>
      <c r="M599" s="951">
        <v>0</v>
      </c>
    </row>
    <row r="600" spans="1:13" ht="18" customHeight="1">
      <c r="A600" s="942"/>
      <c r="B600" s="943"/>
      <c r="C600" s="943"/>
      <c r="D600" s="943" t="s">
        <v>549</v>
      </c>
      <c r="E600" s="943"/>
      <c r="F600" s="944"/>
      <c r="G600" s="945" t="s">
        <v>396</v>
      </c>
      <c r="H600" s="949" t="s">
        <v>711</v>
      </c>
      <c r="I600" s="950">
        <v>0</v>
      </c>
      <c r="J600" s="951">
        <v>301510.59000000003</v>
      </c>
      <c r="K600" s="951">
        <f>301510.59-J600</f>
        <v>0</v>
      </c>
      <c r="L600" s="951">
        <f t="shared" si="19"/>
        <v>301510.59000000003</v>
      </c>
      <c r="M600" s="951">
        <v>0</v>
      </c>
    </row>
    <row r="601" spans="1:13" ht="18" customHeight="1">
      <c r="A601" s="942"/>
      <c r="B601" s="943"/>
      <c r="C601" s="943"/>
      <c r="D601" s="943" t="s">
        <v>1514</v>
      </c>
      <c r="E601" s="943"/>
      <c r="F601" s="944"/>
      <c r="G601" s="945"/>
      <c r="H601" s="949" t="s">
        <v>711</v>
      </c>
      <c r="I601" s="950">
        <v>30000</v>
      </c>
      <c r="J601" s="951">
        <v>0</v>
      </c>
      <c r="K601" s="951">
        <f>0-J601</f>
        <v>0</v>
      </c>
      <c r="L601" s="951">
        <f t="shared" si="19"/>
        <v>0</v>
      </c>
      <c r="M601" s="951">
        <v>0</v>
      </c>
    </row>
    <row r="602" spans="1:13" ht="18" customHeight="1">
      <c r="A602" s="954"/>
      <c r="B602" s="955"/>
      <c r="C602" s="955"/>
      <c r="D602" s="955" t="s">
        <v>371</v>
      </c>
      <c r="E602" s="955"/>
      <c r="F602" s="956"/>
      <c r="G602" s="957"/>
      <c r="H602" s="980"/>
      <c r="I602" s="958">
        <f>SUM(I582:I601)</f>
        <v>2058730.57</v>
      </c>
      <c r="J602" s="958">
        <f>SUM(J582:J601)</f>
        <v>808778.67</v>
      </c>
      <c r="K602" s="958">
        <f>SUM(K582:K601)</f>
        <v>1924442.9200000002</v>
      </c>
      <c r="L602" s="958">
        <f>SUM(L582:L601)</f>
        <v>2733221.59</v>
      </c>
      <c r="M602" s="958">
        <f>SUM(M582:M601)</f>
        <v>2220700</v>
      </c>
    </row>
    <row r="603" spans="1:13" ht="18" customHeight="1">
      <c r="A603" s="942"/>
      <c r="B603" s="943" t="s">
        <v>550</v>
      </c>
      <c r="C603" s="943"/>
      <c r="D603" s="943"/>
      <c r="E603" s="943"/>
      <c r="F603" s="944"/>
      <c r="G603" s="945"/>
      <c r="H603" s="977"/>
      <c r="I603" s="950"/>
      <c r="J603" s="951"/>
      <c r="K603" s="951"/>
      <c r="L603" s="951"/>
      <c r="M603" s="951"/>
    </row>
    <row r="604" spans="1:13" ht="18" customHeight="1">
      <c r="A604" s="942"/>
      <c r="B604" s="943"/>
      <c r="C604" s="943"/>
      <c r="D604" s="943" t="s">
        <v>551</v>
      </c>
      <c r="E604" s="943"/>
      <c r="F604" s="944"/>
      <c r="G604" s="945" t="s">
        <v>384</v>
      </c>
      <c r="H604" s="949" t="s">
        <v>701</v>
      </c>
      <c r="I604" s="950">
        <f>13000+2500</f>
        <v>15500</v>
      </c>
      <c r="J604" s="951">
        <v>0</v>
      </c>
      <c r="K604" s="951">
        <f>38000-J604</f>
        <v>38000</v>
      </c>
      <c r="L604" s="951">
        <f t="shared" ref="L604:L610" si="20">SUM(K604+J604)</f>
        <v>38000</v>
      </c>
      <c r="M604" s="951">
        <f>50000-12000</f>
        <v>38000</v>
      </c>
    </row>
    <row r="605" spans="1:13" ht="18" customHeight="1">
      <c r="A605" s="942"/>
      <c r="B605" s="943"/>
      <c r="C605" s="943"/>
      <c r="D605" s="943" t="s">
        <v>429</v>
      </c>
      <c r="E605" s="943"/>
      <c r="F605" s="944"/>
      <c r="G605" s="945" t="s">
        <v>385</v>
      </c>
      <c r="H605" s="949" t="s">
        <v>702</v>
      </c>
      <c r="I605" s="950">
        <v>3000</v>
      </c>
      <c r="J605" s="951">
        <v>0</v>
      </c>
      <c r="K605" s="951">
        <f>40000-J605</f>
        <v>40000</v>
      </c>
      <c r="L605" s="951">
        <f t="shared" si="20"/>
        <v>40000</v>
      </c>
      <c r="M605" s="951">
        <v>40000</v>
      </c>
    </row>
    <row r="606" spans="1:13" ht="18" customHeight="1">
      <c r="A606" s="942"/>
      <c r="B606" s="943"/>
      <c r="C606" s="943"/>
      <c r="D606" s="943" t="s">
        <v>378</v>
      </c>
      <c r="E606" s="943"/>
      <c r="F606" s="944"/>
      <c r="G606" s="945" t="s">
        <v>387</v>
      </c>
      <c r="H606" s="949" t="s">
        <v>703</v>
      </c>
      <c r="I606" s="950">
        <v>58303</v>
      </c>
      <c r="J606" s="951">
        <v>61444</v>
      </c>
      <c r="K606" s="951">
        <f>80000-J606</f>
        <v>18556</v>
      </c>
      <c r="L606" s="951">
        <f t="shared" si="20"/>
        <v>80000</v>
      </c>
      <c r="M606" s="951">
        <f>100000-20000</f>
        <v>80000</v>
      </c>
    </row>
    <row r="607" spans="1:13" ht="18" customHeight="1">
      <c r="A607" s="942"/>
      <c r="B607" s="943"/>
      <c r="C607" s="943"/>
      <c r="D607" s="943" t="s">
        <v>555</v>
      </c>
      <c r="E607" s="943"/>
      <c r="F607" s="944"/>
      <c r="G607" s="945" t="s">
        <v>613</v>
      </c>
      <c r="H607" s="949" t="s">
        <v>704</v>
      </c>
      <c r="I607" s="950">
        <v>0</v>
      </c>
      <c r="J607" s="951">
        <v>0</v>
      </c>
      <c r="K607" s="951">
        <v>0</v>
      </c>
      <c r="L607" s="951">
        <f t="shared" si="20"/>
        <v>0</v>
      </c>
      <c r="M607" s="951">
        <v>0</v>
      </c>
    </row>
    <row r="608" spans="1:13" ht="18" customHeight="1">
      <c r="A608" s="942"/>
      <c r="B608" s="943"/>
      <c r="C608" s="943"/>
      <c r="D608" s="943" t="s">
        <v>557</v>
      </c>
      <c r="E608" s="943"/>
      <c r="F608" s="944"/>
      <c r="G608" s="945" t="s">
        <v>388</v>
      </c>
      <c r="H608" s="949" t="s">
        <v>705</v>
      </c>
      <c r="I608" s="950">
        <v>24000</v>
      </c>
      <c r="J608" s="951">
        <v>18000</v>
      </c>
      <c r="K608" s="951">
        <f>36000-J608</f>
        <v>18000</v>
      </c>
      <c r="L608" s="951">
        <f t="shared" si="20"/>
        <v>36000</v>
      </c>
      <c r="M608" s="951">
        <f>24000+12000</f>
        <v>36000</v>
      </c>
    </row>
    <row r="609" spans="1:13" ht="18" customHeight="1">
      <c r="A609" s="942"/>
      <c r="B609" s="943"/>
      <c r="C609" s="943"/>
      <c r="D609" s="943" t="s">
        <v>926</v>
      </c>
      <c r="E609" s="943"/>
      <c r="F609" s="944"/>
      <c r="G609" s="945" t="s">
        <v>389</v>
      </c>
      <c r="H609" s="949" t="s">
        <v>706</v>
      </c>
      <c r="I609" s="950">
        <v>27150</v>
      </c>
      <c r="J609" s="951">
        <v>2350</v>
      </c>
      <c r="K609" s="951">
        <f>30000-J609</f>
        <v>27650</v>
      </c>
      <c r="L609" s="951">
        <f t="shared" si="20"/>
        <v>30000</v>
      </c>
      <c r="M609" s="951">
        <v>30000</v>
      </c>
    </row>
    <row r="610" spans="1:13" ht="18" customHeight="1">
      <c r="A610" s="942"/>
      <c r="B610" s="943"/>
      <c r="C610" s="943"/>
      <c r="D610" s="943" t="s">
        <v>564</v>
      </c>
      <c r="E610" s="943"/>
      <c r="F610" s="944"/>
      <c r="G610" s="945" t="s">
        <v>390</v>
      </c>
      <c r="H610" s="949" t="s">
        <v>707</v>
      </c>
      <c r="I610" s="950">
        <v>75000</v>
      </c>
      <c r="J610" s="951">
        <v>2450</v>
      </c>
      <c r="K610" s="951">
        <f>10000-J610</f>
        <v>7550</v>
      </c>
      <c r="L610" s="951">
        <f t="shared" si="20"/>
        <v>10000</v>
      </c>
      <c r="M610" s="951">
        <v>10000</v>
      </c>
    </row>
    <row r="611" spans="1:13" ht="18" customHeight="1">
      <c r="A611" s="954"/>
      <c r="B611" s="955"/>
      <c r="C611" s="955"/>
      <c r="D611" s="955" t="s">
        <v>752</v>
      </c>
      <c r="E611" s="955"/>
      <c r="F611" s="956"/>
      <c r="G611" s="957"/>
      <c r="H611" s="980"/>
      <c r="I611" s="958">
        <f>SUM(I604:I610)</f>
        <v>202953</v>
      </c>
      <c r="J611" s="958">
        <f>SUM(J604:J610)</f>
        <v>84244</v>
      </c>
      <c r="K611" s="958">
        <f>SUM(K604:K610)</f>
        <v>149756</v>
      </c>
      <c r="L611" s="958">
        <f>SUM(L604:L610)</f>
        <v>234000</v>
      </c>
      <c r="M611" s="958">
        <f>SUM(M604:M610)</f>
        <v>234000</v>
      </c>
    </row>
    <row r="612" spans="1:13" ht="18" customHeight="1">
      <c r="A612" s="942"/>
      <c r="B612" s="943" t="s">
        <v>565</v>
      </c>
      <c r="C612" s="943"/>
      <c r="D612" s="943"/>
      <c r="E612" s="943"/>
      <c r="F612" s="944"/>
      <c r="G612" s="945"/>
      <c r="H612" s="977"/>
      <c r="I612" s="950"/>
      <c r="J612" s="951"/>
      <c r="K612" s="951"/>
      <c r="L612" s="951"/>
      <c r="M612" s="951"/>
    </row>
    <row r="613" spans="1:13" ht="18" customHeight="1">
      <c r="A613" s="942"/>
      <c r="B613" s="943"/>
      <c r="C613" s="943"/>
      <c r="D613" s="943" t="s">
        <v>845</v>
      </c>
      <c r="E613" s="943"/>
      <c r="F613" s="944"/>
      <c r="G613" s="945" t="s">
        <v>848</v>
      </c>
      <c r="H613" s="949" t="s">
        <v>1567</v>
      </c>
      <c r="I613" s="950">
        <v>63700</v>
      </c>
      <c r="J613" s="951">
        <v>180000</v>
      </c>
      <c r="K613" s="951">
        <f>200000-J613</f>
        <v>20000</v>
      </c>
      <c r="L613" s="951">
        <f>SUM(K613+J613)</f>
        <v>200000</v>
      </c>
      <c r="M613" s="951">
        <v>200000</v>
      </c>
    </row>
    <row r="614" spans="1:13" ht="18" customHeight="1">
      <c r="A614" s="942"/>
      <c r="B614" s="943"/>
      <c r="C614" s="943"/>
      <c r="D614" s="943" t="s">
        <v>855</v>
      </c>
      <c r="E614" s="943"/>
      <c r="F614" s="944"/>
      <c r="G614" s="945"/>
      <c r="H614" s="949" t="s">
        <v>856</v>
      </c>
      <c r="I614" s="950">
        <v>0</v>
      </c>
      <c r="J614" s="951">
        <v>0</v>
      </c>
      <c r="K614" s="951">
        <f>20000-J614</f>
        <v>20000</v>
      </c>
      <c r="L614" s="951">
        <f>SUM(K614+J614)</f>
        <v>20000</v>
      </c>
      <c r="M614" s="951">
        <v>0</v>
      </c>
    </row>
    <row r="615" spans="1:13" ht="18" customHeight="1">
      <c r="A615" s="942"/>
      <c r="B615" s="943"/>
      <c r="C615" s="943"/>
      <c r="D615" s="943" t="s">
        <v>960</v>
      </c>
      <c r="E615" s="943"/>
      <c r="F615" s="944"/>
      <c r="G615" s="945"/>
      <c r="H615" s="949" t="s">
        <v>961</v>
      </c>
      <c r="I615" s="950">
        <v>0</v>
      </c>
      <c r="J615" s="951">
        <v>0</v>
      </c>
      <c r="K615" s="951">
        <v>0</v>
      </c>
      <c r="L615" s="951">
        <f>SUM(K615+J615)</f>
        <v>0</v>
      </c>
      <c r="M615" s="951">
        <v>0</v>
      </c>
    </row>
    <row r="616" spans="1:13" ht="18" customHeight="1">
      <c r="A616" s="942"/>
      <c r="B616" s="943"/>
      <c r="C616" s="943"/>
      <c r="D616" s="943" t="s">
        <v>849</v>
      </c>
      <c r="E616" s="943"/>
      <c r="F616" s="944"/>
      <c r="G616" s="945" t="s">
        <v>850</v>
      </c>
      <c r="H616" s="949" t="s">
        <v>851</v>
      </c>
      <c r="I616" s="950">
        <v>0</v>
      </c>
      <c r="J616" s="951">
        <v>0</v>
      </c>
      <c r="K616" s="951">
        <f>0</f>
        <v>0</v>
      </c>
      <c r="L616" s="951">
        <f>SUM(K616+J616)</f>
        <v>0</v>
      </c>
      <c r="M616" s="951">
        <v>20000</v>
      </c>
    </row>
    <row r="617" spans="1:13" ht="18" customHeight="1">
      <c r="A617" s="954"/>
      <c r="B617" s="955"/>
      <c r="C617" s="955"/>
      <c r="D617" s="955" t="s">
        <v>797</v>
      </c>
      <c r="E617" s="955"/>
      <c r="F617" s="956"/>
      <c r="G617" s="957"/>
      <c r="H617" s="980"/>
      <c r="I617" s="958">
        <f>SUM(I613:I616)</f>
        <v>63700</v>
      </c>
      <c r="J617" s="958">
        <f>SUM(J613:J616)</f>
        <v>180000</v>
      </c>
      <c r="K617" s="958">
        <f>SUM(K613:K616)</f>
        <v>40000</v>
      </c>
      <c r="L617" s="958">
        <f>SUM(L613:L616)</f>
        <v>220000</v>
      </c>
      <c r="M617" s="958">
        <f>SUM(M613:M616)</f>
        <v>220000</v>
      </c>
    </row>
    <row r="618" spans="1:13" ht="18" customHeight="1">
      <c r="A618" s="954"/>
      <c r="B618" s="955"/>
      <c r="C618" s="955"/>
      <c r="D618" s="955"/>
      <c r="E618" s="955"/>
      <c r="F618" s="956"/>
      <c r="G618" s="957"/>
      <c r="H618" s="980"/>
      <c r="I618" s="958"/>
      <c r="J618" s="961"/>
      <c r="K618" s="961"/>
      <c r="L618" s="961"/>
      <c r="M618" s="961"/>
    </row>
    <row r="619" spans="1:13" ht="18" customHeight="1">
      <c r="A619" s="962" t="s">
        <v>625</v>
      </c>
      <c r="B619" s="963"/>
      <c r="C619" s="963"/>
      <c r="D619" s="963"/>
      <c r="E619" s="963"/>
      <c r="F619" s="964"/>
      <c r="G619" s="965"/>
      <c r="H619" s="981"/>
      <c r="I619" s="967">
        <f>SUM(I617+I611+I602)</f>
        <v>2325383.5700000003</v>
      </c>
      <c r="J619" s="967">
        <f>SUM(J617+J611+J602)</f>
        <v>1073022.67</v>
      </c>
      <c r="K619" s="967">
        <f>SUM(K617+K611+K602)</f>
        <v>2114198.92</v>
      </c>
      <c r="L619" s="967">
        <f>SUM(L617+L611+L602)</f>
        <v>3187221.59</v>
      </c>
      <c r="M619" s="967">
        <f>SUM(M617+M611+M602)</f>
        <v>2674700</v>
      </c>
    </row>
    <row r="620" spans="1:13" ht="18" customHeight="1">
      <c r="A620" s="930"/>
      <c r="B620" s="968"/>
      <c r="C620" s="930"/>
      <c r="D620" s="930"/>
      <c r="E620" s="930"/>
      <c r="F620" s="930"/>
      <c r="G620" s="930"/>
      <c r="H620" s="969"/>
      <c r="I620" s="969"/>
      <c r="J620" s="970"/>
      <c r="K620" s="970"/>
      <c r="L620" s="970"/>
      <c r="M620" s="970"/>
    </row>
    <row r="621" spans="1:13" ht="18" customHeight="1">
      <c r="A621" s="1278" t="s">
        <v>1758</v>
      </c>
      <c r="B621" s="1278"/>
      <c r="C621" s="1278"/>
      <c r="D621" s="1278"/>
      <c r="E621" s="1278"/>
      <c r="F621" s="1278"/>
      <c r="G621" s="1278"/>
      <c r="H621" s="1278"/>
      <c r="I621" s="1278"/>
      <c r="J621" s="1278"/>
      <c r="K621" s="1278"/>
      <c r="L621" s="1278"/>
      <c r="M621" s="1278"/>
    </row>
    <row r="622" spans="1:13" ht="18" customHeight="1">
      <c r="A622" s="930"/>
      <c r="B622" s="968"/>
      <c r="C622" s="930"/>
      <c r="D622" s="930"/>
      <c r="E622" s="930"/>
      <c r="F622" s="930"/>
      <c r="G622" s="930"/>
      <c r="H622" s="969"/>
      <c r="I622" s="969"/>
      <c r="J622" s="970"/>
      <c r="K622" s="970"/>
      <c r="L622" s="970"/>
      <c r="M622" s="970"/>
    </row>
    <row r="623" spans="1:13" s="917" customFormat="1" ht="18" customHeight="1"/>
    <row r="624" spans="1:13" s="917" customFormat="1" ht="18" customHeight="1"/>
    <row r="625" spans="1:14" s="917" customFormat="1" ht="18" customHeight="1"/>
    <row r="626" spans="1:14" s="917" customFormat="1" ht="18" customHeight="1"/>
    <row r="627" spans="1:14" s="987" customFormat="1" ht="20.100000000000001" customHeight="1">
      <c r="A627" s="1276" t="s">
        <v>1624</v>
      </c>
      <c r="B627" s="1276"/>
      <c r="C627" s="1276"/>
      <c r="D627" s="1276"/>
      <c r="E627" s="1276"/>
      <c r="F627" s="1276"/>
      <c r="G627" s="1276"/>
      <c r="H627" s="1276"/>
      <c r="I627" s="1276"/>
      <c r="J627" s="1276"/>
      <c r="K627" s="1276"/>
      <c r="L627" s="1276"/>
      <c r="M627" s="1276"/>
    </row>
    <row r="628" spans="1:14" s="987" customFormat="1" ht="20.100000000000001" customHeight="1">
      <c r="A628" s="1105"/>
      <c r="B628" s="1105"/>
      <c r="C628" s="1105"/>
      <c r="D628" s="1105"/>
      <c r="E628" s="1105"/>
      <c r="F628" s="1105"/>
      <c r="G628" s="1105"/>
      <c r="H628" s="1105"/>
      <c r="I628" s="1105"/>
      <c r="J628" s="1105"/>
      <c r="K628" s="1105"/>
      <c r="L628" s="1105"/>
      <c r="M628" s="1105"/>
    </row>
    <row r="629" spans="1:14" s="1113" customFormat="1" ht="15" customHeight="1">
      <c r="A629" s="1259" t="s">
        <v>883</v>
      </c>
      <c r="B629" s="1259"/>
      <c r="C629" s="1259"/>
      <c r="D629" s="1259"/>
      <c r="E629" s="1259"/>
      <c r="F629" s="1259"/>
      <c r="G629" s="1259"/>
      <c r="H629" s="1259"/>
      <c r="I629" s="1259"/>
      <c r="J629" s="1259"/>
      <c r="K629" s="1259"/>
      <c r="L629" s="1259"/>
      <c r="M629" s="1259"/>
      <c r="N629" s="1165"/>
    </row>
    <row r="630" spans="1:14" s="1113" customFormat="1" ht="15" customHeight="1">
      <c r="A630" s="1259" t="s">
        <v>178</v>
      </c>
      <c r="B630" s="1259"/>
      <c r="C630" s="1259"/>
      <c r="D630" s="1259"/>
      <c r="E630" s="1259"/>
      <c r="F630" s="1259"/>
      <c r="G630" s="1259"/>
      <c r="H630" s="1259"/>
      <c r="I630" s="1259"/>
      <c r="J630" s="1259"/>
      <c r="K630" s="1259"/>
      <c r="L630" s="1259"/>
      <c r="M630" s="1259"/>
      <c r="N630" s="1165"/>
    </row>
    <row r="631" spans="1:14" s="1113" customFormat="1" ht="15" customHeight="1">
      <c r="A631" s="1259" t="s">
        <v>1742</v>
      </c>
      <c r="B631" s="1259"/>
      <c r="C631" s="1259"/>
      <c r="D631" s="1259"/>
      <c r="E631" s="1259"/>
      <c r="F631" s="1259"/>
      <c r="G631" s="1259"/>
      <c r="H631" s="1259"/>
      <c r="I631" s="1259"/>
      <c r="J631" s="1259"/>
      <c r="K631" s="1259"/>
      <c r="L631" s="1259"/>
      <c r="M631" s="1259"/>
      <c r="N631" s="1165"/>
    </row>
    <row r="632" spans="1:14" s="1113" customFormat="1" ht="15" customHeight="1">
      <c r="A632" s="1259"/>
      <c r="B632" s="1259"/>
      <c r="C632" s="1259"/>
      <c r="D632" s="1259"/>
      <c r="E632" s="1259"/>
      <c r="F632" s="1259"/>
      <c r="G632" s="1259"/>
      <c r="H632" s="1259"/>
      <c r="I632" s="1259"/>
      <c r="J632" s="1259"/>
      <c r="K632" s="1259"/>
      <c r="L632" s="1259"/>
      <c r="M632" s="1259"/>
      <c r="N632" s="1165"/>
    </row>
    <row r="633" spans="1:14" s="1113" customFormat="1" ht="15" customHeight="1">
      <c r="A633" s="1145"/>
      <c r="B633" s="1145"/>
      <c r="C633" s="1145"/>
      <c r="D633" s="1145"/>
      <c r="E633" s="1145"/>
      <c r="F633" s="1145"/>
      <c r="G633" s="1145"/>
      <c r="H633" s="1145"/>
      <c r="I633" s="1145"/>
      <c r="J633" s="1145"/>
      <c r="K633" s="1145"/>
      <c r="L633" s="1145"/>
      <c r="M633" s="1145"/>
      <c r="N633" s="1165"/>
    </row>
    <row r="634" spans="1:14" s="1113" customFormat="1" ht="15" customHeight="1">
      <c r="A634" s="1145"/>
      <c r="B634" s="1145"/>
      <c r="C634" s="1145"/>
      <c r="D634" s="1145"/>
      <c r="E634" s="1145"/>
      <c r="F634" s="1145"/>
      <c r="G634" s="1145"/>
      <c r="H634" s="1145"/>
      <c r="I634" s="1145"/>
      <c r="J634" s="1145"/>
      <c r="K634" s="1145"/>
      <c r="L634" s="1145"/>
      <c r="M634" s="1145"/>
      <c r="N634" s="1165"/>
    </row>
    <row r="635" spans="1:14" s="1113" customFormat="1" ht="15" customHeight="1">
      <c r="A635" s="1145"/>
      <c r="B635" s="1145"/>
      <c r="C635" s="1145"/>
      <c r="D635" s="1145"/>
      <c r="E635" s="1145"/>
      <c r="F635" s="1145"/>
      <c r="G635" s="1145"/>
      <c r="H635" s="1145"/>
      <c r="I635" s="1145"/>
      <c r="J635" s="1145"/>
      <c r="K635" s="1145"/>
      <c r="L635" s="1145"/>
      <c r="M635" s="1145"/>
      <c r="N635" s="1165"/>
    </row>
    <row r="636" spans="1:14" s="1113" customFormat="1" ht="18" customHeight="1">
      <c r="A636" s="1232" t="s">
        <v>1743</v>
      </c>
      <c r="B636" s="1232"/>
      <c r="C636" s="1232"/>
      <c r="D636" s="1232"/>
      <c r="E636" s="1232"/>
      <c r="F636" s="1232"/>
      <c r="G636" s="1232"/>
      <c r="H636" s="1232"/>
      <c r="I636" s="1232"/>
      <c r="J636" s="1232"/>
      <c r="K636" s="1232"/>
      <c r="L636" s="1232"/>
      <c r="M636" s="1232"/>
      <c r="N636" s="1166"/>
    </row>
    <row r="637" spans="1:14" s="1113" customFormat="1">
      <c r="A637" s="1234" t="s">
        <v>1780</v>
      </c>
      <c r="B637" s="1234"/>
      <c r="C637" s="1234"/>
      <c r="D637" s="1234"/>
      <c r="E637" s="1234"/>
      <c r="F637" s="1234"/>
      <c r="G637" s="1234"/>
      <c r="H637" s="1234"/>
      <c r="I637" s="1234"/>
      <c r="J637" s="1234"/>
      <c r="K637" s="1234"/>
      <c r="L637" s="1234"/>
      <c r="M637" s="1234"/>
      <c r="N637" s="1167"/>
    </row>
    <row r="638" spans="1:14" s="1113" customFormat="1" ht="15.75">
      <c r="A638" s="1113" t="s">
        <v>1805</v>
      </c>
      <c r="G638" s="1145"/>
      <c r="I638" s="1160"/>
      <c r="L638" s="1146"/>
      <c r="M638" s="1146"/>
    </row>
    <row r="639" spans="1:14" s="1113" customFormat="1" ht="15.75">
      <c r="A639" s="1113" t="s">
        <v>1776</v>
      </c>
      <c r="G639" s="1145"/>
      <c r="I639" s="1160"/>
      <c r="L639" s="1146"/>
      <c r="M639" s="1146"/>
    </row>
    <row r="640" spans="1:14" s="1113" customFormat="1" ht="8.1" customHeight="1">
      <c r="A640" s="1161" t="s">
        <v>1774</v>
      </c>
      <c r="G640" s="1145"/>
      <c r="I640" s="1160"/>
      <c r="L640" s="1146"/>
      <c r="M640" s="1146"/>
    </row>
    <row r="641" spans="1:14" s="1113" customFormat="1" ht="15.75" customHeight="1">
      <c r="A641" s="1113" t="s">
        <v>1806</v>
      </c>
      <c r="C641" s="1275" t="s">
        <v>1807</v>
      </c>
      <c r="D641" s="1275"/>
      <c r="E641" s="1275"/>
      <c r="F641" s="1275"/>
      <c r="G641" s="1275"/>
      <c r="H641" s="1275"/>
      <c r="I641" s="1275"/>
      <c r="J641" s="1275"/>
      <c r="K641" s="1275"/>
      <c r="L641" s="1275"/>
      <c r="M641" s="1275"/>
      <c r="N641" s="1144"/>
    </row>
    <row r="642" spans="1:14" s="1113" customFormat="1" ht="15.75" customHeight="1">
      <c r="C642" s="1275"/>
      <c r="D642" s="1275"/>
      <c r="E642" s="1275"/>
      <c r="F642" s="1275"/>
      <c r="G642" s="1275"/>
      <c r="H642" s="1275"/>
      <c r="I642" s="1275"/>
      <c r="J642" s="1275"/>
      <c r="K642" s="1275"/>
      <c r="L642" s="1275"/>
      <c r="M642" s="1275"/>
      <c r="N642" s="1144"/>
    </row>
    <row r="643" spans="1:14" s="917" customFormat="1" ht="18" customHeight="1" thickBot="1">
      <c r="A643" s="1279"/>
      <c r="B643" s="1279"/>
      <c r="C643" s="1279"/>
      <c r="D643" s="1279"/>
      <c r="E643" s="1279"/>
      <c r="F643" s="1279"/>
      <c r="G643" s="1279"/>
      <c r="H643" s="1279"/>
      <c r="I643" s="1279"/>
      <c r="J643" s="1279"/>
      <c r="K643" s="1279"/>
      <c r="L643" s="1279"/>
      <c r="M643" s="1279"/>
    </row>
    <row r="644" spans="1:14" ht="18" customHeight="1">
      <c r="A644" s="919"/>
      <c r="B644" s="920"/>
      <c r="C644" s="920"/>
      <c r="D644" s="920"/>
      <c r="E644" s="920"/>
      <c r="F644" s="921"/>
      <c r="G644" s="922"/>
      <c r="H644" s="923"/>
      <c r="I644" s="923" t="s">
        <v>6</v>
      </c>
      <c r="J644" s="1266" t="s">
        <v>630</v>
      </c>
      <c r="K644" s="1267"/>
      <c r="L644" s="1268"/>
      <c r="M644" s="924" t="s">
        <v>7</v>
      </c>
    </row>
    <row r="645" spans="1:14" ht="18" customHeight="1">
      <c r="A645" s="1269"/>
      <c r="B645" s="1270"/>
      <c r="C645" s="1270"/>
      <c r="D645" s="1270"/>
      <c r="E645" s="1270"/>
      <c r="F645" s="1271"/>
      <c r="G645" s="1106"/>
      <c r="H645" s="925"/>
      <c r="I645" s="925">
        <v>2020</v>
      </c>
      <c r="J645" s="925" t="s">
        <v>572</v>
      </c>
      <c r="K645" s="925" t="s">
        <v>573</v>
      </c>
      <c r="L645" s="925">
        <v>2021</v>
      </c>
      <c r="M645" s="926">
        <v>2022</v>
      </c>
    </row>
    <row r="646" spans="1:14" ht="18" customHeight="1">
      <c r="A646" s="1269" t="s">
        <v>21</v>
      </c>
      <c r="B646" s="1270"/>
      <c r="C646" s="1270"/>
      <c r="D646" s="1270"/>
      <c r="E646" s="1270"/>
      <c r="F646" s="1271"/>
      <c r="G646" s="927"/>
      <c r="H646" s="928" t="s">
        <v>624</v>
      </c>
      <c r="I646" s="925" t="s">
        <v>933</v>
      </c>
      <c r="J646" s="925" t="s">
        <v>571</v>
      </c>
      <c r="K646" s="925" t="s">
        <v>574</v>
      </c>
      <c r="L646" s="925" t="s">
        <v>933</v>
      </c>
      <c r="M646" s="926" t="s">
        <v>933</v>
      </c>
    </row>
    <row r="647" spans="1:14" ht="18" customHeight="1">
      <c r="A647" s="929"/>
      <c r="B647" s="930"/>
      <c r="C647" s="930"/>
      <c r="D647" s="930"/>
      <c r="E647" s="930"/>
      <c r="F647" s="931"/>
      <c r="G647" s="927"/>
      <c r="H647" s="925"/>
      <c r="I647" s="1220" t="s">
        <v>571</v>
      </c>
      <c r="J647" s="925">
        <v>2021</v>
      </c>
      <c r="K647" s="925">
        <v>2021</v>
      </c>
      <c r="L647" s="1220" t="s">
        <v>934</v>
      </c>
      <c r="M647" s="1221" t="s">
        <v>576</v>
      </c>
    </row>
    <row r="648" spans="1:14" ht="18" customHeight="1" thickBot="1">
      <c r="A648" s="1272"/>
      <c r="B648" s="1273"/>
      <c r="C648" s="1273"/>
      <c r="D648" s="1273"/>
      <c r="E648" s="1273"/>
      <c r="F648" s="1274"/>
      <c r="G648" s="1107"/>
      <c r="H648" s="932"/>
      <c r="I648" s="932"/>
      <c r="J648" s="932"/>
      <c r="K648" s="932"/>
      <c r="L648" s="932"/>
      <c r="M648" s="933"/>
    </row>
    <row r="649" spans="1:14" ht="18" customHeight="1">
      <c r="A649" s="934"/>
      <c r="B649" s="935" t="s">
        <v>366</v>
      </c>
      <c r="C649" s="936"/>
      <c r="D649" s="935"/>
      <c r="E649" s="935"/>
      <c r="F649" s="937"/>
      <c r="G649" s="938"/>
      <c r="H649" s="974"/>
      <c r="I649" s="975"/>
      <c r="J649" s="976"/>
      <c r="K649" s="976"/>
      <c r="L649" s="976"/>
      <c r="M649" s="976"/>
    </row>
    <row r="650" spans="1:14" ht="18" customHeight="1">
      <c r="A650" s="942"/>
      <c r="B650" s="943"/>
      <c r="C650" s="943" t="s">
        <v>525</v>
      </c>
      <c r="D650" s="943"/>
      <c r="E650" s="943"/>
      <c r="F650" s="944"/>
      <c r="G650" s="945"/>
      <c r="H650" s="977"/>
      <c r="I650" s="978"/>
      <c r="J650" s="979"/>
      <c r="K650" s="979"/>
      <c r="L650" s="979"/>
      <c r="M650" s="979"/>
    </row>
    <row r="651" spans="1:14" ht="18" customHeight="1">
      <c r="A651" s="942"/>
      <c r="B651" s="943"/>
      <c r="C651" s="943"/>
      <c r="D651" s="943" t="s">
        <v>526</v>
      </c>
      <c r="E651" s="943"/>
      <c r="F651" s="944"/>
      <c r="G651" s="945" t="s">
        <v>594</v>
      </c>
      <c r="H651" s="949" t="s">
        <v>687</v>
      </c>
      <c r="I651" s="950">
        <v>1605696</v>
      </c>
      <c r="J651" s="951">
        <f>832092</f>
        <v>832092</v>
      </c>
      <c r="K651" s="951">
        <f>1667370-J651</f>
        <v>835278</v>
      </c>
      <c r="L651" s="951">
        <f>SUM(K651+J651)</f>
        <v>1667370</v>
      </c>
      <c r="M651" s="951">
        <f>1730304+461076+357984+144072+259476</f>
        <v>2952912</v>
      </c>
    </row>
    <row r="652" spans="1:14" ht="18" customHeight="1">
      <c r="A652" s="942"/>
      <c r="B652" s="943"/>
      <c r="C652" s="943" t="s">
        <v>527</v>
      </c>
      <c r="D652" s="943"/>
      <c r="E652" s="943"/>
      <c r="F652" s="944"/>
      <c r="G652" s="945"/>
      <c r="H652" s="977"/>
      <c r="I652" s="950"/>
      <c r="J652" s="951"/>
      <c r="K652" s="951"/>
      <c r="L652" s="951"/>
      <c r="M652" s="951"/>
    </row>
    <row r="653" spans="1:14" ht="18" customHeight="1">
      <c r="A653" s="942"/>
      <c r="B653" s="943"/>
      <c r="C653" s="943"/>
      <c r="D653" s="943" t="s">
        <v>528</v>
      </c>
      <c r="E653" s="943"/>
      <c r="F653" s="944"/>
      <c r="G653" s="945" t="s">
        <v>595</v>
      </c>
      <c r="H653" s="949" t="s">
        <v>688</v>
      </c>
      <c r="I653" s="950">
        <v>96000</v>
      </c>
      <c r="J653" s="951">
        <v>48000</v>
      </c>
      <c r="K653" s="951">
        <f>96000-J653</f>
        <v>48000</v>
      </c>
      <c r="L653" s="951">
        <f t="shared" ref="L653:L671" si="21">SUM(K653+J653)</f>
        <v>96000</v>
      </c>
      <c r="M653" s="951">
        <f>96000+24000+24000+24000+24000</f>
        <v>192000</v>
      </c>
    </row>
    <row r="654" spans="1:14" ht="18" customHeight="1">
      <c r="A654" s="942"/>
      <c r="B654" s="943"/>
      <c r="C654" s="943"/>
      <c r="D654" s="943" t="s">
        <v>538</v>
      </c>
      <c r="E654" s="943"/>
      <c r="F654" s="944"/>
      <c r="G654" s="945" t="s">
        <v>596</v>
      </c>
      <c r="H654" s="949" t="s">
        <v>689</v>
      </c>
      <c r="I654" s="950">
        <v>76500</v>
      </c>
      <c r="J654" s="951">
        <v>38250</v>
      </c>
      <c r="K654" s="951">
        <f>76500-J654</f>
        <v>38250</v>
      </c>
      <c r="L654" s="951">
        <f t="shared" si="21"/>
        <v>76500</v>
      </c>
      <c r="M654" s="951">
        <v>76500</v>
      </c>
    </row>
    <row r="655" spans="1:14" ht="18" customHeight="1">
      <c r="A655" s="942"/>
      <c r="B655" s="943"/>
      <c r="C655" s="943"/>
      <c r="D655" s="943" t="s">
        <v>537</v>
      </c>
      <c r="E655" s="943"/>
      <c r="F655" s="944"/>
      <c r="G655" s="945" t="s">
        <v>597</v>
      </c>
      <c r="H655" s="949" t="s">
        <v>690</v>
      </c>
      <c r="I655" s="950">
        <v>76500</v>
      </c>
      <c r="J655" s="951">
        <v>38250</v>
      </c>
      <c r="K655" s="951">
        <f>76500-J655</f>
        <v>38250</v>
      </c>
      <c r="L655" s="951">
        <f t="shared" si="21"/>
        <v>76500</v>
      </c>
      <c r="M655" s="951">
        <v>76500</v>
      </c>
    </row>
    <row r="656" spans="1:14" ht="18" customHeight="1">
      <c r="A656" s="942"/>
      <c r="B656" s="943"/>
      <c r="C656" s="943"/>
      <c r="D656" s="943" t="s">
        <v>539</v>
      </c>
      <c r="E656" s="943"/>
      <c r="F656" s="944"/>
      <c r="G656" s="945" t="s">
        <v>598</v>
      </c>
      <c r="H656" s="949" t="s">
        <v>691</v>
      </c>
      <c r="I656" s="950">
        <v>24000</v>
      </c>
      <c r="J656" s="951">
        <v>24000</v>
      </c>
      <c r="K656" s="951">
        <f>24000-J656</f>
        <v>0</v>
      </c>
      <c r="L656" s="951">
        <f t="shared" si="21"/>
        <v>24000</v>
      </c>
      <c r="M656" s="951">
        <f>24000+6000+6000+6000+6000</f>
        <v>48000</v>
      </c>
    </row>
    <row r="657" spans="1:13" ht="18" customHeight="1">
      <c r="A657" s="942"/>
      <c r="B657" s="943"/>
      <c r="C657" s="943"/>
      <c r="D657" s="943" t="s">
        <v>1530</v>
      </c>
      <c r="E657" s="943"/>
      <c r="F657" s="944"/>
      <c r="G657" s="945" t="s">
        <v>599</v>
      </c>
      <c r="H657" s="949" t="s">
        <v>708</v>
      </c>
      <c r="I657" s="950">
        <v>49300</v>
      </c>
      <c r="J657" s="951">
        <v>18525</v>
      </c>
      <c r="K657" s="951">
        <f>72000-J657</f>
        <v>53475</v>
      </c>
      <c r="L657" s="951">
        <f t="shared" si="21"/>
        <v>72000</v>
      </c>
      <c r="M657" s="951">
        <f>72000+18000+18000</f>
        <v>108000</v>
      </c>
    </row>
    <row r="658" spans="1:13" ht="18" customHeight="1">
      <c r="A658" s="942"/>
      <c r="B658" s="943"/>
      <c r="C658" s="943"/>
      <c r="D658" s="943" t="s">
        <v>685</v>
      </c>
      <c r="E658" s="943"/>
      <c r="F658" s="944"/>
      <c r="G658" s="945" t="s">
        <v>600</v>
      </c>
      <c r="H658" s="949" t="s">
        <v>692</v>
      </c>
      <c r="I658" s="950">
        <v>20000</v>
      </c>
      <c r="J658" s="951">
        <v>0</v>
      </c>
      <c r="K658" s="951">
        <f>20000-J658</f>
        <v>20000</v>
      </c>
      <c r="L658" s="951">
        <f t="shared" si="21"/>
        <v>20000</v>
      </c>
      <c r="M658" s="951">
        <f>20000+5000+5000+5000+5000</f>
        <v>40000</v>
      </c>
    </row>
    <row r="659" spans="1:13" ht="18" customHeight="1">
      <c r="A659" s="942"/>
      <c r="B659" s="943"/>
      <c r="C659" s="943"/>
      <c r="D659" s="943" t="s">
        <v>541</v>
      </c>
      <c r="E659" s="943"/>
      <c r="F659" s="944"/>
      <c r="G659" s="945" t="s">
        <v>433</v>
      </c>
      <c r="H659" s="949" t="s">
        <v>693</v>
      </c>
      <c r="I659" s="950">
        <v>0</v>
      </c>
      <c r="J659" s="951">
        <v>5000</v>
      </c>
      <c r="K659" s="951">
        <f>5000-J659</f>
        <v>0</v>
      </c>
      <c r="L659" s="951">
        <f t="shared" si="21"/>
        <v>5000</v>
      </c>
      <c r="M659" s="951">
        <v>0</v>
      </c>
    </row>
    <row r="660" spans="1:13" ht="18" customHeight="1">
      <c r="A660" s="942"/>
      <c r="B660" s="943"/>
      <c r="C660" s="943"/>
      <c r="D660" s="943" t="s">
        <v>1630</v>
      </c>
      <c r="E660" s="943"/>
      <c r="F660" s="944"/>
      <c r="G660" s="945" t="s">
        <v>433</v>
      </c>
      <c r="H660" s="949" t="s">
        <v>693</v>
      </c>
      <c r="I660" s="950"/>
      <c r="J660" s="951">
        <v>12000</v>
      </c>
      <c r="K660" s="951">
        <f>12000-J660</f>
        <v>0</v>
      </c>
      <c r="L660" s="951">
        <f t="shared" si="21"/>
        <v>12000</v>
      </c>
      <c r="M660" s="951">
        <v>0</v>
      </c>
    </row>
    <row r="661" spans="1:13" ht="18" customHeight="1">
      <c r="A661" s="942"/>
      <c r="B661" s="943"/>
      <c r="C661" s="943"/>
      <c r="D661" s="943" t="s">
        <v>1513</v>
      </c>
      <c r="E661" s="943"/>
      <c r="F661" s="944"/>
      <c r="G661" s="945"/>
      <c r="H661" s="949" t="s">
        <v>693</v>
      </c>
      <c r="I661" s="950">
        <v>83803.850000000006</v>
      </c>
      <c r="J661" s="951">
        <v>0</v>
      </c>
      <c r="K661" s="951">
        <v>0</v>
      </c>
      <c r="L661" s="951">
        <f t="shared" si="21"/>
        <v>0</v>
      </c>
      <c r="M661" s="951">
        <v>0</v>
      </c>
    </row>
    <row r="662" spans="1:13" ht="18" customHeight="1">
      <c r="A662" s="942"/>
      <c r="B662" s="943"/>
      <c r="C662" s="943"/>
      <c r="D662" s="943" t="s">
        <v>543</v>
      </c>
      <c r="E662" s="943"/>
      <c r="F662" s="944"/>
      <c r="G662" s="945" t="s">
        <v>601</v>
      </c>
      <c r="H662" s="949" t="s">
        <v>709</v>
      </c>
      <c r="I662" s="950">
        <v>107632.8</v>
      </c>
      <c r="J662" s="951">
        <v>44847</v>
      </c>
      <c r="K662" s="951">
        <f>107632.8-J662</f>
        <v>62785.8</v>
      </c>
      <c r="L662" s="951">
        <f t="shared" si="21"/>
        <v>107632.8</v>
      </c>
      <c r="M662" s="951">
        <f>107632.8+32316+27132</f>
        <v>167080.79999999999</v>
      </c>
    </row>
    <row r="663" spans="1:13" ht="18" customHeight="1">
      <c r="A663" s="942"/>
      <c r="B663" s="943"/>
      <c r="C663" s="943"/>
      <c r="D663" s="943" t="s">
        <v>544</v>
      </c>
      <c r="E663" s="943"/>
      <c r="F663" s="944"/>
      <c r="G663" s="945" t="s">
        <v>603</v>
      </c>
      <c r="H663" s="949" t="s">
        <v>694</v>
      </c>
      <c r="I663" s="950">
        <v>20000</v>
      </c>
      <c r="J663" s="951">
        <v>0</v>
      </c>
      <c r="K663" s="951">
        <f>20000-J663</f>
        <v>20000</v>
      </c>
      <c r="L663" s="951">
        <f t="shared" si="21"/>
        <v>20000</v>
      </c>
      <c r="M663" s="951">
        <f>20000+5000+5000+5000+5000</f>
        <v>40000</v>
      </c>
    </row>
    <row r="664" spans="1:13" ht="18" customHeight="1">
      <c r="A664" s="942"/>
      <c r="B664" s="943"/>
      <c r="C664" s="943"/>
      <c r="D664" s="943" t="s">
        <v>805</v>
      </c>
      <c r="E664" s="943"/>
      <c r="F664" s="943"/>
      <c r="G664" s="953" t="s">
        <v>433</v>
      </c>
      <c r="H664" s="949" t="s">
        <v>693</v>
      </c>
      <c r="I664" s="950">
        <v>133808</v>
      </c>
      <c r="J664" s="951">
        <v>138682</v>
      </c>
      <c r="K664" s="951">
        <f>138682-J664</f>
        <v>0</v>
      </c>
      <c r="L664" s="951">
        <f t="shared" si="21"/>
        <v>138682</v>
      </c>
      <c r="M664" s="951">
        <f>144192+38423+29832+12006+21623</f>
        <v>246076</v>
      </c>
    </row>
    <row r="665" spans="1:13" ht="18" customHeight="1">
      <c r="A665" s="942"/>
      <c r="B665" s="943"/>
      <c r="C665" s="943"/>
      <c r="D665" s="943" t="s">
        <v>545</v>
      </c>
      <c r="E665" s="943"/>
      <c r="F665" s="944"/>
      <c r="G665" s="945" t="s">
        <v>604</v>
      </c>
      <c r="H665" s="949" t="s">
        <v>695</v>
      </c>
      <c r="I665" s="950">
        <v>133808</v>
      </c>
      <c r="J665" s="951">
        <v>0</v>
      </c>
      <c r="K665" s="951">
        <f>139166-J665</f>
        <v>139166</v>
      </c>
      <c r="L665" s="951">
        <f t="shared" si="21"/>
        <v>139166</v>
      </c>
      <c r="M665" s="951">
        <f>144192+38423+29832+12006+21623</f>
        <v>246076</v>
      </c>
    </row>
    <row r="666" spans="1:13" ht="18" customHeight="1">
      <c r="A666" s="942"/>
      <c r="B666" s="943"/>
      <c r="C666" s="943"/>
      <c r="D666" s="943" t="s">
        <v>658</v>
      </c>
      <c r="E666" s="943"/>
      <c r="F666" s="944"/>
      <c r="G666" s="945" t="s">
        <v>605</v>
      </c>
      <c r="H666" s="949" t="s">
        <v>696</v>
      </c>
      <c r="I666" s="950">
        <f>187999.68+4683.84</f>
        <v>192683.51999999999</v>
      </c>
      <c r="J666" s="951">
        <v>98096.4</v>
      </c>
      <c r="K666" s="951">
        <f>201000-J666</f>
        <v>102903.6</v>
      </c>
      <c r="L666" s="951">
        <f t="shared" si="21"/>
        <v>201000</v>
      </c>
      <c r="M666" s="951">
        <f>209000+55500+43000+17500+31150</f>
        <v>356150</v>
      </c>
    </row>
    <row r="667" spans="1:13" ht="18" customHeight="1">
      <c r="A667" s="942"/>
      <c r="B667" s="943"/>
      <c r="C667" s="943"/>
      <c r="D667" s="943" t="s">
        <v>546</v>
      </c>
      <c r="E667" s="943"/>
      <c r="F667" s="944"/>
      <c r="G667" s="945" t="s">
        <v>606</v>
      </c>
      <c r="H667" s="949" t="s">
        <v>697</v>
      </c>
      <c r="I667" s="950">
        <v>4800</v>
      </c>
      <c r="J667" s="951">
        <v>2400</v>
      </c>
      <c r="K667" s="951">
        <f>7200-J667</f>
        <v>4800</v>
      </c>
      <c r="L667" s="951">
        <f t="shared" si="21"/>
        <v>7200</v>
      </c>
      <c r="M667" s="951">
        <f>7200+1800+1800+1800+1800</f>
        <v>14400</v>
      </c>
    </row>
    <row r="668" spans="1:13" ht="18" customHeight="1">
      <c r="A668" s="942"/>
      <c r="B668" s="943"/>
      <c r="C668" s="943"/>
      <c r="D668" s="943" t="s">
        <v>547</v>
      </c>
      <c r="E668" s="943"/>
      <c r="F668" s="944"/>
      <c r="G668" s="945" t="s">
        <v>607</v>
      </c>
      <c r="H668" s="949" t="s">
        <v>698</v>
      </c>
      <c r="I668" s="950">
        <v>19740</v>
      </c>
      <c r="J668" s="951">
        <v>10275</v>
      </c>
      <c r="K668" s="951">
        <f>30000-J668</f>
        <v>19725</v>
      </c>
      <c r="L668" s="951">
        <f t="shared" si="21"/>
        <v>30000</v>
      </c>
      <c r="M668" s="951">
        <f>36000+9300+7200+3000+5200</f>
        <v>60700</v>
      </c>
    </row>
    <row r="669" spans="1:13" ht="18" customHeight="1">
      <c r="A669" s="942"/>
      <c r="B669" s="943"/>
      <c r="C669" s="943"/>
      <c r="D669" s="943" t="s">
        <v>654</v>
      </c>
      <c r="E669" s="943"/>
      <c r="F669" s="944"/>
      <c r="G669" s="945" t="s">
        <v>608</v>
      </c>
      <c r="H669" s="949" t="s">
        <v>699</v>
      </c>
      <c r="I669" s="950">
        <v>4800</v>
      </c>
      <c r="J669" s="951">
        <v>2400</v>
      </c>
      <c r="K669" s="951">
        <f>4800-J669</f>
        <v>2400</v>
      </c>
      <c r="L669" s="951">
        <f t="shared" si="21"/>
        <v>4800</v>
      </c>
      <c r="M669" s="951">
        <f>4800+1200+1200+1200+1200</f>
        <v>9600</v>
      </c>
    </row>
    <row r="670" spans="1:13" ht="18" customHeight="1">
      <c r="A670" s="942"/>
      <c r="B670" s="943"/>
      <c r="C670" s="943"/>
      <c r="D670" s="943" t="s">
        <v>549</v>
      </c>
      <c r="E670" s="943"/>
      <c r="F670" s="944"/>
      <c r="G670" s="945" t="s">
        <v>396</v>
      </c>
      <c r="H670" s="949" t="s">
        <v>711</v>
      </c>
      <c r="I670" s="950">
        <v>101472.57</v>
      </c>
      <c r="J670" s="951">
        <v>9141.67</v>
      </c>
      <c r="K670" s="951">
        <f>9141.67-J670</f>
        <v>0</v>
      </c>
      <c r="L670" s="951">
        <f t="shared" si="21"/>
        <v>9141.67</v>
      </c>
      <c r="M670" s="951">
        <v>0</v>
      </c>
    </row>
    <row r="671" spans="1:13" ht="18" customHeight="1">
      <c r="A671" s="942"/>
      <c r="B671" s="943"/>
      <c r="C671" s="943"/>
      <c r="D671" s="943" t="s">
        <v>1514</v>
      </c>
      <c r="E671" s="943"/>
      <c r="F671" s="944"/>
      <c r="G671" s="945"/>
      <c r="H671" s="949" t="s">
        <v>711</v>
      </c>
      <c r="I671" s="950">
        <v>40000</v>
      </c>
      <c r="J671" s="951">
        <v>0</v>
      </c>
      <c r="K671" s="951">
        <v>0</v>
      </c>
      <c r="L671" s="951">
        <f t="shared" si="21"/>
        <v>0</v>
      </c>
      <c r="M671" s="951">
        <v>0</v>
      </c>
    </row>
    <row r="672" spans="1:13" ht="18" customHeight="1">
      <c r="A672" s="954"/>
      <c r="B672" s="955"/>
      <c r="C672" s="955"/>
      <c r="D672" s="955" t="s">
        <v>371</v>
      </c>
      <c r="E672" s="955"/>
      <c r="F672" s="956"/>
      <c r="G672" s="957"/>
      <c r="H672" s="980"/>
      <c r="I672" s="958">
        <f>SUM(I651:I671)</f>
        <v>2790544.7399999998</v>
      </c>
      <c r="J672" s="958">
        <f>SUM(J651:J671)</f>
        <v>1321959.0699999998</v>
      </c>
      <c r="K672" s="958">
        <f>SUM(K651:K671)</f>
        <v>1385033.4000000001</v>
      </c>
      <c r="L672" s="958">
        <f>SUM(L651:L671)</f>
        <v>2706992.4699999997</v>
      </c>
      <c r="M672" s="958">
        <f>SUM(M651:M671)</f>
        <v>4633994.8</v>
      </c>
    </row>
    <row r="673" spans="1:13" ht="18" customHeight="1">
      <c r="A673" s="942"/>
      <c r="B673" s="943" t="s">
        <v>550</v>
      </c>
      <c r="C673" s="943"/>
      <c r="D673" s="943"/>
      <c r="E673" s="943"/>
      <c r="F673" s="944"/>
      <c r="G673" s="945"/>
      <c r="H673" s="977"/>
      <c r="I673" s="950"/>
      <c r="J673" s="951"/>
      <c r="K673" s="951"/>
      <c r="L673" s="951"/>
      <c r="M673" s="951"/>
    </row>
    <row r="674" spans="1:13" ht="18" customHeight="1">
      <c r="A674" s="942"/>
      <c r="B674" s="943"/>
      <c r="C674" s="943"/>
      <c r="D674" s="943" t="s">
        <v>551</v>
      </c>
      <c r="E674" s="943"/>
      <c r="F674" s="944"/>
      <c r="G674" s="945" t="s">
        <v>384</v>
      </c>
      <c r="H674" s="949" t="s">
        <v>701</v>
      </c>
      <c r="I674" s="950">
        <v>11835</v>
      </c>
      <c r="J674" s="951">
        <v>1900</v>
      </c>
      <c r="K674" s="951">
        <f>108000-J674</f>
        <v>106100</v>
      </c>
      <c r="L674" s="951">
        <f t="shared" ref="L674:L682" si="22">SUM(K674+J674)</f>
        <v>108000</v>
      </c>
      <c r="M674" s="951">
        <f>120000-12000</f>
        <v>108000</v>
      </c>
    </row>
    <row r="675" spans="1:13" ht="18" customHeight="1">
      <c r="A675" s="942"/>
      <c r="B675" s="943"/>
      <c r="C675" s="943"/>
      <c r="D675" s="943" t="s">
        <v>429</v>
      </c>
      <c r="E675" s="943"/>
      <c r="F675" s="944"/>
      <c r="G675" s="945" t="s">
        <v>385</v>
      </c>
      <c r="H675" s="949" t="s">
        <v>702</v>
      </c>
      <c r="I675" s="950">
        <v>7000</v>
      </c>
      <c r="J675" s="951">
        <v>0</v>
      </c>
      <c r="K675" s="951">
        <f>120000-J675</f>
        <v>120000</v>
      </c>
      <c r="L675" s="951">
        <f t="shared" si="22"/>
        <v>120000</v>
      </c>
      <c r="M675" s="951">
        <v>120000</v>
      </c>
    </row>
    <row r="676" spans="1:13" ht="18" customHeight="1">
      <c r="A676" s="942"/>
      <c r="B676" s="943"/>
      <c r="C676" s="943"/>
      <c r="D676" s="943" t="s">
        <v>378</v>
      </c>
      <c r="E676" s="943"/>
      <c r="F676" s="944"/>
      <c r="G676" s="945" t="s">
        <v>387</v>
      </c>
      <c r="H676" s="949" t="s">
        <v>703</v>
      </c>
      <c r="I676" s="950">
        <f>131929+28071</f>
        <v>160000</v>
      </c>
      <c r="J676" s="951">
        <v>19327.919999999998</v>
      </c>
      <c r="K676" s="951">
        <f>160000-J676</f>
        <v>140672.08000000002</v>
      </c>
      <c r="L676" s="951">
        <f t="shared" si="22"/>
        <v>160000</v>
      </c>
      <c r="M676" s="951">
        <v>200000</v>
      </c>
    </row>
    <row r="677" spans="1:13" ht="18" customHeight="1">
      <c r="A677" s="942"/>
      <c r="B677" s="943"/>
      <c r="C677" s="943"/>
      <c r="D677" s="943" t="s">
        <v>555</v>
      </c>
      <c r="E677" s="943"/>
      <c r="F677" s="944"/>
      <c r="G677" s="945" t="s">
        <v>613</v>
      </c>
      <c r="H677" s="949" t="s">
        <v>704</v>
      </c>
      <c r="I677" s="950">
        <v>244</v>
      </c>
      <c r="J677" s="951">
        <v>0</v>
      </c>
      <c r="K677" s="951">
        <f>1200-J677</f>
        <v>1200</v>
      </c>
      <c r="L677" s="951">
        <f t="shared" si="22"/>
        <v>1200</v>
      </c>
      <c r="M677" s="951">
        <v>1200</v>
      </c>
    </row>
    <row r="678" spans="1:13" ht="18" customHeight="1">
      <c r="A678" s="942"/>
      <c r="B678" s="943"/>
      <c r="C678" s="943"/>
      <c r="D678" s="943" t="s">
        <v>557</v>
      </c>
      <c r="E678" s="943"/>
      <c r="F678" s="944"/>
      <c r="G678" s="945" t="s">
        <v>388</v>
      </c>
      <c r="H678" s="949" t="s">
        <v>705</v>
      </c>
      <c r="I678" s="950">
        <v>24000</v>
      </c>
      <c r="J678" s="951">
        <v>18000</v>
      </c>
      <c r="K678" s="951">
        <f>36000-J678</f>
        <v>18000</v>
      </c>
      <c r="L678" s="951">
        <f t="shared" si="22"/>
        <v>36000</v>
      </c>
      <c r="M678" s="951">
        <f>24000+12000</f>
        <v>36000</v>
      </c>
    </row>
    <row r="679" spans="1:13" ht="18" customHeight="1">
      <c r="A679" s="942"/>
      <c r="B679" s="943"/>
      <c r="C679" s="943"/>
      <c r="D679" s="943" t="s">
        <v>926</v>
      </c>
      <c r="E679" s="943"/>
      <c r="F679" s="944"/>
      <c r="G679" s="945" t="s">
        <v>389</v>
      </c>
      <c r="H679" s="949" t="s">
        <v>706</v>
      </c>
      <c r="I679" s="950">
        <v>0</v>
      </c>
      <c r="J679" s="951">
        <v>0</v>
      </c>
      <c r="K679" s="951">
        <f>20000-J679</f>
        <v>20000</v>
      </c>
      <c r="L679" s="951">
        <f t="shared" si="22"/>
        <v>20000</v>
      </c>
      <c r="M679" s="951">
        <v>50000</v>
      </c>
    </row>
    <row r="680" spans="1:13" ht="18" customHeight="1">
      <c r="A680" s="942"/>
      <c r="B680" s="943"/>
      <c r="C680" s="943"/>
      <c r="D680" s="943" t="s">
        <v>562</v>
      </c>
      <c r="E680" s="943"/>
      <c r="F680" s="944"/>
      <c r="G680" s="945" t="s">
        <v>618</v>
      </c>
      <c r="H680" s="949" t="s">
        <v>719</v>
      </c>
      <c r="I680" s="950">
        <v>1142130.54</v>
      </c>
      <c r="J680" s="951">
        <v>547614.84</v>
      </c>
      <c r="K680" s="951">
        <f>2037840-J680</f>
        <v>1490225.1600000001</v>
      </c>
      <c r="L680" s="951">
        <f t="shared" si="22"/>
        <v>2037840</v>
      </c>
      <c r="M680" s="951">
        <v>1837840</v>
      </c>
    </row>
    <row r="681" spans="1:13" ht="18" customHeight="1">
      <c r="A681" s="942"/>
      <c r="B681" s="943"/>
      <c r="C681" s="943"/>
      <c r="D681" s="943" t="s">
        <v>1692</v>
      </c>
      <c r="E681" s="943"/>
      <c r="F681" s="944"/>
      <c r="G681" s="945"/>
      <c r="H681" s="949"/>
      <c r="I681" s="950">
        <v>0</v>
      </c>
      <c r="J681" s="951">
        <v>0</v>
      </c>
      <c r="K681" s="951">
        <v>0</v>
      </c>
      <c r="L681" s="951">
        <v>0</v>
      </c>
      <c r="M681" s="951">
        <v>6000000</v>
      </c>
    </row>
    <row r="682" spans="1:13" ht="18" customHeight="1">
      <c r="A682" s="942"/>
      <c r="B682" s="943"/>
      <c r="C682" s="943"/>
      <c r="D682" s="943" t="s">
        <v>564</v>
      </c>
      <c r="E682" s="943"/>
      <c r="F682" s="944"/>
      <c r="G682" s="945" t="s">
        <v>390</v>
      </c>
      <c r="H682" s="949" t="s">
        <v>707</v>
      </c>
      <c r="I682" s="950">
        <v>101000</v>
      </c>
      <c r="J682" s="951">
        <v>1000</v>
      </c>
      <c r="K682" s="951">
        <f>150000-J682</f>
        <v>149000</v>
      </c>
      <c r="L682" s="951">
        <f t="shared" si="22"/>
        <v>150000</v>
      </c>
      <c r="M682" s="951">
        <v>150000</v>
      </c>
    </row>
    <row r="683" spans="1:13" ht="18" customHeight="1">
      <c r="A683" s="954"/>
      <c r="B683" s="955"/>
      <c r="C683" s="955"/>
      <c r="D683" s="955" t="s">
        <v>752</v>
      </c>
      <c r="E683" s="955"/>
      <c r="F683" s="956"/>
      <c r="G683" s="957"/>
      <c r="H683" s="980"/>
      <c r="I683" s="958">
        <f>SUM(I674:I682)</f>
        <v>1446209.54</v>
      </c>
      <c r="J683" s="958">
        <f>SUM(J674:J682)</f>
        <v>587842.76</v>
      </c>
      <c r="K683" s="958">
        <f>SUM(K674:K682)</f>
        <v>2045197.2400000002</v>
      </c>
      <c r="L683" s="958">
        <f>SUM(L674:L682)</f>
        <v>2633040</v>
      </c>
      <c r="M683" s="958">
        <f>SUM(M674:M682)</f>
        <v>8503040</v>
      </c>
    </row>
    <row r="684" spans="1:13" ht="18" customHeight="1">
      <c r="A684" s="942"/>
      <c r="B684" s="943" t="s">
        <v>565</v>
      </c>
      <c r="C684" s="943"/>
      <c r="D684" s="943"/>
      <c r="E684" s="943"/>
      <c r="F684" s="944"/>
      <c r="G684" s="945"/>
      <c r="H684" s="977"/>
      <c r="I684" s="950"/>
      <c r="J684" s="951"/>
      <c r="K684" s="951"/>
      <c r="L684" s="951"/>
      <c r="M684" s="951"/>
    </row>
    <row r="685" spans="1:13" ht="18" customHeight="1">
      <c r="A685" s="942"/>
      <c r="B685" s="943"/>
      <c r="C685" s="943"/>
      <c r="D685" s="943" t="s">
        <v>1662</v>
      </c>
      <c r="E685" s="943"/>
      <c r="F685" s="944"/>
      <c r="G685" s="945" t="s">
        <v>846</v>
      </c>
      <c r="H685" s="949" t="s">
        <v>847</v>
      </c>
      <c r="I685" s="950">
        <v>0</v>
      </c>
      <c r="J685" s="951">
        <v>148775</v>
      </c>
      <c r="K685" s="951">
        <f>150000-J685</f>
        <v>1225</v>
      </c>
      <c r="L685" s="951">
        <f>J685+K685</f>
        <v>150000</v>
      </c>
      <c r="M685" s="951">
        <v>400000</v>
      </c>
    </row>
    <row r="686" spans="1:13" ht="18" customHeight="1">
      <c r="A686" s="942"/>
      <c r="B686" s="943"/>
      <c r="C686" s="943"/>
      <c r="D686" s="943" t="s">
        <v>845</v>
      </c>
      <c r="E686" s="943"/>
      <c r="F686" s="944"/>
      <c r="G686" s="945" t="s">
        <v>848</v>
      </c>
      <c r="H686" s="949" t="s">
        <v>1567</v>
      </c>
      <c r="I686" s="950">
        <v>55500</v>
      </c>
      <c r="J686" s="951">
        <v>0</v>
      </c>
      <c r="K686" s="951">
        <v>0</v>
      </c>
      <c r="L686" s="951">
        <f>J686+K686</f>
        <v>0</v>
      </c>
      <c r="M686" s="951">
        <v>75000</v>
      </c>
    </row>
    <row r="687" spans="1:13" ht="18" customHeight="1">
      <c r="A687" s="942"/>
      <c r="B687" s="943"/>
      <c r="C687" s="943"/>
      <c r="D687" s="943" t="s">
        <v>855</v>
      </c>
      <c r="E687" s="943"/>
      <c r="F687" s="944"/>
      <c r="G687" s="945"/>
      <c r="H687" s="949" t="s">
        <v>856</v>
      </c>
      <c r="I687" s="950">
        <v>0</v>
      </c>
      <c r="J687" s="951">
        <v>18990</v>
      </c>
      <c r="K687" s="951">
        <f>20000-J687</f>
        <v>1010</v>
      </c>
      <c r="L687" s="951">
        <f>J687+K687</f>
        <v>20000</v>
      </c>
      <c r="M687" s="951">
        <v>0</v>
      </c>
    </row>
    <row r="688" spans="1:13" ht="18" customHeight="1">
      <c r="A688" s="942"/>
      <c r="B688" s="943"/>
      <c r="C688" s="943"/>
      <c r="D688" s="943" t="s">
        <v>1663</v>
      </c>
      <c r="E688" s="943"/>
      <c r="F688" s="944"/>
      <c r="G688" s="945" t="s">
        <v>850</v>
      </c>
      <c r="H688" s="949" t="s">
        <v>851</v>
      </c>
      <c r="I688" s="950">
        <v>0</v>
      </c>
      <c r="J688" s="951">
        <v>19500</v>
      </c>
      <c r="K688" s="951">
        <f>20000-J688</f>
        <v>500</v>
      </c>
      <c r="L688" s="951">
        <f>J688+K688</f>
        <v>20000</v>
      </c>
      <c r="M688" s="951">
        <v>200000</v>
      </c>
    </row>
    <row r="689" spans="1:14" ht="18" customHeight="1">
      <c r="A689" s="954"/>
      <c r="B689" s="955"/>
      <c r="C689" s="955"/>
      <c r="D689" s="955" t="s">
        <v>797</v>
      </c>
      <c r="E689" s="955"/>
      <c r="F689" s="956"/>
      <c r="G689" s="957"/>
      <c r="H689" s="980"/>
      <c r="I689" s="958">
        <f>SUM(I685:I688)</f>
        <v>55500</v>
      </c>
      <c r="J689" s="958">
        <f>SUM(J685:J688)</f>
        <v>187265</v>
      </c>
      <c r="K689" s="958">
        <f>SUM(K685:K688)</f>
        <v>2735</v>
      </c>
      <c r="L689" s="958">
        <f>SUM(L685:L688)</f>
        <v>190000</v>
      </c>
      <c r="M689" s="958">
        <f>SUM(M685:M688)</f>
        <v>675000</v>
      </c>
    </row>
    <row r="690" spans="1:14" ht="18" customHeight="1">
      <c r="A690" s="954"/>
      <c r="B690" s="955"/>
      <c r="C690" s="955"/>
      <c r="D690" s="955"/>
      <c r="E690" s="955"/>
      <c r="F690" s="956"/>
      <c r="G690" s="957"/>
      <c r="H690" s="980"/>
      <c r="I690" s="958"/>
      <c r="J690" s="961"/>
      <c r="K690" s="961"/>
      <c r="L690" s="961"/>
      <c r="M690" s="961"/>
    </row>
    <row r="691" spans="1:14" ht="18" customHeight="1">
      <c r="A691" s="962" t="s">
        <v>625</v>
      </c>
      <c r="B691" s="963"/>
      <c r="C691" s="963"/>
      <c r="D691" s="963"/>
      <c r="E691" s="963"/>
      <c r="F691" s="964"/>
      <c r="G691" s="965"/>
      <c r="H691" s="981"/>
      <c r="I691" s="967">
        <f>SUM(I689+I683+I672)</f>
        <v>4292254.2799999993</v>
      </c>
      <c r="J691" s="967">
        <f>SUM(J689+J683+J672)</f>
        <v>2097066.8299999998</v>
      </c>
      <c r="K691" s="967">
        <f>SUM(K689+K683+K672)</f>
        <v>3432965.6400000006</v>
      </c>
      <c r="L691" s="967">
        <f>SUM(L689+L683+L672)</f>
        <v>5530032.4699999997</v>
      </c>
      <c r="M691" s="967">
        <f>SUM(M689+M683+M672)</f>
        <v>13812034.800000001</v>
      </c>
    </row>
    <row r="692" spans="1:14" ht="18" customHeight="1">
      <c r="A692" s="930"/>
      <c r="B692" s="968"/>
      <c r="C692" s="930"/>
      <c r="D692" s="930"/>
      <c r="E692" s="930"/>
      <c r="F692" s="930"/>
      <c r="G692" s="930"/>
      <c r="H692" s="969"/>
      <c r="I692" s="969"/>
      <c r="J692" s="970"/>
      <c r="K692" s="970"/>
      <c r="L692" s="970"/>
      <c r="M692" s="970"/>
    </row>
    <row r="693" spans="1:14" ht="18" customHeight="1">
      <c r="A693" s="1278" t="s">
        <v>1758</v>
      </c>
      <c r="B693" s="1278"/>
      <c r="C693" s="1278"/>
      <c r="D693" s="1278"/>
      <c r="E693" s="1278"/>
      <c r="F693" s="1278"/>
      <c r="G693" s="1278"/>
      <c r="H693" s="1278"/>
      <c r="I693" s="1278"/>
      <c r="J693" s="1278"/>
      <c r="K693" s="1278"/>
      <c r="L693" s="1278"/>
      <c r="M693" s="1278"/>
    </row>
    <row r="694" spans="1:14" s="917" customFormat="1" ht="18" customHeight="1">
      <c r="A694" s="915"/>
      <c r="B694" s="914"/>
      <c r="C694" s="915"/>
      <c r="D694" s="915"/>
      <c r="E694" s="915"/>
      <c r="F694" s="915"/>
      <c r="G694" s="972"/>
      <c r="H694" s="969"/>
      <c r="I694" s="969"/>
      <c r="K694" s="973"/>
      <c r="L694" s="973"/>
      <c r="M694" s="970"/>
    </row>
    <row r="695" spans="1:14" s="987" customFormat="1" ht="20.100000000000001" customHeight="1">
      <c r="A695" s="1276" t="s">
        <v>977</v>
      </c>
      <c r="B695" s="1276"/>
      <c r="C695" s="1276"/>
      <c r="D695" s="1276"/>
      <c r="E695" s="1276"/>
      <c r="F695" s="1276"/>
      <c r="G695" s="1276"/>
      <c r="H695" s="1276"/>
      <c r="I695" s="1276"/>
      <c r="J695" s="1276"/>
      <c r="K695" s="1276"/>
      <c r="L695" s="1276"/>
      <c r="M695" s="1276"/>
    </row>
    <row r="696" spans="1:14" s="917" customFormat="1" ht="18" customHeight="1">
      <c r="A696" s="914"/>
      <c r="B696" s="915"/>
      <c r="C696" s="915"/>
      <c r="D696" s="915"/>
      <c r="E696" s="915"/>
      <c r="F696" s="915"/>
      <c r="G696" s="915"/>
      <c r="H696" s="915"/>
      <c r="I696" s="915"/>
      <c r="J696" s="915"/>
      <c r="K696" s="915"/>
      <c r="L696" s="915"/>
      <c r="M696" s="916"/>
    </row>
    <row r="697" spans="1:14" s="1113" customFormat="1" ht="15" customHeight="1">
      <c r="A697" s="1259" t="s">
        <v>883</v>
      </c>
      <c r="B697" s="1259"/>
      <c r="C697" s="1259"/>
      <c r="D697" s="1259"/>
      <c r="E697" s="1259"/>
      <c r="F697" s="1259"/>
      <c r="G697" s="1259"/>
      <c r="H697" s="1259"/>
      <c r="I697" s="1259"/>
      <c r="J697" s="1259"/>
      <c r="K697" s="1259"/>
      <c r="L697" s="1259"/>
      <c r="M697" s="1259"/>
      <c r="N697" s="1165"/>
    </row>
    <row r="698" spans="1:14" s="1113" customFormat="1" ht="15" customHeight="1">
      <c r="A698" s="1259" t="s">
        <v>178</v>
      </c>
      <c r="B698" s="1259"/>
      <c r="C698" s="1259"/>
      <c r="D698" s="1259"/>
      <c r="E698" s="1259"/>
      <c r="F698" s="1259"/>
      <c r="G698" s="1259"/>
      <c r="H698" s="1259"/>
      <c r="I698" s="1259"/>
      <c r="J698" s="1259"/>
      <c r="K698" s="1259"/>
      <c r="L698" s="1259"/>
      <c r="M698" s="1259"/>
      <c r="N698" s="1165"/>
    </row>
    <row r="699" spans="1:14" s="1113" customFormat="1" ht="15" customHeight="1">
      <c r="A699" s="1259" t="s">
        <v>1742</v>
      </c>
      <c r="B699" s="1259"/>
      <c r="C699" s="1259"/>
      <c r="D699" s="1259"/>
      <c r="E699" s="1259"/>
      <c r="F699" s="1259"/>
      <c r="G699" s="1259"/>
      <c r="H699" s="1259"/>
      <c r="I699" s="1259"/>
      <c r="J699" s="1259"/>
      <c r="K699" s="1259"/>
      <c r="L699" s="1259"/>
      <c r="M699" s="1259"/>
      <c r="N699" s="1165"/>
    </row>
    <row r="700" spans="1:14" s="1113" customFormat="1" ht="15" customHeight="1">
      <c r="A700" s="1259"/>
      <c r="B700" s="1259"/>
      <c r="C700" s="1259"/>
      <c r="D700" s="1259"/>
      <c r="E700" s="1259"/>
      <c r="F700" s="1259"/>
      <c r="G700" s="1259"/>
      <c r="H700" s="1259"/>
      <c r="I700" s="1259"/>
      <c r="J700" s="1259"/>
      <c r="K700" s="1259"/>
      <c r="L700" s="1259"/>
      <c r="M700" s="1259"/>
      <c r="N700" s="1165"/>
    </row>
    <row r="701" spans="1:14" s="1113" customFormat="1" ht="15" customHeight="1">
      <c r="A701" s="1145"/>
      <c r="B701" s="1145"/>
      <c r="C701" s="1145"/>
      <c r="D701" s="1145"/>
      <c r="E701" s="1145"/>
      <c r="F701" s="1145"/>
      <c r="G701" s="1145"/>
      <c r="H701" s="1145"/>
      <c r="I701" s="1145"/>
      <c r="J701" s="1145"/>
      <c r="K701" s="1145"/>
      <c r="L701" s="1145"/>
      <c r="M701" s="1145"/>
      <c r="N701" s="1165"/>
    </row>
    <row r="702" spans="1:14" s="1113" customFormat="1" ht="15" customHeight="1">
      <c r="A702" s="1145"/>
      <c r="B702" s="1145"/>
      <c r="C702" s="1145"/>
      <c r="D702" s="1145"/>
      <c r="E702" s="1145"/>
      <c r="F702" s="1145"/>
      <c r="G702" s="1145"/>
      <c r="H702" s="1145"/>
      <c r="I702" s="1145"/>
      <c r="J702" s="1145"/>
      <c r="K702" s="1145"/>
      <c r="L702" s="1145"/>
      <c r="M702" s="1145"/>
      <c r="N702" s="1165"/>
    </row>
    <row r="703" spans="1:14" s="1113" customFormat="1" ht="15" customHeight="1">
      <c r="A703" s="1145"/>
      <c r="B703" s="1145"/>
      <c r="C703" s="1145"/>
      <c r="D703" s="1145"/>
      <c r="E703" s="1145"/>
      <c r="F703" s="1145"/>
      <c r="G703" s="1145"/>
      <c r="H703" s="1145"/>
      <c r="I703" s="1145"/>
      <c r="J703" s="1145"/>
      <c r="K703" s="1145"/>
      <c r="L703" s="1145"/>
      <c r="M703" s="1145"/>
      <c r="N703" s="1165"/>
    </row>
    <row r="704" spans="1:14" s="1113" customFormat="1" ht="18" customHeight="1">
      <c r="A704" s="1232" t="s">
        <v>1743</v>
      </c>
      <c r="B704" s="1232"/>
      <c r="C704" s="1232"/>
      <c r="D704" s="1232"/>
      <c r="E704" s="1232"/>
      <c r="F704" s="1232"/>
      <c r="G704" s="1232"/>
      <c r="H704" s="1232"/>
      <c r="I704" s="1232"/>
      <c r="J704" s="1232"/>
      <c r="K704" s="1232"/>
      <c r="L704" s="1232"/>
      <c r="M704" s="1232"/>
      <c r="N704" s="1166"/>
    </row>
    <row r="705" spans="1:14" s="1113" customFormat="1">
      <c r="A705" s="1234" t="s">
        <v>1780</v>
      </c>
      <c r="B705" s="1234"/>
      <c r="C705" s="1234"/>
      <c r="D705" s="1234"/>
      <c r="E705" s="1234"/>
      <c r="F705" s="1234"/>
      <c r="G705" s="1234"/>
      <c r="H705" s="1234"/>
      <c r="I705" s="1234"/>
      <c r="J705" s="1234"/>
      <c r="K705" s="1234"/>
      <c r="L705" s="1234"/>
      <c r="M705" s="1234"/>
      <c r="N705" s="1167"/>
    </row>
    <row r="706" spans="1:14" s="1113" customFormat="1" ht="15.75">
      <c r="A706" s="1113" t="s">
        <v>1808</v>
      </c>
      <c r="G706" s="1145"/>
      <c r="I706" s="1160"/>
      <c r="L706" s="1146"/>
      <c r="M706" s="1146"/>
    </row>
    <row r="707" spans="1:14" s="1113" customFormat="1" ht="15.75">
      <c r="A707" s="1113" t="s">
        <v>1776</v>
      </c>
      <c r="G707" s="1145"/>
      <c r="I707" s="1160"/>
      <c r="L707" s="1146"/>
      <c r="M707" s="1146"/>
    </row>
    <row r="708" spans="1:14" s="1113" customFormat="1" ht="8.1" customHeight="1">
      <c r="A708" s="1161" t="s">
        <v>1774</v>
      </c>
      <c r="G708" s="1145"/>
      <c r="I708" s="1160"/>
      <c r="L708" s="1146"/>
      <c r="M708" s="1146"/>
    </row>
    <row r="709" spans="1:14" s="1113" customFormat="1" ht="15.75" customHeight="1">
      <c r="A709" s="1113" t="s">
        <v>1809</v>
      </c>
      <c r="C709" s="1275" t="s">
        <v>1810</v>
      </c>
      <c r="D709" s="1275"/>
      <c r="E709" s="1275"/>
      <c r="F709" s="1275"/>
      <c r="G709" s="1275"/>
      <c r="H709" s="1275"/>
      <c r="I709" s="1275"/>
      <c r="J709" s="1275"/>
      <c r="K709" s="1275"/>
      <c r="L709" s="1275"/>
      <c r="M709" s="1275"/>
      <c r="N709" s="1144"/>
    </row>
    <row r="710" spans="1:14" s="1113" customFormat="1" ht="15.75" customHeight="1">
      <c r="C710" s="1275"/>
      <c r="D710" s="1275"/>
      <c r="E710" s="1275"/>
      <c r="F710" s="1275"/>
      <c r="G710" s="1275"/>
      <c r="H710" s="1275"/>
      <c r="I710" s="1275"/>
      <c r="J710" s="1275"/>
      <c r="K710" s="1275"/>
      <c r="L710" s="1275"/>
      <c r="M710" s="1275"/>
      <c r="N710" s="1144"/>
    </row>
    <row r="711" spans="1:14" s="917" customFormat="1" ht="18" customHeight="1" thickBot="1">
      <c r="A711" s="1279"/>
      <c r="B711" s="1279"/>
      <c r="C711" s="1279"/>
      <c r="D711" s="1279"/>
      <c r="E711" s="1279"/>
      <c r="F711" s="1279"/>
      <c r="G711" s="1279"/>
      <c r="H711" s="1279"/>
      <c r="I711" s="1279"/>
      <c r="J711" s="1279"/>
      <c r="K711" s="1279"/>
      <c r="L711" s="1279"/>
      <c r="M711" s="1279"/>
    </row>
    <row r="712" spans="1:14" ht="18" customHeight="1">
      <c r="A712" s="919"/>
      <c r="B712" s="920"/>
      <c r="C712" s="920"/>
      <c r="D712" s="920"/>
      <c r="E712" s="920"/>
      <c r="F712" s="921"/>
      <c r="G712" s="922"/>
      <c r="H712" s="923"/>
      <c r="I712" s="923" t="s">
        <v>6</v>
      </c>
      <c r="J712" s="1266" t="s">
        <v>630</v>
      </c>
      <c r="K712" s="1267"/>
      <c r="L712" s="1268"/>
      <c r="M712" s="924" t="s">
        <v>7</v>
      </c>
    </row>
    <row r="713" spans="1:14" ht="18" customHeight="1">
      <c r="A713" s="1269"/>
      <c r="B713" s="1270"/>
      <c r="C713" s="1270"/>
      <c r="D713" s="1270"/>
      <c r="E713" s="1270"/>
      <c r="F713" s="1271"/>
      <c r="G713" s="1106"/>
      <c r="H713" s="925"/>
      <c r="I713" s="925">
        <v>2020</v>
      </c>
      <c r="J713" s="925" t="s">
        <v>572</v>
      </c>
      <c r="K713" s="925" t="s">
        <v>573</v>
      </c>
      <c r="L713" s="925">
        <v>2021</v>
      </c>
      <c r="M713" s="926">
        <v>2022</v>
      </c>
    </row>
    <row r="714" spans="1:14" ht="18" customHeight="1">
      <c r="A714" s="1269" t="s">
        <v>21</v>
      </c>
      <c r="B714" s="1270"/>
      <c r="C714" s="1270"/>
      <c r="D714" s="1270"/>
      <c r="E714" s="1270"/>
      <c r="F714" s="1271"/>
      <c r="G714" s="927"/>
      <c r="H714" s="928" t="s">
        <v>624</v>
      </c>
      <c r="I714" s="925" t="s">
        <v>933</v>
      </c>
      <c r="J714" s="925" t="s">
        <v>571</v>
      </c>
      <c r="K714" s="925" t="s">
        <v>574</v>
      </c>
      <c r="L714" s="925" t="s">
        <v>933</v>
      </c>
      <c r="M714" s="926" t="s">
        <v>933</v>
      </c>
    </row>
    <row r="715" spans="1:14" ht="18" customHeight="1">
      <c r="A715" s="929"/>
      <c r="B715" s="930"/>
      <c r="C715" s="930"/>
      <c r="D715" s="930"/>
      <c r="E715" s="930"/>
      <c r="F715" s="931"/>
      <c r="G715" s="927"/>
      <c r="H715" s="925"/>
      <c r="I715" s="1220" t="s">
        <v>571</v>
      </c>
      <c r="J715" s="925">
        <v>2021</v>
      </c>
      <c r="K715" s="925">
        <v>2021</v>
      </c>
      <c r="L715" s="1220" t="s">
        <v>934</v>
      </c>
      <c r="M715" s="1221" t="s">
        <v>576</v>
      </c>
    </row>
    <row r="716" spans="1:14" ht="18" customHeight="1" thickBot="1">
      <c r="A716" s="1272"/>
      <c r="B716" s="1273"/>
      <c r="C716" s="1273"/>
      <c r="D716" s="1273"/>
      <c r="E716" s="1273"/>
      <c r="F716" s="1274"/>
      <c r="G716" s="1107"/>
      <c r="H716" s="932"/>
      <c r="I716" s="932"/>
      <c r="J716" s="932"/>
      <c r="K716" s="932"/>
      <c r="L716" s="932"/>
      <c r="M716" s="933"/>
    </row>
    <row r="717" spans="1:14" ht="18" customHeight="1">
      <c r="A717" s="934"/>
      <c r="B717" s="935" t="s">
        <v>366</v>
      </c>
      <c r="C717" s="936"/>
      <c r="D717" s="935"/>
      <c r="E717" s="935"/>
      <c r="F717" s="937"/>
      <c r="G717" s="938"/>
      <c r="H717" s="974"/>
      <c r="I717" s="975"/>
      <c r="J717" s="976"/>
      <c r="K717" s="976"/>
      <c r="L717" s="976"/>
      <c r="M717" s="976"/>
    </row>
    <row r="718" spans="1:14" ht="18" customHeight="1">
      <c r="A718" s="942"/>
      <c r="B718" s="943"/>
      <c r="C718" s="943" t="s">
        <v>525</v>
      </c>
      <c r="D718" s="943"/>
      <c r="E718" s="943"/>
      <c r="F718" s="944"/>
      <c r="G718" s="945"/>
      <c r="H718" s="977"/>
      <c r="I718" s="978"/>
      <c r="J718" s="979"/>
      <c r="K718" s="979"/>
      <c r="L718" s="979"/>
      <c r="M718" s="979"/>
    </row>
    <row r="719" spans="1:14" ht="18" customHeight="1">
      <c r="A719" s="942"/>
      <c r="B719" s="943"/>
      <c r="C719" s="943"/>
      <c r="D719" s="943" t="s">
        <v>526</v>
      </c>
      <c r="E719" s="943"/>
      <c r="F719" s="944"/>
      <c r="G719" s="945" t="s">
        <v>594</v>
      </c>
      <c r="H719" s="949" t="s">
        <v>687</v>
      </c>
      <c r="I719" s="950">
        <v>2670706.8199999998</v>
      </c>
      <c r="J719" s="951">
        <v>1404221</v>
      </c>
      <c r="K719" s="951">
        <f>2811352-J719</f>
        <v>1407131</v>
      </c>
      <c r="L719" s="951">
        <f>SUM(K719+J719)</f>
        <v>2811352</v>
      </c>
      <c r="M719" s="951">
        <v>2925480</v>
      </c>
    </row>
    <row r="720" spans="1:14" ht="18" customHeight="1">
      <c r="A720" s="942"/>
      <c r="B720" s="943"/>
      <c r="C720" s="943" t="s">
        <v>527</v>
      </c>
      <c r="D720" s="943"/>
      <c r="E720" s="943"/>
      <c r="F720" s="944"/>
      <c r="G720" s="945"/>
      <c r="H720" s="977"/>
      <c r="I720" s="950"/>
      <c r="J720" s="951"/>
      <c r="K720" s="951"/>
      <c r="L720" s="951"/>
      <c r="M720" s="951"/>
    </row>
    <row r="721" spans="1:13" ht="18" customHeight="1">
      <c r="A721" s="942"/>
      <c r="B721" s="943"/>
      <c r="C721" s="943"/>
      <c r="D721" s="943" t="s">
        <v>528</v>
      </c>
      <c r="E721" s="943"/>
      <c r="F721" s="944"/>
      <c r="G721" s="945" t="s">
        <v>595</v>
      </c>
      <c r="H721" s="949" t="s">
        <v>688</v>
      </c>
      <c r="I721" s="950">
        <v>214000</v>
      </c>
      <c r="J721" s="951">
        <v>108000</v>
      </c>
      <c r="K721" s="951">
        <f>216000-J721</f>
        <v>108000</v>
      </c>
      <c r="L721" s="951">
        <f t="shared" ref="L721:L738" si="23">SUM(K721+J721)</f>
        <v>216000</v>
      </c>
      <c r="M721" s="951">
        <v>216000</v>
      </c>
    </row>
    <row r="722" spans="1:13" ht="18" customHeight="1">
      <c r="A722" s="942"/>
      <c r="B722" s="943"/>
      <c r="C722" s="943"/>
      <c r="D722" s="943" t="s">
        <v>538</v>
      </c>
      <c r="E722" s="943"/>
      <c r="F722" s="944"/>
      <c r="G722" s="945" t="s">
        <v>596</v>
      </c>
      <c r="H722" s="949" t="s">
        <v>689</v>
      </c>
      <c r="I722" s="950">
        <v>76500</v>
      </c>
      <c r="J722" s="951">
        <v>38250</v>
      </c>
      <c r="K722" s="951">
        <f>76500-J722</f>
        <v>38250</v>
      </c>
      <c r="L722" s="951">
        <f t="shared" si="23"/>
        <v>76500</v>
      </c>
      <c r="M722" s="951">
        <v>76500</v>
      </c>
    </row>
    <row r="723" spans="1:13" ht="18" customHeight="1">
      <c r="A723" s="942"/>
      <c r="B723" s="943"/>
      <c r="C723" s="943"/>
      <c r="D723" s="943" t="s">
        <v>537</v>
      </c>
      <c r="E723" s="943"/>
      <c r="F723" s="944"/>
      <c r="G723" s="945" t="s">
        <v>597</v>
      </c>
      <c r="H723" s="949" t="s">
        <v>690</v>
      </c>
      <c r="I723" s="950">
        <v>76500</v>
      </c>
      <c r="J723" s="951">
        <v>38250</v>
      </c>
      <c r="K723" s="951">
        <f>76500-J723</f>
        <v>38250</v>
      </c>
      <c r="L723" s="951">
        <f t="shared" si="23"/>
        <v>76500</v>
      </c>
      <c r="M723" s="951">
        <v>76500</v>
      </c>
    </row>
    <row r="724" spans="1:13" ht="18" customHeight="1">
      <c r="A724" s="942"/>
      <c r="B724" s="943"/>
      <c r="C724" s="943"/>
      <c r="D724" s="943" t="s">
        <v>539</v>
      </c>
      <c r="E724" s="943"/>
      <c r="F724" s="944"/>
      <c r="G724" s="945" t="s">
        <v>598</v>
      </c>
      <c r="H724" s="949" t="s">
        <v>691</v>
      </c>
      <c r="I724" s="950">
        <v>54000</v>
      </c>
      <c r="J724" s="951">
        <v>54000</v>
      </c>
      <c r="K724" s="951">
        <f>54000-J724</f>
        <v>0</v>
      </c>
      <c r="L724" s="951">
        <f t="shared" si="23"/>
        <v>54000</v>
      </c>
      <c r="M724" s="951">
        <v>54000</v>
      </c>
    </row>
    <row r="725" spans="1:13" ht="18" customHeight="1">
      <c r="A725" s="942"/>
      <c r="B725" s="943"/>
      <c r="C725" s="943"/>
      <c r="D725" s="943" t="s">
        <v>685</v>
      </c>
      <c r="E725" s="943"/>
      <c r="F725" s="944"/>
      <c r="G725" s="945" t="s">
        <v>600</v>
      </c>
      <c r="H725" s="949" t="s">
        <v>692</v>
      </c>
      <c r="I725" s="950">
        <v>45000</v>
      </c>
      <c r="J725" s="951">
        <v>0</v>
      </c>
      <c r="K725" s="951">
        <f>45000-J725</f>
        <v>45000</v>
      </c>
      <c r="L725" s="951">
        <f t="shared" si="23"/>
        <v>45000</v>
      </c>
      <c r="M725" s="951">
        <v>45000</v>
      </c>
    </row>
    <row r="726" spans="1:13" ht="18" customHeight="1">
      <c r="A726" s="942"/>
      <c r="B726" s="943"/>
      <c r="C726" s="943"/>
      <c r="D726" s="943" t="s">
        <v>541</v>
      </c>
      <c r="E726" s="943"/>
      <c r="F726" s="944"/>
      <c r="G726" s="945" t="s">
        <v>433</v>
      </c>
      <c r="H726" s="949" t="s">
        <v>693</v>
      </c>
      <c r="I726" s="950">
        <v>10000</v>
      </c>
      <c r="J726" s="951">
        <v>10000</v>
      </c>
      <c r="K726" s="951">
        <f>10000-J726</f>
        <v>0</v>
      </c>
      <c r="L726" s="951">
        <f t="shared" si="23"/>
        <v>10000</v>
      </c>
      <c r="M726" s="951">
        <v>0</v>
      </c>
    </row>
    <row r="727" spans="1:13" ht="18" customHeight="1">
      <c r="A727" s="942"/>
      <c r="B727" s="943"/>
      <c r="C727" s="943"/>
      <c r="D727" s="943" t="s">
        <v>1630</v>
      </c>
      <c r="E727" s="943"/>
      <c r="F727" s="944"/>
      <c r="G727" s="945" t="s">
        <v>433</v>
      </c>
      <c r="H727" s="949" t="s">
        <v>693</v>
      </c>
      <c r="I727" s="950"/>
      <c r="J727" s="951">
        <v>27000</v>
      </c>
      <c r="K727" s="951">
        <f>27000-J727</f>
        <v>0</v>
      </c>
      <c r="L727" s="951">
        <f t="shared" si="23"/>
        <v>27000</v>
      </c>
      <c r="M727" s="951">
        <v>0</v>
      </c>
    </row>
    <row r="728" spans="1:13" ht="18" customHeight="1">
      <c r="A728" s="942"/>
      <c r="B728" s="943"/>
      <c r="C728" s="943"/>
      <c r="D728" s="943" t="s">
        <v>1513</v>
      </c>
      <c r="E728" s="943"/>
      <c r="F728" s="944"/>
      <c r="G728" s="945"/>
      <c r="H728" s="949" t="s">
        <v>693</v>
      </c>
      <c r="I728" s="950">
        <v>99392</v>
      </c>
      <c r="J728" s="951">
        <v>0</v>
      </c>
      <c r="K728" s="951">
        <v>0</v>
      </c>
      <c r="L728" s="951">
        <f t="shared" si="23"/>
        <v>0</v>
      </c>
      <c r="M728" s="951">
        <v>0</v>
      </c>
    </row>
    <row r="729" spans="1:13" ht="18" customHeight="1">
      <c r="A729" s="942"/>
      <c r="B729" s="943"/>
      <c r="C729" s="943"/>
      <c r="D729" s="943" t="s">
        <v>544</v>
      </c>
      <c r="E729" s="943"/>
      <c r="F729" s="944"/>
      <c r="G729" s="945" t="s">
        <v>603</v>
      </c>
      <c r="H729" s="949" t="s">
        <v>694</v>
      </c>
      <c r="I729" s="950">
        <v>45000</v>
      </c>
      <c r="J729" s="951">
        <v>0</v>
      </c>
      <c r="K729" s="951">
        <f>45000-J729</f>
        <v>45000</v>
      </c>
      <c r="L729" s="951">
        <f t="shared" si="23"/>
        <v>45000</v>
      </c>
      <c r="M729" s="951">
        <v>45000</v>
      </c>
    </row>
    <row r="730" spans="1:13" ht="18" customHeight="1">
      <c r="A730" s="942"/>
      <c r="B730" s="943"/>
      <c r="C730" s="943"/>
      <c r="D730" s="943" t="s">
        <v>805</v>
      </c>
      <c r="E730" s="943"/>
      <c r="F730" s="943"/>
      <c r="G730" s="953" t="s">
        <v>433</v>
      </c>
      <c r="H730" s="949" t="s">
        <v>693</v>
      </c>
      <c r="I730" s="950">
        <v>206794</v>
      </c>
      <c r="J730" s="951">
        <v>233001</v>
      </c>
      <c r="K730" s="951">
        <f>233001-J730</f>
        <v>0</v>
      </c>
      <c r="L730" s="951">
        <f t="shared" si="23"/>
        <v>233001</v>
      </c>
      <c r="M730" s="951">
        <v>243790</v>
      </c>
    </row>
    <row r="731" spans="1:13" ht="18" customHeight="1">
      <c r="A731" s="942"/>
      <c r="B731" s="943"/>
      <c r="C731" s="943"/>
      <c r="D731" s="943" t="s">
        <v>545</v>
      </c>
      <c r="E731" s="943"/>
      <c r="F731" s="944"/>
      <c r="G731" s="945" t="s">
        <v>604</v>
      </c>
      <c r="H731" s="949" t="s">
        <v>695</v>
      </c>
      <c r="I731" s="950">
        <v>224278</v>
      </c>
      <c r="J731" s="951">
        <v>1243</v>
      </c>
      <c r="K731" s="951">
        <f>234699-J731</f>
        <v>233456</v>
      </c>
      <c r="L731" s="951">
        <f t="shared" si="23"/>
        <v>234699</v>
      </c>
      <c r="M731" s="951">
        <v>243790</v>
      </c>
    </row>
    <row r="732" spans="1:13" ht="18" customHeight="1">
      <c r="A732" s="942"/>
      <c r="B732" s="943"/>
      <c r="C732" s="943"/>
      <c r="D732" s="943" t="s">
        <v>658</v>
      </c>
      <c r="E732" s="943"/>
      <c r="F732" s="944"/>
      <c r="G732" s="945" t="s">
        <v>605</v>
      </c>
      <c r="H732" s="949" t="s">
        <v>696</v>
      </c>
      <c r="I732" s="950">
        <f>309676.74+8681.76</f>
        <v>318358.5</v>
      </c>
      <c r="J732" s="951">
        <v>154334.04</v>
      </c>
      <c r="K732" s="951">
        <f>338000-J732</f>
        <v>183665.96</v>
      </c>
      <c r="L732" s="951">
        <f t="shared" si="23"/>
        <v>338000</v>
      </c>
      <c r="M732" s="951">
        <v>353000</v>
      </c>
    </row>
    <row r="733" spans="1:13" ht="18" customHeight="1">
      <c r="A733" s="942"/>
      <c r="B733" s="943"/>
      <c r="C733" s="943"/>
      <c r="D733" s="943" t="s">
        <v>546</v>
      </c>
      <c r="E733" s="943"/>
      <c r="F733" s="944"/>
      <c r="G733" s="945" t="s">
        <v>606</v>
      </c>
      <c r="H733" s="949" t="s">
        <v>697</v>
      </c>
      <c r="I733" s="950">
        <v>10700</v>
      </c>
      <c r="J733" s="951">
        <v>5400</v>
      </c>
      <c r="K733" s="951">
        <f>16200-J733</f>
        <v>10800</v>
      </c>
      <c r="L733" s="951">
        <f t="shared" si="23"/>
        <v>16200</v>
      </c>
      <c r="M733" s="951">
        <v>16200</v>
      </c>
    </row>
    <row r="734" spans="1:13" ht="18" customHeight="1">
      <c r="A734" s="942"/>
      <c r="B734" s="943"/>
      <c r="C734" s="943"/>
      <c r="D734" s="943" t="s">
        <v>547</v>
      </c>
      <c r="E734" s="943"/>
      <c r="F734" s="944"/>
      <c r="G734" s="945" t="s">
        <v>607</v>
      </c>
      <c r="H734" s="949" t="s">
        <v>698</v>
      </c>
      <c r="I734" s="950">
        <v>36570</v>
      </c>
      <c r="J734" s="951">
        <v>19140</v>
      </c>
      <c r="K734" s="951">
        <f>50000-J734</f>
        <v>30860</v>
      </c>
      <c r="L734" s="951">
        <f t="shared" si="23"/>
        <v>50000</v>
      </c>
      <c r="M734" s="951">
        <v>60000</v>
      </c>
    </row>
    <row r="735" spans="1:13" ht="18" customHeight="1">
      <c r="A735" s="942"/>
      <c r="B735" s="943"/>
      <c r="C735" s="943"/>
      <c r="D735" s="943" t="s">
        <v>654</v>
      </c>
      <c r="E735" s="943"/>
      <c r="F735" s="944"/>
      <c r="G735" s="945" t="s">
        <v>608</v>
      </c>
      <c r="H735" s="949" t="s">
        <v>699</v>
      </c>
      <c r="I735" s="950">
        <v>10700</v>
      </c>
      <c r="J735" s="951">
        <v>5300</v>
      </c>
      <c r="K735" s="951">
        <f>10800-J735</f>
        <v>5500</v>
      </c>
      <c r="L735" s="951">
        <f t="shared" si="23"/>
        <v>10800</v>
      </c>
      <c r="M735" s="951">
        <v>10800</v>
      </c>
    </row>
    <row r="736" spans="1:13" ht="18" customHeight="1">
      <c r="A736" s="942"/>
      <c r="B736" s="943"/>
      <c r="C736" s="943"/>
      <c r="D736" s="943" t="s">
        <v>372</v>
      </c>
      <c r="E736" s="943"/>
      <c r="F736" s="944"/>
      <c r="G736" s="945" t="s">
        <v>609</v>
      </c>
      <c r="H736" s="949" t="s">
        <v>700</v>
      </c>
      <c r="I736" s="950">
        <f>250000</f>
        <v>250000</v>
      </c>
      <c r="J736" s="951">
        <v>0</v>
      </c>
      <c r="K736" s="951">
        <v>0</v>
      </c>
      <c r="L736" s="951">
        <f t="shared" si="23"/>
        <v>0</v>
      </c>
      <c r="M736" s="951">
        <v>1300000</v>
      </c>
    </row>
    <row r="737" spans="1:13" ht="18" customHeight="1">
      <c r="A737" s="942"/>
      <c r="B737" s="943"/>
      <c r="C737" s="943"/>
      <c r="D737" s="943" t="s">
        <v>549</v>
      </c>
      <c r="E737" s="943"/>
      <c r="F737" s="944"/>
      <c r="G737" s="945" t="s">
        <v>396</v>
      </c>
      <c r="H737" s="949" t="s">
        <v>711</v>
      </c>
      <c r="I737" s="950">
        <v>0</v>
      </c>
      <c r="J737" s="951"/>
      <c r="K737" s="951"/>
      <c r="L737" s="951">
        <f t="shared" si="23"/>
        <v>0</v>
      </c>
      <c r="M737" s="951">
        <v>0</v>
      </c>
    </row>
    <row r="738" spans="1:13" ht="18" customHeight="1">
      <c r="A738" s="942"/>
      <c r="B738" s="943"/>
      <c r="C738" s="943"/>
      <c r="D738" s="943" t="s">
        <v>1514</v>
      </c>
      <c r="E738" s="943"/>
      <c r="F738" s="944"/>
      <c r="G738" s="945"/>
      <c r="H738" s="949" t="s">
        <v>711</v>
      </c>
      <c r="I738" s="950">
        <v>90000</v>
      </c>
      <c r="J738" s="951">
        <v>0</v>
      </c>
      <c r="K738" s="951">
        <v>0</v>
      </c>
      <c r="L738" s="951">
        <f t="shared" si="23"/>
        <v>0</v>
      </c>
      <c r="M738" s="951">
        <v>0</v>
      </c>
    </row>
    <row r="739" spans="1:13" ht="18" customHeight="1">
      <c r="A739" s="954"/>
      <c r="B739" s="955"/>
      <c r="C739" s="955"/>
      <c r="D739" s="955" t="s">
        <v>371</v>
      </c>
      <c r="E739" s="955"/>
      <c r="F739" s="956"/>
      <c r="G739" s="957"/>
      <c r="H739" s="980"/>
      <c r="I739" s="958">
        <f>SUM(I719:I738)</f>
        <v>4438499.32</v>
      </c>
      <c r="J739" s="958">
        <f>SUM(J719:J738)</f>
        <v>2098139.04</v>
      </c>
      <c r="K739" s="958">
        <f>SUM(K719:K738)</f>
        <v>2145912.96</v>
      </c>
      <c r="L739" s="958">
        <f>SUM(L719:L738)</f>
        <v>4244052</v>
      </c>
      <c r="M739" s="958">
        <f>SUM(M719:M738)</f>
        <v>5666060</v>
      </c>
    </row>
    <row r="740" spans="1:13" ht="18" customHeight="1">
      <c r="A740" s="942"/>
      <c r="B740" s="943" t="s">
        <v>550</v>
      </c>
      <c r="C740" s="943"/>
      <c r="D740" s="943"/>
      <c r="E740" s="943"/>
      <c r="F740" s="944"/>
      <c r="G740" s="945"/>
      <c r="H740" s="977"/>
      <c r="I740" s="950"/>
      <c r="J740" s="951"/>
      <c r="K740" s="951"/>
      <c r="L740" s="951"/>
      <c r="M740" s="951"/>
    </row>
    <row r="741" spans="1:13" ht="18" customHeight="1">
      <c r="A741" s="942"/>
      <c r="B741" s="943"/>
      <c r="C741" s="943"/>
      <c r="D741" s="943" t="s">
        <v>551</v>
      </c>
      <c r="E741" s="943"/>
      <c r="F741" s="944"/>
      <c r="G741" s="945" t="s">
        <v>384</v>
      </c>
      <c r="H741" s="949" t="s">
        <v>701</v>
      </c>
      <c r="I741" s="950">
        <v>76670</v>
      </c>
      <c r="J741" s="951">
        <v>1050</v>
      </c>
      <c r="K741" s="951">
        <f>120000-J741</f>
        <v>118950</v>
      </c>
      <c r="L741" s="951">
        <f t="shared" ref="L741:L749" si="24">SUM(K741+J741)</f>
        <v>120000</v>
      </c>
      <c r="M741" s="951">
        <v>132000</v>
      </c>
    </row>
    <row r="742" spans="1:13" ht="18" customHeight="1">
      <c r="A742" s="942"/>
      <c r="B742" s="943"/>
      <c r="C742" s="943"/>
      <c r="D742" s="943" t="s">
        <v>429</v>
      </c>
      <c r="E742" s="943"/>
      <c r="F742" s="944"/>
      <c r="G742" s="945" t="s">
        <v>385</v>
      </c>
      <c r="H742" s="949" t="s">
        <v>702</v>
      </c>
      <c r="I742" s="950">
        <v>8700</v>
      </c>
      <c r="J742" s="951">
        <v>0</v>
      </c>
      <c r="K742" s="951">
        <f>180000-J742</f>
        <v>180000</v>
      </c>
      <c r="L742" s="951">
        <f t="shared" si="24"/>
        <v>180000</v>
      </c>
      <c r="M742" s="951">
        <v>180000</v>
      </c>
    </row>
    <row r="743" spans="1:13" ht="18" customHeight="1">
      <c r="A743" s="942"/>
      <c r="B743" s="943"/>
      <c r="C743" s="943"/>
      <c r="D743" s="943" t="s">
        <v>378</v>
      </c>
      <c r="E743" s="943"/>
      <c r="F743" s="944"/>
      <c r="G743" s="945" t="s">
        <v>387</v>
      </c>
      <c r="H743" s="949" t="s">
        <v>703</v>
      </c>
      <c r="I743" s="950">
        <f>15384+24593</f>
        <v>39977</v>
      </c>
      <c r="J743" s="951">
        <f>1680</f>
        <v>1680</v>
      </c>
      <c r="K743" s="951">
        <f>50000-J743</f>
        <v>48320</v>
      </c>
      <c r="L743" s="951">
        <f t="shared" si="24"/>
        <v>50000</v>
      </c>
      <c r="M743" s="951">
        <f>50000</f>
        <v>50000</v>
      </c>
    </row>
    <row r="744" spans="1:13" ht="18" customHeight="1">
      <c r="A744" s="942"/>
      <c r="B744" s="943"/>
      <c r="C744" s="943"/>
      <c r="D744" s="943" t="s">
        <v>555</v>
      </c>
      <c r="E744" s="943"/>
      <c r="F744" s="944"/>
      <c r="G744" s="945" t="s">
        <v>613</v>
      </c>
      <c r="H744" s="949" t="s">
        <v>704</v>
      </c>
      <c r="I744" s="950">
        <v>0</v>
      </c>
      <c r="J744" s="951">
        <v>0</v>
      </c>
      <c r="K744" s="951">
        <f>1000-J744</f>
        <v>1000</v>
      </c>
      <c r="L744" s="951">
        <f t="shared" si="24"/>
        <v>1000</v>
      </c>
      <c r="M744" s="951">
        <v>1000</v>
      </c>
    </row>
    <row r="745" spans="1:13" ht="18" customHeight="1">
      <c r="A745" s="942"/>
      <c r="B745" s="943"/>
      <c r="C745" s="943"/>
      <c r="D745" s="943" t="s">
        <v>557</v>
      </c>
      <c r="E745" s="943"/>
      <c r="F745" s="944"/>
      <c r="G745" s="945" t="s">
        <v>388</v>
      </c>
      <c r="H745" s="949" t="s">
        <v>705</v>
      </c>
      <c r="I745" s="950">
        <v>24000</v>
      </c>
      <c r="J745" s="951">
        <v>18000</v>
      </c>
      <c r="K745" s="951">
        <f>36000-J745</f>
        <v>18000</v>
      </c>
      <c r="L745" s="951">
        <f t="shared" si="24"/>
        <v>36000</v>
      </c>
      <c r="M745" s="951">
        <f>24000+12000</f>
        <v>36000</v>
      </c>
    </row>
    <row r="746" spans="1:13" ht="18" customHeight="1">
      <c r="A746" s="942"/>
      <c r="B746" s="943"/>
      <c r="C746" s="943"/>
      <c r="D746" s="943" t="s">
        <v>926</v>
      </c>
      <c r="E746" s="943"/>
      <c r="F746" s="944"/>
      <c r="G746" s="945" t="s">
        <v>389</v>
      </c>
      <c r="H746" s="949" t="s">
        <v>706</v>
      </c>
      <c r="I746" s="950">
        <v>0</v>
      </c>
      <c r="J746" s="951">
        <v>3295</v>
      </c>
      <c r="K746" s="951">
        <f>20000-J746</f>
        <v>16705</v>
      </c>
      <c r="L746" s="951">
        <f t="shared" si="24"/>
        <v>20000</v>
      </c>
      <c r="M746" s="951">
        <v>20000</v>
      </c>
    </row>
    <row r="747" spans="1:13" ht="18" customHeight="1">
      <c r="A747" s="942"/>
      <c r="B747" s="943"/>
      <c r="C747" s="943"/>
      <c r="D747" s="943" t="s">
        <v>562</v>
      </c>
      <c r="E747" s="943"/>
      <c r="F747" s="944"/>
      <c r="G747" s="945" t="s">
        <v>619</v>
      </c>
      <c r="H747" s="949" t="s">
        <v>719</v>
      </c>
      <c r="I747" s="950">
        <v>641041.03</v>
      </c>
      <c r="J747" s="951">
        <v>478078</v>
      </c>
      <c r="K747" s="951">
        <f>847932.2-J747</f>
        <v>369854.19999999995</v>
      </c>
      <c r="L747" s="951">
        <f t="shared" si="24"/>
        <v>847932.2</v>
      </c>
      <c r="M747" s="951">
        <v>847932.2</v>
      </c>
    </row>
    <row r="748" spans="1:13" ht="18" customHeight="1">
      <c r="A748" s="942"/>
      <c r="B748" s="943"/>
      <c r="C748" s="943"/>
      <c r="D748" s="943" t="s">
        <v>1692</v>
      </c>
      <c r="E748" s="943"/>
      <c r="F748" s="944"/>
      <c r="G748" s="945"/>
      <c r="H748" s="949"/>
      <c r="I748" s="950">
        <v>0</v>
      </c>
      <c r="J748" s="951">
        <v>0</v>
      </c>
      <c r="K748" s="951">
        <v>0</v>
      </c>
      <c r="L748" s="951">
        <v>0</v>
      </c>
      <c r="M748" s="951">
        <v>5000000</v>
      </c>
    </row>
    <row r="749" spans="1:13" ht="18" customHeight="1">
      <c r="A749" s="942"/>
      <c r="B749" s="943"/>
      <c r="C749" s="943"/>
      <c r="D749" s="943" t="s">
        <v>564</v>
      </c>
      <c r="E749" s="943"/>
      <c r="F749" s="944"/>
      <c r="G749" s="945" t="s">
        <v>390</v>
      </c>
      <c r="H749" s="949" t="s">
        <v>707</v>
      </c>
      <c r="I749" s="950">
        <v>226500</v>
      </c>
      <c r="J749" s="951">
        <v>0</v>
      </c>
      <c r="K749" s="951">
        <f>10000-J749</f>
        <v>10000</v>
      </c>
      <c r="L749" s="951">
        <f t="shared" si="24"/>
        <v>10000</v>
      </c>
      <c r="M749" s="951">
        <v>10000</v>
      </c>
    </row>
    <row r="750" spans="1:13" ht="18" customHeight="1">
      <c r="A750" s="954"/>
      <c r="B750" s="955"/>
      <c r="C750" s="955"/>
      <c r="D750" s="955" t="s">
        <v>752</v>
      </c>
      <c r="E750" s="955"/>
      <c r="F750" s="956"/>
      <c r="G750" s="957"/>
      <c r="H750" s="980"/>
      <c r="I750" s="958">
        <f>SUM(I741:I749)</f>
        <v>1016888.03</v>
      </c>
      <c r="J750" s="958">
        <f>SUM(J741:J749)</f>
        <v>502103</v>
      </c>
      <c r="K750" s="958">
        <f>SUM(K741:K749)</f>
        <v>762829.2</v>
      </c>
      <c r="L750" s="958">
        <f>SUM(L741:L749)</f>
        <v>1264932.2</v>
      </c>
      <c r="M750" s="958">
        <f>SUM(M741:M749)</f>
        <v>6276932.2000000002</v>
      </c>
    </row>
    <row r="751" spans="1:13" ht="18" customHeight="1">
      <c r="A751" s="942"/>
      <c r="B751" s="943" t="s">
        <v>565</v>
      </c>
      <c r="C751" s="943"/>
      <c r="D751" s="943"/>
      <c r="E751" s="943"/>
      <c r="F751" s="944"/>
      <c r="G751" s="945"/>
      <c r="H751" s="977"/>
      <c r="I751" s="950"/>
      <c r="J751" s="951"/>
      <c r="K751" s="951"/>
      <c r="L751" s="951"/>
      <c r="M751" s="951"/>
    </row>
    <row r="752" spans="1:13" ht="18" customHeight="1">
      <c r="A752" s="942"/>
      <c r="B752" s="943"/>
      <c r="C752" s="943"/>
      <c r="D752" s="943" t="s">
        <v>1662</v>
      </c>
      <c r="E752" s="943"/>
      <c r="F752" s="944"/>
      <c r="G752" s="945"/>
      <c r="H752" s="949" t="s">
        <v>847</v>
      </c>
      <c r="I752" s="950">
        <v>0</v>
      </c>
      <c r="J752" s="951">
        <v>34100</v>
      </c>
      <c r="K752" s="951">
        <f>35000-J752</f>
        <v>900</v>
      </c>
      <c r="L752" s="951">
        <f>SUM(K752+J752)</f>
        <v>35000</v>
      </c>
      <c r="M752" s="951">
        <v>73000</v>
      </c>
    </row>
    <row r="753" spans="1:14" ht="18" customHeight="1">
      <c r="A753" s="942"/>
      <c r="B753" s="943"/>
      <c r="C753" s="943"/>
      <c r="D753" s="943" t="s">
        <v>845</v>
      </c>
      <c r="E753" s="943"/>
      <c r="F753" s="944"/>
      <c r="G753" s="945" t="s">
        <v>848</v>
      </c>
      <c r="H753" s="949" t="s">
        <v>1567</v>
      </c>
      <c r="I753" s="950">
        <f>92990</f>
        <v>92990</v>
      </c>
      <c r="J753" s="951">
        <v>0</v>
      </c>
      <c r="K753" s="951">
        <v>0</v>
      </c>
      <c r="L753" s="951">
        <f>SUM(K753+J753)</f>
        <v>0</v>
      </c>
      <c r="M753" s="951">
        <v>0</v>
      </c>
    </row>
    <row r="754" spans="1:14" ht="18" customHeight="1">
      <c r="A754" s="942"/>
      <c r="B754" s="943"/>
      <c r="C754" s="943"/>
      <c r="D754" s="943" t="s">
        <v>855</v>
      </c>
      <c r="E754" s="943"/>
      <c r="F754" s="944"/>
      <c r="G754" s="945"/>
      <c r="H754" s="949" t="s">
        <v>856</v>
      </c>
      <c r="I754" s="950">
        <v>0</v>
      </c>
      <c r="J754" s="951">
        <v>18990</v>
      </c>
      <c r="K754" s="951">
        <f>20000-J754</f>
        <v>1010</v>
      </c>
      <c r="L754" s="951">
        <f>SUM(K754+J754)</f>
        <v>20000</v>
      </c>
      <c r="M754" s="951">
        <v>0</v>
      </c>
    </row>
    <row r="755" spans="1:14" ht="18" customHeight="1">
      <c r="A755" s="942"/>
      <c r="B755" s="943"/>
      <c r="C755" s="943"/>
      <c r="D755" s="943" t="s">
        <v>849</v>
      </c>
      <c r="E755" s="943"/>
      <c r="F755" s="944"/>
      <c r="G755" s="945" t="s">
        <v>850</v>
      </c>
      <c r="H755" s="949" t="s">
        <v>851</v>
      </c>
      <c r="I755" s="950">
        <v>0</v>
      </c>
      <c r="J755" s="951">
        <v>54999</v>
      </c>
      <c r="K755" s="951">
        <f>65000-J755</f>
        <v>10001</v>
      </c>
      <c r="L755" s="951">
        <f>SUM(K755+J755)</f>
        <v>65000</v>
      </c>
      <c r="M755" s="951">
        <v>47000</v>
      </c>
    </row>
    <row r="756" spans="1:14" ht="18" customHeight="1">
      <c r="A756" s="954"/>
      <c r="B756" s="955"/>
      <c r="C756" s="955"/>
      <c r="D756" s="955" t="s">
        <v>797</v>
      </c>
      <c r="E756" s="955"/>
      <c r="F756" s="956"/>
      <c r="G756" s="957"/>
      <c r="H756" s="980"/>
      <c r="I756" s="958">
        <f>SUM(I752:I755)</f>
        <v>92990</v>
      </c>
      <c r="J756" s="958">
        <f>SUM(J752:J755)</f>
        <v>108089</v>
      </c>
      <c r="K756" s="958">
        <f>SUM(K752:K755)</f>
        <v>11911</v>
      </c>
      <c r="L756" s="958">
        <f>SUM(L752:L755)</f>
        <v>120000</v>
      </c>
      <c r="M756" s="958">
        <f>SUM(M752:M755)</f>
        <v>120000</v>
      </c>
    </row>
    <row r="757" spans="1:14" ht="18" customHeight="1">
      <c r="A757" s="954"/>
      <c r="B757" s="955"/>
      <c r="C757" s="955"/>
      <c r="D757" s="955"/>
      <c r="E757" s="955"/>
      <c r="F757" s="956"/>
      <c r="G757" s="957"/>
      <c r="H757" s="980"/>
      <c r="I757" s="958"/>
      <c r="J757" s="961"/>
      <c r="K757" s="961"/>
      <c r="L757" s="961"/>
      <c r="M757" s="961"/>
    </row>
    <row r="758" spans="1:14" ht="18" customHeight="1">
      <c r="A758" s="962" t="s">
        <v>625</v>
      </c>
      <c r="B758" s="963"/>
      <c r="C758" s="963"/>
      <c r="D758" s="963"/>
      <c r="E758" s="963"/>
      <c r="F758" s="964"/>
      <c r="G758" s="965"/>
      <c r="H758" s="981"/>
      <c r="I758" s="967">
        <f>SUM(I756+I750+I739)</f>
        <v>5548377.3500000006</v>
      </c>
      <c r="J758" s="967">
        <f>SUM(J756+J750+J739)</f>
        <v>2708331.04</v>
      </c>
      <c r="K758" s="967">
        <f>SUM(K756+K750+K739)</f>
        <v>2920653.16</v>
      </c>
      <c r="L758" s="967">
        <f>SUM(L756+L750+L739)</f>
        <v>5628984.2000000002</v>
      </c>
      <c r="M758" s="967">
        <f>SUM(M756+M750+M739)</f>
        <v>12062992.199999999</v>
      </c>
    </row>
    <row r="759" spans="1:14" ht="18" customHeight="1">
      <c r="A759" s="930"/>
      <c r="B759" s="968"/>
      <c r="C759" s="930"/>
      <c r="D759" s="930"/>
      <c r="E759" s="930"/>
      <c r="F759" s="930"/>
      <c r="G759" s="930"/>
      <c r="H759" s="969"/>
      <c r="I759" s="969"/>
      <c r="J759" s="970"/>
      <c r="K759" s="970"/>
      <c r="L759" s="970"/>
      <c r="M759" s="970"/>
    </row>
    <row r="760" spans="1:14" s="917" customFormat="1" ht="18" customHeight="1">
      <c r="A760" s="1278" t="s">
        <v>1758</v>
      </c>
      <c r="B760" s="1278"/>
      <c r="C760" s="1278"/>
      <c r="D760" s="1278"/>
      <c r="E760" s="1278"/>
      <c r="F760" s="1278"/>
      <c r="G760" s="1278"/>
      <c r="H760" s="1278"/>
      <c r="I760" s="1278"/>
      <c r="J760" s="1278"/>
      <c r="K760" s="1278"/>
      <c r="L760" s="1278"/>
      <c r="M760" s="1278"/>
    </row>
    <row r="761" spans="1:14" s="917" customFormat="1" ht="18" customHeight="1"/>
    <row r="762" spans="1:14" s="917" customFormat="1" ht="18" customHeight="1"/>
    <row r="763" spans="1:14" s="987" customFormat="1" ht="20.100000000000001" customHeight="1">
      <c r="A763" s="1276" t="s">
        <v>1625</v>
      </c>
      <c r="B763" s="1276"/>
      <c r="C763" s="1276"/>
      <c r="D763" s="1276"/>
      <c r="E763" s="1276"/>
      <c r="F763" s="1276"/>
      <c r="G763" s="1276"/>
      <c r="H763" s="1276"/>
      <c r="I763" s="1276"/>
      <c r="J763" s="1276"/>
      <c r="K763" s="1276"/>
      <c r="L763" s="1276"/>
      <c r="M763" s="1276"/>
    </row>
    <row r="764" spans="1:14" s="917" customFormat="1" ht="15" customHeight="1">
      <c r="A764" s="914"/>
      <c r="B764" s="915"/>
      <c r="C764" s="915"/>
      <c r="D764" s="915"/>
      <c r="E764" s="915"/>
      <c r="F764" s="915"/>
      <c r="G764" s="915"/>
      <c r="H764" s="915"/>
      <c r="I764" s="915"/>
      <c r="J764" s="915"/>
      <c r="K764" s="915"/>
      <c r="L764" s="915"/>
      <c r="M764" s="916"/>
    </row>
    <row r="765" spans="1:14" s="1113" customFormat="1" ht="15" customHeight="1">
      <c r="A765" s="1259" t="s">
        <v>883</v>
      </c>
      <c r="B765" s="1259"/>
      <c r="C765" s="1259"/>
      <c r="D765" s="1259"/>
      <c r="E765" s="1259"/>
      <c r="F765" s="1259"/>
      <c r="G765" s="1259"/>
      <c r="H765" s="1259"/>
      <c r="I765" s="1259"/>
      <c r="J765" s="1259"/>
      <c r="K765" s="1259"/>
      <c r="L765" s="1259"/>
      <c r="M765" s="1259"/>
      <c r="N765" s="1165"/>
    </row>
    <row r="766" spans="1:14" s="1113" customFormat="1" ht="15" customHeight="1">
      <c r="A766" s="1259" t="s">
        <v>178</v>
      </c>
      <c r="B766" s="1259"/>
      <c r="C766" s="1259"/>
      <c r="D766" s="1259"/>
      <c r="E766" s="1259"/>
      <c r="F766" s="1259"/>
      <c r="G766" s="1259"/>
      <c r="H766" s="1259"/>
      <c r="I766" s="1259"/>
      <c r="J766" s="1259"/>
      <c r="K766" s="1259"/>
      <c r="L766" s="1259"/>
      <c r="M766" s="1259"/>
      <c r="N766" s="1165"/>
    </row>
    <row r="767" spans="1:14" s="1113" customFormat="1" ht="15" customHeight="1">
      <c r="A767" s="1259" t="s">
        <v>1742</v>
      </c>
      <c r="B767" s="1259"/>
      <c r="C767" s="1259"/>
      <c r="D767" s="1259"/>
      <c r="E767" s="1259"/>
      <c r="F767" s="1259"/>
      <c r="G767" s="1259"/>
      <c r="H767" s="1259"/>
      <c r="I767" s="1259"/>
      <c r="J767" s="1259"/>
      <c r="K767" s="1259"/>
      <c r="L767" s="1259"/>
      <c r="M767" s="1259"/>
      <c r="N767" s="1165"/>
    </row>
    <row r="768" spans="1:14" s="1113" customFormat="1" ht="15" customHeight="1">
      <c r="A768" s="1259"/>
      <c r="B768" s="1259"/>
      <c r="C768" s="1259"/>
      <c r="D768" s="1259"/>
      <c r="E768" s="1259"/>
      <c r="F768" s="1259"/>
      <c r="G768" s="1259"/>
      <c r="H768" s="1259"/>
      <c r="I768" s="1259"/>
      <c r="J768" s="1259"/>
      <c r="K768" s="1259"/>
      <c r="L768" s="1259"/>
      <c r="M768" s="1259"/>
      <c r="N768" s="1165"/>
    </row>
    <row r="769" spans="1:14" s="1113" customFormat="1" ht="15" customHeight="1">
      <c r="A769" s="1145"/>
      <c r="B769" s="1145"/>
      <c r="C769" s="1145"/>
      <c r="D769" s="1145"/>
      <c r="E769" s="1145"/>
      <c r="F769" s="1145"/>
      <c r="G769" s="1145"/>
      <c r="H769" s="1145"/>
      <c r="I769" s="1145"/>
      <c r="J769" s="1145"/>
      <c r="K769" s="1145"/>
      <c r="L769" s="1145"/>
      <c r="M769" s="1145"/>
      <c r="N769" s="1165"/>
    </row>
    <row r="770" spans="1:14" s="1113" customFormat="1" ht="15" customHeight="1">
      <c r="A770" s="1145"/>
      <c r="B770" s="1145"/>
      <c r="C770" s="1145"/>
      <c r="D770" s="1145"/>
      <c r="E770" s="1145"/>
      <c r="F770" s="1145"/>
      <c r="G770" s="1145"/>
      <c r="H770" s="1145"/>
      <c r="I770" s="1145"/>
      <c r="J770" s="1145"/>
      <c r="K770" s="1145"/>
      <c r="L770" s="1145"/>
      <c r="M770" s="1145"/>
      <c r="N770" s="1165"/>
    </row>
    <row r="771" spans="1:14" s="1113" customFormat="1" ht="15" customHeight="1">
      <c r="A771" s="1145"/>
      <c r="B771" s="1145"/>
      <c r="C771" s="1145"/>
      <c r="D771" s="1145"/>
      <c r="E771" s="1145"/>
      <c r="F771" s="1145"/>
      <c r="G771" s="1145"/>
      <c r="H771" s="1145"/>
      <c r="I771" s="1145"/>
      <c r="J771" s="1145"/>
      <c r="K771" s="1145"/>
      <c r="L771" s="1145"/>
      <c r="M771" s="1145"/>
      <c r="N771" s="1165"/>
    </row>
    <row r="772" spans="1:14" s="1113" customFormat="1" ht="18" customHeight="1">
      <c r="A772" s="1232" t="s">
        <v>1743</v>
      </c>
      <c r="B772" s="1232"/>
      <c r="C772" s="1232"/>
      <c r="D772" s="1232"/>
      <c r="E772" s="1232"/>
      <c r="F772" s="1232"/>
      <c r="G772" s="1232"/>
      <c r="H772" s="1232"/>
      <c r="I772" s="1232"/>
      <c r="J772" s="1232"/>
      <c r="K772" s="1232"/>
      <c r="L772" s="1232"/>
      <c r="M772" s="1232"/>
      <c r="N772" s="1166"/>
    </row>
    <row r="773" spans="1:14" s="1113" customFormat="1">
      <c r="A773" s="1234" t="s">
        <v>1780</v>
      </c>
      <c r="B773" s="1234"/>
      <c r="C773" s="1234"/>
      <c r="D773" s="1234"/>
      <c r="E773" s="1234"/>
      <c r="F773" s="1234"/>
      <c r="G773" s="1234"/>
      <c r="H773" s="1234"/>
      <c r="I773" s="1234"/>
      <c r="J773" s="1234"/>
      <c r="K773" s="1234"/>
      <c r="L773" s="1234"/>
      <c r="M773" s="1234"/>
      <c r="N773" s="1167"/>
    </row>
    <row r="774" spans="1:14" s="1113" customFormat="1" ht="15.75">
      <c r="A774" s="1113" t="s">
        <v>1811</v>
      </c>
      <c r="G774" s="1145"/>
      <c r="I774" s="1160"/>
      <c r="L774" s="1146"/>
      <c r="M774" s="1146"/>
    </row>
    <row r="775" spans="1:14" s="1113" customFormat="1" ht="15.75">
      <c r="A775" s="1113" t="s">
        <v>1776</v>
      </c>
      <c r="G775" s="1145"/>
      <c r="I775" s="1160"/>
      <c r="L775" s="1146"/>
      <c r="M775" s="1146"/>
    </row>
    <row r="776" spans="1:14" s="1113" customFormat="1" ht="8.1" customHeight="1">
      <c r="A776" s="1161" t="s">
        <v>1774</v>
      </c>
      <c r="G776" s="1145"/>
      <c r="I776" s="1160"/>
      <c r="L776" s="1146"/>
      <c r="M776" s="1146"/>
    </row>
    <row r="777" spans="1:14" s="1113" customFormat="1" ht="15.75" customHeight="1">
      <c r="A777" s="1113" t="s">
        <v>1812</v>
      </c>
      <c r="C777" s="1280" t="s">
        <v>1813</v>
      </c>
      <c r="D777" s="1280"/>
      <c r="E777" s="1280"/>
      <c r="F777" s="1280"/>
      <c r="G777" s="1280"/>
      <c r="H777" s="1280"/>
      <c r="I777" s="1280"/>
      <c r="J777" s="1280"/>
      <c r="K777" s="1280"/>
      <c r="L777" s="1280"/>
      <c r="M777" s="1280"/>
      <c r="N777" s="1144"/>
    </row>
    <row r="778" spans="1:14" s="1113" customFormat="1" ht="15.75" customHeight="1">
      <c r="C778" s="1280"/>
      <c r="D778" s="1280"/>
      <c r="E778" s="1280"/>
      <c r="F778" s="1280"/>
      <c r="G778" s="1280"/>
      <c r="H778" s="1280"/>
      <c r="I778" s="1280"/>
      <c r="J778" s="1280"/>
      <c r="K778" s="1280"/>
      <c r="L778" s="1280"/>
      <c r="M778" s="1280"/>
      <c r="N778" s="1144"/>
    </row>
    <row r="779" spans="1:14" s="917" customFormat="1" ht="15" customHeight="1" thickBot="1">
      <c r="A779" s="1277"/>
      <c r="B779" s="1277"/>
      <c r="C779" s="1277"/>
      <c r="D779" s="1277"/>
      <c r="E779" s="1277"/>
      <c r="F779" s="1277"/>
      <c r="G779" s="1277"/>
      <c r="H779" s="1277"/>
      <c r="I779" s="1277"/>
      <c r="J779" s="1277"/>
      <c r="K779" s="1277"/>
      <c r="L779" s="1277"/>
      <c r="M779" s="1277"/>
    </row>
    <row r="780" spans="1:14" ht="18" customHeight="1">
      <c r="A780" s="919"/>
      <c r="B780" s="920"/>
      <c r="C780" s="920"/>
      <c r="D780" s="920"/>
      <c r="E780" s="920"/>
      <c r="F780" s="921"/>
      <c r="G780" s="922"/>
      <c r="H780" s="923"/>
      <c r="I780" s="923" t="s">
        <v>6</v>
      </c>
      <c r="J780" s="1266" t="s">
        <v>630</v>
      </c>
      <c r="K780" s="1267"/>
      <c r="L780" s="1268"/>
      <c r="M780" s="924" t="s">
        <v>7</v>
      </c>
    </row>
    <row r="781" spans="1:14" ht="18" customHeight="1">
      <c r="A781" s="1269"/>
      <c r="B781" s="1270"/>
      <c r="C781" s="1270"/>
      <c r="D781" s="1270"/>
      <c r="E781" s="1270"/>
      <c r="F781" s="1271"/>
      <c r="G781" s="1106"/>
      <c r="H781" s="925"/>
      <c r="I781" s="925">
        <v>2020</v>
      </c>
      <c r="J781" s="925" t="s">
        <v>572</v>
      </c>
      <c r="K781" s="925" t="s">
        <v>573</v>
      </c>
      <c r="L781" s="925">
        <v>2021</v>
      </c>
      <c r="M781" s="926">
        <v>2022</v>
      </c>
    </row>
    <row r="782" spans="1:14" ht="18" customHeight="1">
      <c r="A782" s="1269" t="s">
        <v>21</v>
      </c>
      <c r="B782" s="1270"/>
      <c r="C782" s="1270"/>
      <c r="D782" s="1270"/>
      <c r="E782" s="1270"/>
      <c r="F782" s="1271"/>
      <c r="G782" s="927"/>
      <c r="H782" s="928" t="s">
        <v>624</v>
      </c>
      <c r="I782" s="925" t="s">
        <v>933</v>
      </c>
      <c r="J782" s="925" t="s">
        <v>571</v>
      </c>
      <c r="K782" s="925" t="s">
        <v>574</v>
      </c>
      <c r="L782" s="925" t="s">
        <v>933</v>
      </c>
      <c r="M782" s="926" t="s">
        <v>933</v>
      </c>
    </row>
    <row r="783" spans="1:14" ht="18" customHeight="1">
      <c r="A783" s="929"/>
      <c r="B783" s="930"/>
      <c r="C783" s="930"/>
      <c r="D783" s="930"/>
      <c r="E783" s="930"/>
      <c r="F783" s="931"/>
      <c r="G783" s="927"/>
      <c r="H783" s="925"/>
      <c r="I783" s="1220" t="s">
        <v>571</v>
      </c>
      <c r="J783" s="925">
        <v>2021</v>
      </c>
      <c r="K783" s="925">
        <v>2021</v>
      </c>
      <c r="L783" s="1220" t="s">
        <v>934</v>
      </c>
      <c r="M783" s="1221" t="s">
        <v>576</v>
      </c>
    </row>
    <row r="784" spans="1:14" ht="18" customHeight="1" thickBot="1">
      <c r="A784" s="1272"/>
      <c r="B784" s="1273"/>
      <c r="C784" s="1273"/>
      <c r="D784" s="1273"/>
      <c r="E784" s="1273"/>
      <c r="F784" s="1274"/>
      <c r="G784" s="1107"/>
      <c r="H784" s="932"/>
      <c r="I784" s="932"/>
      <c r="J784" s="932"/>
      <c r="K784" s="932"/>
      <c r="L784" s="932"/>
      <c r="M784" s="933"/>
    </row>
    <row r="785" spans="1:13" ht="15.75" customHeight="1">
      <c r="A785" s="934"/>
      <c r="B785" s="935" t="s">
        <v>366</v>
      </c>
      <c r="C785" s="936"/>
      <c r="D785" s="935"/>
      <c r="E785" s="935"/>
      <c r="F785" s="937"/>
      <c r="G785" s="938"/>
      <c r="H785" s="974"/>
      <c r="I785" s="975"/>
      <c r="J785" s="976"/>
      <c r="K785" s="976"/>
      <c r="L785" s="976"/>
      <c r="M785" s="976"/>
    </row>
    <row r="786" spans="1:13" ht="15.75" customHeight="1">
      <c r="A786" s="942"/>
      <c r="B786" s="943"/>
      <c r="C786" s="943" t="s">
        <v>525</v>
      </c>
      <c r="D786" s="943"/>
      <c r="E786" s="943"/>
      <c r="F786" s="944"/>
      <c r="G786" s="945"/>
      <c r="H786" s="977"/>
      <c r="I786" s="978"/>
      <c r="J786" s="979"/>
      <c r="K786" s="979"/>
      <c r="L786" s="979"/>
      <c r="M786" s="979"/>
    </row>
    <row r="787" spans="1:13" ht="18" customHeight="1">
      <c r="A787" s="942"/>
      <c r="B787" s="943"/>
      <c r="C787" s="943"/>
      <c r="D787" s="943" t="s">
        <v>526</v>
      </c>
      <c r="E787" s="943"/>
      <c r="F787" s="944"/>
      <c r="G787" s="945" t="s">
        <v>594</v>
      </c>
      <c r="H787" s="949" t="s">
        <v>687</v>
      </c>
      <c r="I787" s="950">
        <v>4653187.1399999997</v>
      </c>
      <c r="J787" s="951">
        <v>2439027</v>
      </c>
      <c r="K787" s="951">
        <f>4880379-J787</f>
        <v>2441352</v>
      </c>
      <c r="L787" s="951">
        <f>SUM(K787+J787)</f>
        <v>4880379</v>
      </c>
      <c r="M787" s="951">
        <f>5103961+749388+227976+421164</f>
        <v>6502489</v>
      </c>
    </row>
    <row r="788" spans="1:13" ht="18" customHeight="1">
      <c r="A788" s="942"/>
      <c r="B788" s="943"/>
      <c r="C788" s="943" t="s">
        <v>527</v>
      </c>
      <c r="D788" s="943"/>
      <c r="E788" s="943"/>
      <c r="F788" s="944"/>
      <c r="G788" s="945"/>
      <c r="H788" s="977"/>
      <c r="I788" s="950"/>
      <c r="J788" s="951"/>
      <c r="K788" s="951"/>
      <c r="L788" s="951"/>
      <c r="M788" s="951"/>
    </row>
    <row r="789" spans="1:13" ht="18" customHeight="1">
      <c r="A789" s="942"/>
      <c r="B789" s="943"/>
      <c r="C789" s="943"/>
      <c r="D789" s="943" t="s">
        <v>528</v>
      </c>
      <c r="E789" s="943"/>
      <c r="F789" s="944"/>
      <c r="G789" s="945" t="s">
        <v>595</v>
      </c>
      <c r="H789" s="949" t="s">
        <v>688</v>
      </c>
      <c r="I789" s="950">
        <v>311636.36</v>
      </c>
      <c r="J789" s="951">
        <v>156000</v>
      </c>
      <c r="K789" s="951">
        <f>312000-J789</f>
        <v>156000</v>
      </c>
      <c r="L789" s="951">
        <f t="shared" ref="L789:L808" si="25">SUM(K789+J789)</f>
        <v>312000</v>
      </c>
      <c r="M789" s="951">
        <f>312000+24000+24000+24000</f>
        <v>384000</v>
      </c>
    </row>
    <row r="790" spans="1:13" ht="18" customHeight="1">
      <c r="A790" s="942"/>
      <c r="B790" s="943"/>
      <c r="C790" s="943"/>
      <c r="D790" s="943" t="s">
        <v>538</v>
      </c>
      <c r="E790" s="943"/>
      <c r="F790" s="944"/>
      <c r="G790" s="945" t="s">
        <v>596</v>
      </c>
      <c r="H790" s="949" t="s">
        <v>689</v>
      </c>
      <c r="I790" s="950">
        <v>76500</v>
      </c>
      <c r="J790" s="951">
        <v>38250</v>
      </c>
      <c r="K790" s="951">
        <f>76500-J790</f>
        <v>38250</v>
      </c>
      <c r="L790" s="951">
        <f t="shared" si="25"/>
        <v>76500</v>
      </c>
      <c r="M790" s="951">
        <v>76500</v>
      </c>
    </row>
    <row r="791" spans="1:13" ht="18" customHeight="1">
      <c r="A791" s="942"/>
      <c r="B791" s="943"/>
      <c r="C791" s="943"/>
      <c r="D791" s="943" t="s">
        <v>537</v>
      </c>
      <c r="E791" s="943"/>
      <c r="F791" s="944"/>
      <c r="G791" s="945" t="s">
        <v>597</v>
      </c>
      <c r="H791" s="949" t="s">
        <v>690</v>
      </c>
      <c r="I791" s="950">
        <v>76500</v>
      </c>
      <c r="J791" s="951">
        <v>38250</v>
      </c>
      <c r="K791" s="951">
        <f>76500-J791</f>
        <v>38250</v>
      </c>
      <c r="L791" s="951">
        <f t="shared" si="25"/>
        <v>76500</v>
      </c>
      <c r="M791" s="951">
        <v>76500</v>
      </c>
    </row>
    <row r="792" spans="1:13" ht="18" customHeight="1">
      <c r="A792" s="942"/>
      <c r="B792" s="943"/>
      <c r="C792" s="943"/>
      <c r="D792" s="943" t="s">
        <v>539</v>
      </c>
      <c r="E792" s="943"/>
      <c r="F792" s="944"/>
      <c r="G792" s="945" t="s">
        <v>598</v>
      </c>
      <c r="H792" s="949" t="s">
        <v>691</v>
      </c>
      <c r="I792" s="950">
        <v>78000</v>
      </c>
      <c r="J792" s="951">
        <v>78000</v>
      </c>
      <c r="K792" s="951">
        <f>78000-J792</f>
        <v>0</v>
      </c>
      <c r="L792" s="951">
        <f t="shared" si="25"/>
        <v>78000</v>
      </c>
      <c r="M792" s="951">
        <f>78000+6000+6000+6000</f>
        <v>96000</v>
      </c>
    </row>
    <row r="793" spans="1:13" ht="18" customHeight="1">
      <c r="A793" s="942"/>
      <c r="B793" s="943"/>
      <c r="C793" s="943"/>
      <c r="D793" s="943" t="s">
        <v>540</v>
      </c>
      <c r="E793" s="943"/>
      <c r="F793" s="944"/>
      <c r="G793" s="945" t="s">
        <v>599</v>
      </c>
      <c r="H793" s="949" t="s">
        <v>708</v>
      </c>
      <c r="I793" s="950">
        <v>170375</v>
      </c>
      <c r="J793" s="951">
        <v>70100</v>
      </c>
      <c r="K793" s="951">
        <f>257400-J793</f>
        <v>187300</v>
      </c>
      <c r="L793" s="951">
        <f t="shared" si="25"/>
        <v>257400</v>
      </c>
      <c r="M793" s="951">
        <f>257400+19800+19800+19800</f>
        <v>316800</v>
      </c>
    </row>
    <row r="794" spans="1:13" ht="18" customHeight="1">
      <c r="A794" s="942"/>
      <c r="B794" s="943"/>
      <c r="C794" s="943"/>
      <c r="D794" s="943" t="s">
        <v>685</v>
      </c>
      <c r="E794" s="943"/>
      <c r="F794" s="944"/>
      <c r="G794" s="945" t="s">
        <v>600</v>
      </c>
      <c r="H794" s="949" t="s">
        <v>692</v>
      </c>
      <c r="I794" s="950">
        <v>65000</v>
      </c>
      <c r="J794" s="951">
        <v>0</v>
      </c>
      <c r="K794" s="951">
        <f>65000-J794</f>
        <v>65000</v>
      </c>
      <c r="L794" s="951">
        <f t="shared" si="25"/>
        <v>65000</v>
      </c>
      <c r="M794" s="951">
        <f>65000+5000+5000+5000</f>
        <v>80000</v>
      </c>
    </row>
    <row r="795" spans="1:13" ht="18" customHeight="1">
      <c r="A795" s="942"/>
      <c r="B795" s="943"/>
      <c r="C795" s="943"/>
      <c r="D795" s="943" t="s">
        <v>541</v>
      </c>
      <c r="E795" s="943"/>
      <c r="F795" s="944"/>
      <c r="G795" s="945" t="s">
        <v>433</v>
      </c>
      <c r="H795" s="949" t="s">
        <v>693</v>
      </c>
      <c r="I795" s="950">
        <v>10000</v>
      </c>
      <c r="J795" s="951">
        <v>15000</v>
      </c>
      <c r="K795" s="951">
        <f>15000-J795</f>
        <v>0</v>
      </c>
      <c r="L795" s="951">
        <f t="shared" si="25"/>
        <v>15000</v>
      </c>
      <c r="M795" s="951">
        <v>0</v>
      </c>
    </row>
    <row r="796" spans="1:13" ht="18" customHeight="1">
      <c r="A796" s="942"/>
      <c r="B796" s="943"/>
      <c r="C796" s="943"/>
      <c r="D796" s="943" t="s">
        <v>1630</v>
      </c>
      <c r="E796" s="943"/>
      <c r="F796" s="944"/>
      <c r="G796" s="945" t="s">
        <v>433</v>
      </c>
      <c r="H796" s="949" t="s">
        <v>693</v>
      </c>
      <c r="I796" s="950">
        <v>0</v>
      </c>
      <c r="J796" s="951">
        <v>39000</v>
      </c>
      <c r="K796" s="951">
        <f>39000-J796</f>
        <v>0</v>
      </c>
      <c r="L796" s="951">
        <f t="shared" si="25"/>
        <v>39000</v>
      </c>
      <c r="M796" s="951">
        <v>0</v>
      </c>
    </row>
    <row r="797" spans="1:13" ht="18" customHeight="1">
      <c r="A797" s="942"/>
      <c r="B797" s="943"/>
      <c r="C797" s="943"/>
      <c r="D797" s="943" t="s">
        <v>1513</v>
      </c>
      <c r="E797" s="943"/>
      <c r="F797" s="944"/>
      <c r="G797" s="945"/>
      <c r="H797" s="949" t="s">
        <v>693</v>
      </c>
      <c r="I797" s="950">
        <v>266829.17</v>
      </c>
      <c r="J797" s="951">
        <v>0</v>
      </c>
      <c r="K797" s="951">
        <v>0</v>
      </c>
      <c r="L797" s="951">
        <f t="shared" si="25"/>
        <v>0</v>
      </c>
      <c r="M797" s="951">
        <v>0</v>
      </c>
    </row>
    <row r="798" spans="1:13" ht="18" customHeight="1">
      <c r="A798" s="942"/>
      <c r="B798" s="943"/>
      <c r="C798" s="943"/>
      <c r="D798" s="943" t="s">
        <v>543</v>
      </c>
      <c r="E798" s="943"/>
      <c r="F798" s="944"/>
      <c r="G798" s="945" t="s">
        <v>601</v>
      </c>
      <c r="H798" s="949" t="s">
        <v>709</v>
      </c>
      <c r="I798" s="950">
        <v>413047.5</v>
      </c>
      <c r="J798" s="951">
        <v>173917.5</v>
      </c>
      <c r="K798" s="951">
        <f>420783-J798</f>
        <v>246865.5</v>
      </c>
      <c r="L798" s="951">
        <f t="shared" si="25"/>
        <v>420783</v>
      </c>
      <c r="M798" s="951">
        <f>420783+59877+26127+39900</f>
        <v>546687</v>
      </c>
    </row>
    <row r="799" spans="1:13" ht="18" customHeight="1">
      <c r="A799" s="942"/>
      <c r="B799" s="943"/>
      <c r="C799" s="943"/>
      <c r="D799" s="943" t="s">
        <v>544</v>
      </c>
      <c r="E799" s="943"/>
      <c r="F799" s="944"/>
      <c r="G799" s="945" t="s">
        <v>603</v>
      </c>
      <c r="H799" s="949" t="s">
        <v>694</v>
      </c>
      <c r="I799" s="950">
        <v>65000</v>
      </c>
      <c r="J799" s="951">
        <v>0</v>
      </c>
      <c r="K799" s="951">
        <f>65000-J799</f>
        <v>65000</v>
      </c>
      <c r="L799" s="951">
        <f t="shared" si="25"/>
        <v>65000</v>
      </c>
      <c r="M799" s="951">
        <f>65000+5000+5000+5000</f>
        <v>80000</v>
      </c>
    </row>
    <row r="800" spans="1:13" ht="18" customHeight="1">
      <c r="A800" s="942"/>
      <c r="B800" s="943"/>
      <c r="C800" s="943"/>
      <c r="D800" s="943" t="s">
        <v>805</v>
      </c>
      <c r="E800" s="943"/>
      <c r="F800" s="943"/>
      <c r="G800" s="953" t="s">
        <v>433</v>
      </c>
      <c r="H800" s="949" t="s">
        <v>693</v>
      </c>
      <c r="I800" s="950">
        <v>387304</v>
      </c>
      <c r="J800" s="951">
        <v>406707</v>
      </c>
      <c r="K800" s="951">
        <f>406707-J800</f>
        <v>0</v>
      </c>
      <c r="L800" s="951">
        <f t="shared" si="25"/>
        <v>406707</v>
      </c>
      <c r="M800" s="951">
        <f>424528+62449+18998+35097</f>
        <v>541072</v>
      </c>
    </row>
    <row r="801" spans="1:13" ht="18" customHeight="1">
      <c r="A801" s="942"/>
      <c r="B801" s="943"/>
      <c r="C801" s="943"/>
      <c r="D801" s="943" t="s">
        <v>545</v>
      </c>
      <c r="E801" s="943"/>
      <c r="F801" s="944"/>
      <c r="G801" s="945" t="s">
        <v>604</v>
      </c>
      <c r="H801" s="949" t="s">
        <v>695</v>
      </c>
      <c r="I801" s="950">
        <v>388397</v>
      </c>
      <c r="J801" s="951">
        <v>0</v>
      </c>
      <c r="K801" s="951">
        <f>406996-J801</f>
        <v>406996</v>
      </c>
      <c r="L801" s="951">
        <f t="shared" si="25"/>
        <v>406996</v>
      </c>
      <c r="M801" s="951">
        <f>426586+62449+18998+35097</f>
        <v>543130</v>
      </c>
    </row>
    <row r="802" spans="1:13" ht="18" customHeight="1">
      <c r="A802" s="942"/>
      <c r="B802" s="943"/>
      <c r="C802" s="943"/>
      <c r="D802" s="943" t="s">
        <v>658</v>
      </c>
      <c r="E802" s="943"/>
      <c r="F802" s="944"/>
      <c r="G802" s="945" t="s">
        <v>605</v>
      </c>
      <c r="H802" s="949" t="s">
        <v>696</v>
      </c>
      <c r="I802" s="950">
        <f>541657.6+17942.4</f>
        <v>559600</v>
      </c>
      <c r="J802" s="951">
        <v>285920.64000000001</v>
      </c>
      <c r="K802" s="951">
        <f>587000-J802</f>
        <v>301079.36</v>
      </c>
      <c r="L802" s="951">
        <f t="shared" si="25"/>
        <v>587000</v>
      </c>
      <c r="M802" s="951">
        <f>613000+90000+27400+50600</f>
        <v>781000</v>
      </c>
    </row>
    <row r="803" spans="1:13" ht="18" customHeight="1">
      <c r="A803" s="942"/>
      <c r="B803" s="943"/>
      <c r="C803" s="943"/>
      <c r="D803" s="943" t="s">
        <v>546</v>
      </c>
      <c r="E803" s="943"/>
      <c r="F803" s="944"/>
      <c r="G803" s="945" t="s">
        <v>606</v>
      </c>
      <c r="H803" s="949" t="s">
        <v>697</v>
      </c>
      <c r="I803" s="950">
        <v>15600</v>
      </c>
      <c r="J803" s="951">
        <v>7800</v>
      </c>
      <c r="K803" s="951">
        <f>23400-J803</f>
        <v>15600</v>
      </c>
      <c r="L803" s="951">
        <f t="shared" si="25"/>
        <v>23400</v>
      </c>
      <c r="M803" s="951">
        <f>23400+1800+1800+1800</f>
        <v>28800</v>
      </c>
    </row>
    <row r="804" spans="1:13" ht="18" customHeight="1">
      <c r="A804" s="942"/>
      <c r="B804" s="943"/>
      <c r="C804" s="943"/>
      <c r="D804" s="943" t="s">
        <v>547</v>
      </c>
      <c r="E804" s="943"/>
      <c r="F804" s="944"/>
      <c r="G804" s="945" t="s">
        <v>607</v>
      </c>
      <c r="H804" s="949" t="s">
        <v>698</v>
      </c>
      <c r="I804" s="950">
        <v>62535</v>
      </c>
      <c r="J804" s="951">
        <v>32790</v>
      </c>
      <c r="K804" s="951">
        <f>86000-J804</f>
        <v>53210</v>
      </c>
      <c r="L804" s="951">
        <f t="shared" si="25"/>
        <v>86000</v>
      </c>
      <c r="M804" s="951">
        <f>103000+15000+4600+8450</f>
        <v>131050</v>
      </c>
    </row>
    <row r="805" spans="1:13" ht="18" customHeight="1">
      <c r="A805" s="942"/>
      <c r="B805" s="943"/>
      <c r="C805" s="943"/>
      <c r="D805" s="943" t="s">
        <v>654</v>
      </c>
      <c r="E805" s="943"/>
      <c r="F805" s="944"/>
      <c r="G805" s="945" t="s">
        <v>608</v>
      </c>
      <c r="H805" s="949" t="s">
        <v>699</v>
      </c>
      <c r="I805" s="950">
        <v>14300</v>
      </c>
      <c r="J805" s="951">
        <v>7800</v>
      </c>
      <c r="K805" s="951">
        <f>15600-J805</f>
        <v>7800</v>
      </c>
      <c r="L805" s="951">
        <f t="shared" si="25"/>
        <v>15600</v>
      </c>
      <c r="M805" s="951">
        <f>15600+1200+1200+1200</f>
        <v>19200</v>
      </c>
    </row>
    <row r="806" spans="1:13" ht="18" customHeight="1">
      <c r="A806" s="942"/>
      <c r="B806" s="943"/>
      <c r="C806" s="943"/>
      <c r="D806" s="943" t="s">
        <v>549</v>
      </c>
      <c r="E806" s="943"/>
      <c r="F806" s="944"/>
      <c r="G806" s="945" t="s">
        <v>396</v>
      </c>
      <c r="H806" s="949" t="s">
        <v>711</v>
      </c>
      <c r="I806" s="950">
        <v>430000.47</v>
      </c>
      <c r="J806" s="951">
        <v>552361.89</v>
      </c>
      <c r="K806" s="951">
        <f>552361.89-J806</f>
        <v>0</v>
      </c>
      <c r="L806" s="951">
        <f t="shared" si="25"/>
        <v>552361.89</v>
      </c>
      <c r="M806" s="951">
        <v>0</v>
      </c>
    </row>
    <row r="807" spans="1:13" ht="18" customHeight="1">
      <c r="A807" s="942"/>
      <c r="B807" s="943"/>
      <c r="C807" s="943"/>
      <c r="D807" s="943" t="s">
        <v>1514</v>
      </c>
      <c r="E807" s="943"/>
      <c r="F807" s="944"/>
      <c r="G807" s="945"/>
      <c r="H807" s="949" t="s">
        <v>711</v>
      </c>
      <c r="I807" s="950">
        <v>130000</v>
      </c>
      <c r="J807" s="951">
        <v>0</v>
      </c>
      <c r="K807" s="951">
        <v>0</v>
      </c>
      <c r="L807" s="951">
        <f t="shared" si="25"/>
        <v>0</v>
      </c>
      <c r="M807" s="951">
        <v>0</v>
      </c>
    </row>
    <row r="808" spans="1:13" ht="18" customHeight="1">
      <c r="A808" s="942"/>
      <c r="B808" s="943"/>
      <c r="C808" s="943"/>
      <c r="D808" s="943" t="s">
        <v>548</v>
      </c>
      <c r="E808" s="943"/>
      <c r="F808" s="944"/>
      <c r="G808" s="945" t="s">
        <v>610</v>
      </c>
      <c r="H808" s="949" t="s">
        <v>700</v>
      </c>
      <c r="I808" s="950">
        <v>25000</v>
      </c>
      <c r="J808" s="951">
        <v>0</v>
      </c>
      <c r="K808" s="951">
        <f>25000-J808</f>
        <v>25000</v>
      </c>
      <c r="L808" s="951">
        <f t="shared" si="25"/>
        <v>25000</v>
      </c>
      <c r="M808" s="951">
        <v>25000</v>
      </c>
    </row>
    <row r="809" spans="1:13" ht="18" customHeight="1">
      <c r="A809" s="954"/>
      <c r="B809" s="955"/>
      <c r="C809" s="955"/>
      <c r="D809" s="955" t="s">
        <v>371</v>
      </c>
      <c r="E809" s="955"/>
      <c r="F809" s="956"/>
      <c r="G809" s="957"/>
      <c r="H809" s="980"/>
      <c r="I809" s="958">
        <f>SUM(I787:I808)</f>
        <v>8198811.6399999997</v>
      </c>
      <c r="J809" s="958">
        <f>SUM(J787:J808)</f>
        <v>4340924.03</v>
      </c>
      <c r="K809" s="958">
        <f>SUM(K787:K808)</f>
        <v>4047702.86</v>
      </c>
      <c r="L809" s="958">
        <f>SUM(L787:L808)</f>
        <v>8388626.8900000006</v>
      </c>
      <c r="M809" s="958">
        <f>SUM(M787:M808)</f>
        <v>10228228</v>
      </c>
    </row>
    <row r="810" spans="1:13" ht="18" customHeight="1">
      <c r="A810" s="942"/>
      <c r="B810" s="943" t="s">
        <v>550</v>
      </c>
      <c r="C810" s="943"/>
      <c r="D810" s="943"/>
      <c r="E810" s="943"/>
      <c r="F810" s="944"/>
      <c r="G810" s="945"/>
      <c r="H810" s="977"/>
      <c r="I810" s="950"/>
      <c r="J810" s="951"/>
      <c r="K810" s="951"/>
      <c r="L810" s="951"/>
      <c r="M810" s="951"/>
    </row>
    <row r="811" spans="1:13" ht="18" customHeight="1">
      <c r="A811" s="942"/>
      <c r="B811" s="943"/>
      <c r="C811" s="943"/>
      <c r="D811" s="943" t="s">
        <v>551</v>
      </c>
      <c r="E811" s="943"/>
      <c r="F811" s="944"/>
      <c r="G811" s="945" t="s">
        <v>384</v>
      </c>
      <c r="H811" s="949" t="s">
        <v>701</v>
      </c>
      <c r="I811" s="950">
        <f>55870+8400</f>
        <v>64270</v>
      </c>
      <c r="J811" s="951">
        <v>28950</v>
      </c>
      <c r="K811" s="951">
        <f>174340-J811</f>
        <v>145390</v>
      </c>
      <c r="L811" s="951">
        <f t="shared" ref="L811:L819" si="26">SUM(K811+J811)</f>
        <v>174340</v>
      </c>
      <c r="M811" s="951">
        <v>191774</v>
      </c>
    </row>
    <row r="812" spans="1:13" ht="18" customHeight="1">
      <c r="A812" s="942"/>
      <c r="B812" s="943"/>
      <c r="C812" s="943"/>
      <c r="D812" s="943" t="s">
        <v>429</v>
      </c>
      <c r="E812" s="943"/>
      <c r="F812" s="944"/>
      <c r="G812" s="945" t="s">
        <v>385</v>
      </c>
      <c r="H812" s="949" t="s">
        <v>702</v>
      </c>
      <c r="I812" s="950">
        <v>3000</v>
      </c>
      <c r="J812" s="951">
        <v>0</v>
      </c>
      <c r="K812" s="951">
        <f>93170-J812</f>
        <v>93170</v>
      </c>
      <c r="L812" s="951">
        <f t="shared" si="26"/>
        <v>93170</v>
      </c>
      <c r="M812" s="951">
        <v>102478</v>
      </c>
    </row>
    <row r="813" spans="1:13" ht="18" customHeight="1">
      <c r="A813" s="942"/>
      <c r="B813" s="943"/>
      <c r="C813" s="943"/>
      <c r="D813" s="943" t="s">
        <v>378</v>
      </c>
      <c r="E813" s="943"/>
      <c r="F813" s="944"/>
      <c r="G813" s="945" t="s">
        <v>387</v>
      </c>
      <c r="H813" s="949" t="s">
        <v>703</v>
      </c>
      <c r="I813" s="950">
        <v>99527</v>
      </c>
      <c r="J813" s="951">
        <v>29200</v>
      </c>
      <c r="K813" s="951">
        <f>113100-J813</f>
        <v>83900</v>
      </c>
      <c r="L813" s="951">
        <f t="shared" si="26"/>
        <v>113100</v>
      </c>
      <c r="M813" s="951">
        <v>124410</v>
      </c>
    </row>
    <row r="814" spans="1:13" ht="18" customHeight="1">
      <c r="A814" s="942"/>
      <c r="B814" s="943"/>
      <c r="C814" s="943"/>
      <c r="D814" s="943" t="s">
        <v>553</v>
      </c>
      <c r="E814" s="943"/>
      <c r="F814" s="944"/>
      <c r="G814" s="945" t="s">
        <v>386</v>
      </c>
      <c r="H814" s="949" t="s">
        <v>713</v>
      </c>
      <c r="I814" s="950">
        <f>892823+200000</f>
        <v>1092823</v>
      </c>
      <c r="J814" s="951">
        <v>712820.5</v>
      </c>
      <c r="K814" s="951">
        <f>1276041-J814</f>
        <v>563220.5</v>
      </c>
      <c r="L814" s="951">
        <f t="shared" si="26"/>
        <v>1276041</v>
      </c>
      <c r="M814" s="951">
        <v>1403645</v>
      </c>
    </row>
    <row r="815" spans="1:13" ht="18" customHeight="1">
      <c r="A815" s="942"/>
      <c r="B815" s="943"/>
      <c r="C815" s="943"/>
      <c r="D815" s="943" t="s">
        <v>554</v>
      </c>
      <c r="E815" s="943"/>
      <c r="F815" s="944"/>
      <c r="G815" s="945" t="s">
        <v>397</v>
      </c>
      <c r="H815" s="949" t="s">
        <v>714</v>
      </c>
      <c r="I815" s="950">
        <v>9945.7999999999993</v>
      </c>
      <c r="J815" s="951">
        <v>0</v>
      </c>
      <c r="K815" s="951">
        <f>179228-J815</f>
        <v>179228</v>
      </c>
      <c r="L815" s="951">
        <f t="shared" si="26"/>
        <v>179228</v>
      </c>
      <c r="M815" s="951">
        <v>197150</v>
      </c>
    </row>
    <row r="816" spans="1:13" ht="18" customHeight="1">
      <c r="A816" s="942"/>
      <c r="B816" s="943"/>
      <c r="C816" s="943"/>
      <c r="D816" s="943" t="s">
        <v>1692</v>
      </c>
      <c r="E816" s="943"/>
      <c r="F816" s="944"/>
      <c r="G816" s="945"/>
      <c r="H816" s="949"/>
      <c r="I816" s="950">
        <v>0</v>
      </c>
      <c r="J816" s="951">
        <v>0</v>
      </c>
      <c r="K816" s="951">
        <v>0</v>
      </c>
      <c r="L816" s="951">
        <v>0</v>
      </c>
      <c r="M816" s="951">
        <v>7000000</v>
      </c>
    </row>
    <row r="817" spans="1:13" ht="18" customHeight="1">
      <c r="A817" s="942"/>
      <c r="B817" s="943"/>
      <c r="C817" s="943"/>
      <c r="D817" s="943" t="s">
        <v>557</v>
      </c>
      <c r="E817" s="943"/>
      <c r="F817" s="944"/>
      <c r="G817" s="945" t="s">
        <v>388</v>
      </c>
      <c r="H817" s="949" t="s">
        <v>705</v>
      </c>
      <c r="I817" s="950">
        <v>24000</v>
      </c>
      <c r="J817" s="951">
        <v>18000</v>
      </c>
      <c r="K817" s="951">
        <f>36000-J817</f>
        <v>18000</v>
      </c>
      <c r="L817" s="951">
        <f t="shared" si="26"/>
        <v>36000</v>
      </c>
      <c r="M817" s="951">
        <v>36000</v>
      </c>
    </row>
    <row r="818" spans="1:13" ht="18" customHeight="1">
      <c r="A818" s="942"/>
      <c r="B818" s="943"/>
      <c r="C818" s="943"/>
      <c r="D818" s="943" t="s">
        <v>926</v>
      </c>
      <c r="E818" s="943"/>
      <c r="F818" s="944"/>
      <c r="G818" s="945" t="s">
        <v>389</v>
      </c>
      <c r="H818" s="949" t="s">
        <v>706</v>
      </c>
      <c r="I818" s="950">
        <v>12100</v>
      </c>
      <c r="J818" s="951">
        <v>2490</v>
      </c>
      <c r="K818" s="951">
        <f>13310-J818</f>
        <v>10820</v>
      </c>
      <c r="L818" s="951">
        <f t="shared" si="26"/>
        <v>13310</v>
      </c>
      <c r="M818" s="951">
        <v>14600</v>
      </c>
    </row>
    <row r="819" spans="1:13" ht="18" customHeight="1">
      <c r="A819" s="942"/>
      <c r="B819" s="943"/>
      <c r="C819" s="943"/>
      <c r="D819" s="943" t="s">
        <v>564</v>
      </c>
      <c r="E819" s="943"/>
      <c r="F819" s="944"/>
      <c r="G819" s="945" t="s">
        <v>390</v>
      </c>
      <c r="H819" s="949" t="s">
        <v>707</v>
      </c>
      <c r="I819" s="950">
        <f>397070+2900</f>
        <v>399970</v>
      </c>
      <c r="J819" s="951">
        <v>13020</v>
      </c>
      <c r="K819" s="951">
        <f>101420-J819</f>
        <v>88400</v>
      </c>
      <c r="L819" s="951">
        <f t="shared" si="26"/>
        <v>101420</v>
      </c>
      <c r="M819" s="951">
        <v>111500</v>
      </c>
    </row>
    <row r="820" spans="1:13" ht="18" customHeight="1">
      <c r="A820" s="954"/>
      <c r="B820" s="955"/>
      <c r="C820" s="955"/>
      <c r="D820" s="955" t="s">
        <v>752</v>
      </c>
      <c r="E820" s="955"/>
      <c r="F820" s="956"/>
      <c r="G820" s="957"/>
      <c r="H820" s="980"/>
      <c r="I820" s="958">
        <f>SUM(I811:I819)</f>
        <v>1705635.8</v>
      </c>
      <c r="J820" s="958">
        <f>SUM(J811:J819)</f>
        <v>804480.5</v>
      </c>
      <c r="K820" s="958">
        <f>SUM(K811:K819)</f>
        <v>1182128.5</v>
      </c>
      <c r="L820" s="958">
        <f>SUM(L811:L819)</f>
        <v>1986609</v>
      </c>
      <c r="M820" s="958">
        <f>SUM(M811:M819)</f>
        <v>9181557</v>
      </c>
    </row>
    <row r="821" spans="1:13" ht="18" customHeight="1">
      <c r="A821" s="942"/>
      <c r="B821" s="943" t="s">
        <v>565</v>
      </c>
      <c r="C821" s="943"/>
      <c r="D821" s="943"/>
      <c r="E821" s="943"/>
      <c r="F821" s="944"/>
      <c r="G821" s="945"/>
      <c r="H821" s="977"/>
      <c r="I821" s="950"/>
      <c r="J821" s="951"/>
      <c r="K821" s="951"/>
      <c r="L821" s="951"/>
      <c r="M821" s="951"/>
    </row>
    <row r="822" spans="1:13" ht="18" customHeight="1">
      <c r="A822" s="942"/>
      <c r="B822" s="943"/>
      <c r="C822" s="943"/>
      <c r="D822" s="943" t="s">
        <v>1640</v>
      </c>
      <c r="E822" s="943"/>
      <c r="F822" s="944"/>
      <c r="G822" s="945"/>
      <c r="H822" s="949" t="s">
        <v>1641</v>
      </c>
      <c r="I822" s="950">
        <v>0</v>
      </c>
      <c r="J822" s="951">
        <v>0</v>
      </c>
      <c r="K822" s="951">
        <f>0-J822</f>
        <v>0</v>
      </c>
      <c r="L822" s="951">
        <f>SUM(K822+J822)</f>
        <v>0</v>
      </c>
      <c r="M822" s="951">
        <v>500000</v>
      </c>
    </row>
    <row r="823" spans="1:13" ht="18" customHeight="1">
      <c r="A823" s="942"/>
      <c r="B823" s="943"/>
      <c r="C823" s="943"/>
      <c r="D823" s="943" t="s">
        <v>855</v>
      </c>
      <c r="E823" s="943"/>
      <c r="F823" s="944"/>
      <c r="G823" s="945"/>
      <c r="H823" s="949" t="s">
        <v>856</v>
      </c>
      <c r="I823" s="950">
        <v>0</v>
      </c>
      <c r="J823" s="951">
        <v>18990</v>
      </c>
      <c r="K823" s="951">
        <f>20000-J823</f>
        <v>1010</v>
      </c>
      <c r="L823" s="951">
        <f>SUM(K823+J823)</f>
        <v>20000</v>
      </c>
      <c r="M823" s="951">
        <v>0</v>
      </c>
    </row>
    <row r="824" spans="1:13" ht="18" customHeight="1">
      <c r="A824" s="942"/>
      <c r="B824" s="943"/>
      <c r="C824" s="943"/>
      <c r="D824" s="943" t="s">
        <v>849</v>
      </c>
      <c r="E824" s="943"/>
      <c r="F824" s="944"/>
      <c r="G824" s="945" t="s">
        <v>850</v>
      </c>
      <c r="H824" s="949" t="s">
        <v>851</v>
      </c>
      <c r="I824" s="950">
        <f>199850</f>
        <v>199850</v>
      </c>
      <c r="J824" s="951">
        <v>0</v>
      </c>
      <c r="K824" s="951">
        <f>50000-J824</f>
        <v>50000</v>
      </c>
      <c r="L824" s="951">
        <f>SUM(K824+J824)</f>
        <v>50000</v>
      </c>
      <c r="M824" s="951">
        <v>0</v>
      </c>
    </row>
    <row r="825" spans="1:13" ht="18" customHeight="1">
      <c r="A825" s="954"/>
      <c r="B825" s="955"/>
      <c r="C825" s="955"/>
      <c r="D825" s="955" t="s">
        <v>797</v>
      </c>
      <c r="E825" s="955"/>
      <c r="F825" s="956"/>
      <c r="G825" s="957"/>
      <c r="H825" s="980"/>
      <c r="I825" s="958">
        <f>SUM(I822:I824)</f>
        <v>199850</v>
      </c>
      <c r="J825" s="958">
        <f>SUM(J822:J824)</f>
        <v>18990</v>
      </c>
      <c r="K825" s="958">
        <f>SUM(K822:K824)</f>
        <v>51010</v>
      </c>
      <c r="L825" s="958">
        <f>SUM(L822:L824)</f>
        <v>70000</v>
      </c>
      <c r="M825" s="958">
        <f>SUM(M822:M824)</f>
        <v>500000</v>
      </c>
    </row>
    <row r="826" spans="1:13" ht="18" customHeight="1">
      <c r="A826" s="954"/>
      <c r="B826" s="955"/>
      <c r="C826" s="955"/>
      <c r="D826" s="955"/>
      <c r="E826" s="955"/>
      <c r="F826" s="956"/>
      <c r="G826" s="957"/>
      <c r="H826" s="980"/>
      <c r="I826" s="958"/>
      <c r="J826" s="961"/>
      <c r="K826" s="961"/>
      <c r="L826" s="961"/>
      <c r="M826" s="961"/>
    </row>
    <row r="827" spans="1:13" ht="18" customHeight="1">
      <c r="A827" s="962" t="s">
        <v>625</v>
      </c>
      <c r="B827" s="963"/>
      <c r="C827" s="963"/>
      <c r="D827" s="963"/>
      <c r="E827" s="963"/>
      <c r="F827" s="964"/>
      <c r="G827" s="965"/>
      <c r="H827" s="981"/>
      <c r="I827" s="967">
        <f>SUM(I825+I820+I809)</f>
        <v>10104297.439999999</v>
      </c>
      <c r="J827" s="967">
        <f>SUM(J825+J820+J809)</f>
        <v>5164394.53</v>
      </c>
      <c r="K827" s="967">
        <f>SUM(K825+K820+K809)</f>
        <v>5280841.3599999994</v>
      </c>
      <c r="L827" s="967">
        <f>SUM(L825+L820+L809)</f>
        <v>10445235.890000001</v>
      </c>
      <c r="M827" s="967">
        <f>SUM(M825+M820+M809)</f>
        <v>19909785</v>
      </c>
    </row>
    <row r="828" spans="1:13" ht="18" customHeight="1">
      <c r="A828" s="930"/>
      <c r="B828" s="968"/>
      <c r="C828" s="930"/>
      <c r="D828" s="930"/>
      <c r="E828" s="930"/>
      <c r="F828" s="930"/>
      <c r="G828" s="930"/>
      <c r="H828" s="969"/>
      <c r="I828" s="969"/>
      <c r="J828" s="970"/>
      <c r="K828" s="970"/>
      <c r="L828" s="970"/>
      <c r="M828" s="970"/>
    </row>
    <row r="829" spans="1:13" ht="18" customHeight="1">
      <c r="A829" s="1278" t="s">
        <v>1758</v>
      </c>
      <c r="B829" s="1278"/>
      <c r="C829" s="1278"/>
      <c r="D829" s="1278"/>
      <c r="E829" s="1278"/>
      <c r="F829" s="1278"/>
      <c r="G829" s="1278"/>
      <c r="H829" s="1278"/>
      <c r="I829" s="1278"/>
      <c r="J829" s="1278"/>
      <c r="K829" s="1278"/>
      <c r="L829" s="1278"/>
      <c r="M829" s="1278"/>
    </row>
    <row r="830" spans="1:13" s="917" customFormat="1" ht="18" customHeight="1">
      <c r="A830" s="915"/>
      <c r="B830" s="914"/>
      <c r="C830" s="915"/>
      <c r="D830" s="915"/>
      <c r="E830" s="915"/>
      <c r="F830" s="971"/>
      <c r="G830" s="972"/>
      <c r="H830" s="969"/>
      <c r="I830" s="969"/>
      <c r="K830" s="973"/>
      <c r="L830" s="973"/>
      <c r="M830" s="970"/>
    </row>
    <row r="831" spans="1:13" s="917" customFormat="1" ht="18" customHeight="1">
      <c r="A831" s="915"/>
      <c r="B831" s="914"/>
      <c r="C831" s="915"/>
      <c r="D831" s="915"/>
      <c r="E831" s="915"/>
      <c r="F831" s="971"/>
      <c r="G831" s="972"/>
      <c r="H831" s="969"/>
      <c r="I831" s="969"/>
      <c r="K831" s="973"/>
      <c r="L831" s="973"/>
      <c r="M831" s="970"/>
    </row>
    <row r="832" spans="1:13" s="987" customFormat="1" ht="20.100000000000001" customHeight="1">
      <c r="A832" s="1276" t="s">
        <v>1626</v>
      </c>
      <c r="B832" s="1276"/>
      <c r="C832" s="1276"/>
      <c r="D832" s="1276"/>
      <c r="E832" s="1276"/>
      <c r="F832" s="1276"/>
      <c r="G832" s="1276"/>
      <c r="H832" s="1276"/>
      <c r="I832" s="1276"/>
      <c r="J832" s="1276"/>
      <c r="K832" s="1276"/>
      <c r="L832" s="1276"/>
      <c r="M832" s="1276"/>
    </row>
    <row r="833" spans="1:14" s="987" customFormat="1" ht="20.100000000000001" customHeight="1">
      <c r="A833" s="1105"/>
      <c r="B833" s="1105"/>
      <c r="C833" s="1105"/>
      <c r="D833" s="1105"/>
      <c r="E833" s="1105"/>
      <c r="F833" s="1105"/>
      <c r="G833" s="1105"/>
      <c r="H833" s="1105"/>
      <c r="I833" s="1105"/>
      <c r="J833" s="1105"/>
      <c r="K833" s="1105"/>
      <c r="L833" s="1105"/>
      <c r="M833" s="1105"/>
    </row>
    <row r="834" spans="1:14" s="1113" customFormat="1" ht="15" customHeight="1">
      <c r="A834" s="1259" t="s">
        <v>883</v>
      </c>
      <c r="B834" s="1259"/>
      <c r="C834" s="1259"/>
      <c r="D834" s="1259"/>
      <c r="E834" s="1259"/>
      <c r="F834" s="1259"/>
      <c r="G834" s="1259"/>
      <c r="H834" s="1259"/>
      <c r="I834" s="1259"/>
      <c r="J834" s="1259"/>
      <c r="K834" s="1259"/>
      <c r="L834" s="1259"/>
      <c r="M834" s="1259"/>
      <c r="N834" s="1165"/>
    </row>
    <row r="835" spans="1:14" s="1113" customFormat="1" ht="15" customHeight="1">
      <c r="A835" s="1259" t="s">
        <v>178</v>
      </c>
      <c r="B835" s="1259"/>
      <c r="C835" s="1259"/>
      <c r="D835" s="1259"/>
      <c r="E835" s="1259"/>
      <c r="F835" s="1259"/>
      <c r="G835" s="1259"/>
      <c r="H835" s="1259"/>
      <c r="I835" s="1259"/>
      <c r="J835" s="1259"/>
      <c r="K835" s="1259"/>
      <c r="L835" s="1259"/>
      <c r="M835" s="1259"/>
      <c r="N835" s="1165"/>
    </row>
    <row r="836" spans="1:14" s="1113" customFormat="1" ht="15" customHeight="1">
      <c r="A836" s="1259" t="s">
        <v>1742</v>
      </c>
      <c r="B836" s="1259"/>
      <c r="C836" s="1259"/>
      <c r="D836" s="1259"/>
      <c r="E836" s="1259"/>
      <c r="F836" s="1259"/>
      <c r="G836" s="1259"/>
      <c r="H836" s="1259"/>
      <c r="I836" s="1259"/>
      <c r="J836" s="1259"/>
      <c r="K836" s="1259"/>
      <c r="L836" s="1259"/>
      <c r="M836" s="1259"/>
      <c r="N836" s="1165"/>
    </row>
    <row r="837" spans="1:14" s="1113" customFormat="1" ht="15" customHeight="1">
      <c r="A837" s="1259"/>
      <c r="B837" s="1259"/>
      <c r="C837" s="1259"/>
      <c r="D837" s="1259"/>
      <c r="E837" s="1259"/>
      <c r="F837" s="1259"/>
      <c r="G837" s="1259"/>
      <c r="H837" s="1259"/>
      <c r="I837" s="1259"/>
      <c r="J837" s="1259"/>
      <c r="K837" s="1259"/>
      <c r="L837" s="1259"/>
      <c r="M837" s="1259"/>
      <c r="N837" s="1165"/>
    </row>
    <row r="838" spans="1:14" s="1113" customFormat="1" ht="15" customHeight="1">
      <c r="A838" s="1145"/>
      <c r="B838" s="1145"/>
      <c r="C838" s="1145"/>
      <c r="D838" s="1145"/>
      <c r="E838" s="1145"/>
      <c r="F838" s="1145"/>
      <c r="G838" s="1145"/>
      <c r="H838" s="1145"/>
      <c r="I838" s="1145"/>
      <c r="J838" s="1145"/>
      <c r="K838" s="1145"/>
      <c r="L838" s="1145"/>
      <c r="M838" s="1145"/>
      <c r="N838" s="1165"/>
    </row>
    <row r="839" spans="1:14" s="1113" customFormat="1" ht="15" customHeight="1">
      <c r="A839" s="1145"/>
      <c r="B839" s="1145"/>
      <c r="C839" s="1145"/>
      <c r="D839" s="1145"/>
      <c r="E839" s="1145"/>
      <c r="F839" s="1145"/>
      <c r="G839" s="1145"/>
      <c r="H839" s="1145"/>
      <c r="I839" s="1145"/>
      <c r="J839" s="1145"/>
      <c r="K839" s="1145"/>
      <c r="L839" s="1145"/>
      <c r="M839" s="1145"/>
      <c r="N839" s="1165"/>
    </row>
    <row r="840" spans="1:14" s="1113" customFormat="1" ht="15" customHeight="1">
      <c r="A840" s="1145"/>
      <c r="B840" s="1145"/>
      <c r="C840" s="1145"/>
      <c r="D840" s="1145"/>
      <c r="E840" s="1145"/>
      <c r="F840" s="1145"/>
      <c r="G840" s="1145"/>
      <c r="H840" s="1145"/>
      <c r="I840" s="1145"/>
      <c r="J840" s="1145"/>
      <c r="K840" s="1145"/>
      <c r="L840" s="1145"/>
      <c r="M840" s="1145"/>
      <c r="N840" s="1165"/>
    </row>
    <row r="841" spans="1:14" s="1113" customFormat="1" ht="18" customHeight="1">
      <c r="A841" s="1232" t="s">
        <v>1743</v>
      </c>
      <c r="B841" s="1232"/>
      <c r="C841" s="1232"/>
      <c r="D841" s="1232"/>
      <c r="E841" s="1232"/>
      <c r="F841" s="1232"/>
      <c r="G841" s="1232"/>
      <c r="H841" s="1232"/>
      <c r="I841" s="1232"/>
      <c r="J841" s="1232"/>
      <c r="K841" s="1232"/>
      <c r="L841" s="1232"/>
      <c r="M841" s="1232"/>
      <c r="N841" s="1166"/>
    </row>
    <row r="842" spans="1:14" s="1113" customFormat="1">
      <c r="A842" s="1234" t="s">
        <v>1780</v>
      </c>
      <c r="B842" s="1234"/>
      <c r="C842" s="1234"/>
      <c r="D842" s="1234"/>
      <c r="E842" s="1234"/>
      <c r="F842" s="1234"/>
      <c r="G842" s="1234"/>
      <c r="H842" s="1234"/>
      <c r="I842" s="1234"/>
      <c r="J842" s="1234"/>
      <c r="K842" s="1234"/>
      <c r="L842" s="1234"/>
      <c r="M842" s="1234"/>
      <c r="N842" s="1167"/>
    </row>
    <row r="843" spans="1:14" s="1113" customFormat="1" ht="15.75">
      <c r="A843" s="1113" t="s">
        <v>1814</v>
      </c>
      <c r="G843" s="1145"/>
      <c r="I843" s="1160"/>
      <c r="L843" s="1146"/>
      <c r="M843" s="1146"/>
    </row>
    <row r="844" spans="1:14" s="1113" customFormat="1" ht="15.75">
      <c r="A844" s="1113" t="s">
        <v>1776</v>
      </c>
      <c r="G844" s="1145"/>
      <c r="I844" s="1160"/>
      <c r="L844" s="1146"/>
      <c r="M844" s="1146"/>
    </row>
    <row r="845" spans="1:14" s="1113" customFormat="1" ht="8.1" customHeight="1">
      <c r="A845" s="1161" t="s">
        <v>1774</v>
      </c>
      <c r="G845" s="1145"/>
      <c r="I845" s="1160"/>
      <c r="L845" s="1146"/>
      <c r="M845" s="1146"/>
    </row>
    <row r="846" spans="1:14" s="1113" customFormat="1" ht="15.75" customHeight="1">
      <c r="A846" s="1113" t="s">
        <v>1815</v>
      </c>
      <c r="C846" s="1275" t="s">
        <v>1816</v>
      </c>
      <c r="D846" s="1275"/>
      <c r="E846" s="1275"/>
      <c r="F846" s="1275"/>
      <c r="G846" s="1275"/>
      <c r="H846" s="1275"/>
      <c r="I846" s="1275"/>
      <c r="J846" s="1275"/>
      <c r="K846" s="1275"/>
      <c r="L846" s="1275"/>
      <c r="M846" s="1275"/>
      <c r="N846" s="1144"/>
    </row>
    <row r="847" spans="1:14" s="917" customFormat="1" ht="18" customHeight="1" thickBot="1">
      <c r="A847" s="1279"/>
      <c r="B847" s="1279"/>
      <c r="C847" s="1279"/>
      <c r="D847" s="1279"/>
      <c r="E847" s="1279"/>
      <c r="F847" s="1279"/>
      <c r="G847" s="1279"/>
      <c r="H847" s="1279"/>
      <c r="I847" s="1279"/>
      <c r="J847" s="1279"/>
      <c r="K847" s="1279"/>
      <c r="L847" s="1279"/>
      <c r="M847" s="1279"/>
    </row>
    <row r="848" spans="1:14" ht="18" customHeight="1">
      <c r="A848" s="919"/>
      <c r="B848" s="920"/>
      <c r="C848" s="920"/>
      <c r="D848" s="920"/>
      <c r="E848" s="920"/>
      <c r="F848" s="921"/>
      <c r="G848" s="922"/>
      <c r="H848" s="923"/>
      <c r="I848" s="923" t="s">
        <v>6</v>
      </c>
      <c r="J848" s="1266" t="s">
        <v>630</v>
      </c>
      <c r="K848" s="1267"/>
      <c r="L848" s="1268"/>
      <c r="M848" s="924" t="s">
        <v>7</v>
      </c>
    </row>
    <row r="849" spans="1:13" ht="18" customHeight="1">
      <c r="A849" s="1269"/>
      <c r="B849" s="1270"/>
      <c r="C849" s="1270"/>
      <c r="D849" s="1270"/>
      <c r="E849" s="1270"/>
      <c r="F849" s="1271"/>
      <c r="G849" s="1106"/>
      <c r="H849" s="925"/>
      <c r="I849" s="925">
        <v>2020</v>
      </c>
      <c r="J849" s="925" t="s">
        <v>572</v>
      </c>
      <c r="K849" s="925" t="s">
        <v>573</v>
      </c>
      <c r="L849" s="925">
        <v>2021</v>
      </c>
      <c r="M849" s="926">
        <v>2022</v>
      </c>
    </row>
    <row r="850" spans="1:13" ht="18" customHeight="1">
      <c r="A850" s="1269" t="s">
        <v>21</v>
      </c>
      <c r="B850" s="1270"/>
      <c r="C850" s="1270"/>
      <c r="D850" s="1270"/>
      <c r="E850" s="1270"/>
      <c r="F850" s="1271"/>
      <c r="G850" s="927"/>
      <c r="H850" s="928" t="s">
        <v>624</v>
      </c>
      <c r="I850" s="925" t="s">
        <v>933</v>
      </c>
      <c r="J850" s="925" t="s">
        <v>571</v>
      </c>
      <c r="K850" s="925" t="s">
        <v>574</v>
      </c>
      <c r="L850" s="925" t="s">
        <v>933</v>
      </c>
      <c r="M850" s="926" t="s">
        <v>933</v>
      </c>
    </row>
    <row r="851" spans="1:13" ht="18" customHeight="1">
      <c r="A851" s="929"/>
      <c r="B851" s="930"/>
      <c r="C851" s="930"/>
      <c r="D851" s="930"/>
      <c r="E851" s="930"/>
      <c r="F851" s="931"/>
      <c r="G851" s="927"/>
      <c r="H851" s="925"/>
      <c r="I851" s="1220" t="s">
        <v>571</v>
      </c>
      <c r="J851" s="925">
        <v>2021</v>
      </c>
      <c r="K851" s="925">
        <v>2021</v>
      </c>
      <c r="L851" s="1220" t="s">
        <v>934</v>
      </c>
      <c r="M851" s="1221" t="s">
        <v>576</v>
      </c>
    </row>
    <row r="852" spans="1:13" ht="18" customHeight="1" thickBot="1">
      <c r="A852" s="1272"/>
      <c r="B852" s="1273"/>
      <c r="C852" s="1273"/>
      <c r="D852" s="1273"/>
      <c r="E852" s="1273"/>
      <c r="F852" s="1274"/>
      <c r="G852" s="1107"/>
      <c r="H852" s="932"/>
      <c r="I852" s="932"/>
      <c r="J852" s="932"/>
      <c r="K852" s="932"/>
      <c r="L852" s="932"/>
      <c r="M852" s="933"/>
    </row>
    <row r="853" spans="1:13" ht="18" customHeight="1">
      <c r="A853" s="934"/>
      <c r="B853" s="935" t="s">
        <v>366</v>
      </c>
      <c r="C853" s="936"/>
      <c r="D853" s="935"/>
      <c r="E853" s="935"/>
      <c r="F853" s="937"/>
      <c r="G853" s="938"/>
      <c r="H853" s="974"/>
      <c r="I853" s="975"/>
      <c r="J853" s="976"/>
      <c r="K853" s="976"/>
      <c r="L853" s="976"/>
      <c r="M853" s="976"/>
    </row>
    <row r="854" spans="1:13" ht="18" customHeight="1">
      <c r="A854" s="942"/>
      <c r="B854" s="943"/>
      <c r="C854" s="943" t="s">
        <v>525</v>
      </c>
      <c r="D854" s="943"/>
      <c r="E854" s="943"/>
      <c r="F854" s="944"/>
      <c r="G854" s="945"/>
      <c r="H854" s="977"/>
      <c r="I854" s="978"/>
      <c r="J854" s="979"/>
      <c r="K854" s="979"/>
      <c r="L854" s="979"/>
      <c r="M854" s="979"/>
    </row>
    <row r="855" spans="1:13" ht="18" customHeight="1">
      <c r="A855" s="942"/>
      <c r="B855" s="943"/>
      <c r="C855" s="943"/>
      <c r="D855" s="943" t="s">
        <v>526</v>
      </c>
      <c r="E855" s="943"/>
      <c r="F855" s="944"/>
      <c r="G855" s="945" t="s">
        <v>594</v>
      </c>
      <c r="H855" s="949" t="s">
        <v>687</v>
      </c>
      <c r="I855" s="950">
        <v>1715317.5</v>
      </c>
      <c r="J855" s="951">
        <v>908970</v>
      </c>
      <c r="K855" s="951">
        <f>1817940-J855</f>
        <v>908970</v>
      </c>
      <c r="L855" s="951">
        <f>SUM(K855+J855)</f>
        <v>1817940</v>
      </c>
      <c r="M855" s="951">
        <v>1954008</v>
      </c>
    </row>
    <row r="856" spans="1:13" ht="18" customHeight="1">
      <c r="A856" s="942"/>
      <c r="B856" s="943"/>
      <c r="C856" s="943" t="s">
        <v>527</v>
      </c>
      <c r="D856" s="943"/>
      <c r="E856" s="943"/>
      <c r="F856" s="944"/>
      <c r="G856" s="945"/>
      <c r="H856" s="977"/>
      <c r="I856" s="950"/>
      <c r="J856" s="951"/>
      <c r="K856" s="951"/>
      <c r="L856" s="951"/>
      <c r="M856" s="951"/>
    </row>
    <row r="857" spans="1:13" ht="18" customHeight="1">
      <c r="A857" s="942"/>
      <c r="B857" s="943"/>
      <c r="C857" s="943"/>
      <c r="D857" s="943" t="s">
        <v>528</v>
      </c>
      <c r="E857" s="943"/>
      <c r="F857" s="944"/>
      <c r="G857" s="945" t="s">
        <v>595</v>
      </c>
      <c r="H857" s="949" t="s">
        <v>688</v>
      </c>
      <c r="I857" s="950">
        <v>144000</v>
      </c>
      <c r="J857" s="951">
        <v>72000</v>
      </c>
      <c r="K857" s="951">
        <f>144000-J857</f>
        <v>72000</v>
      </c>
      <c r="L857" s="951">
        <f t="shared" ref="L857:L872" si="27">SUM(K857+J857)</f>
        <v>144000</v>
      </c>
      <c r="M857" s="951">
        <v>144000</v>
      </c>
    </row>
    <row r="858" spans="1:13" ht="18" customHeight="1">
      <c r="A858" s="942"/>
      <c r="B858" s="943"/>
      <c r="C858" s="943"/>
      <c r="D858" s="943" t="s">
        <v>539</v>
      </c>
      <c r="E858" s="943"/>
      <c r="F858" s="944"/>
      <c r="G858" s="945" t="s">
        <v>598</v>
      </c>
      <c r="H858" s="949" t="s">
        <v>691</v>
      </c>
      <c r="I858" s="950">
        <v>36000</v>
      </c>
      <c r="J858" s="951">
        <v>36000</v>
      </c>
      <c r="K858" s="951">
        <f>36000-J858</f>
        <v>0</v>
      </c>
      <c r="L858" s="951">
        <f t="shared" si="27"/>
        <v>36000</v>
      </c>
      <c r="M858" s="951">
        <v>36000</v>
      </c>
    </row>
    <row r="859" spans="1:13" ht="18" customHeight="1">
      <c r="A859" s="942"/>
      <c r="B859" s="943"/>
      <c r="C859" s="943"/>
      <c r="D859" s="943" t="s">
        <v>540</v>
      </c>
      <c r="E859" s="943"/>
      <c r="F859" s="944"/>
      <c r="G859" s="945" t="s">
        <v>599</v>
      </c>
      <c r="H859" s="949" t="s">
        <v>708</v>
      </c>
      <c r="I859" s="950">
        <v>85859.97</v>
      </c>
      <c r="J859" s="951">
        <v>32700</v>
      </c>
      <c r="K859" s="951">
        <f>118800-J859</f>
        <v>86100</v>
      </c>
      <c r="L859" s="951">
        <f t="shared" si="27"/>
        <v>118800</v>
      </c>
      <c r="M859" s="951">
        <v>118800</v>
      </c>
    </row>
    <row r="860" spans="1:13" ht="18" customHeight="1">
      <c r="A860" s="942"/>
      <c r="B860" s="943"/>
      <c r="C860" s="943"/>
      <c r="D860" s="943" t="s">
        <v>685</v>
      </c>
      <c r="E860" s="943"/>
      <c r="F860" s="944"/>
      <c r="G860" s="945" t="s">
        <v>600</v>
      </c>
      <c r="H860" s="949" t="s">
        <v>692</v>
      </c>
      <c r="I860" s="950">
        <v>30000</v>
      </c>
      <c r="J860" s="951">
        <v>0</v>
      </c>
      <c r="K860" s="951">
        <f>30000-J860</f>
        <v>30000</v>
      </c>
      <c r="L860" s="951">
        <f t="shared" si="27"/>
        <v>30000</v>
      </c>
      <c r="M860" s="951">
        <v>30000</v>
      </c>
    </row>
    <row r="861" spans="1:13" ht="18" customHeight="1">
      <c r="A861" s="942"/>
      <c r="B861" s="943"/>
      <c r="C861" s="943"/>
      <c r="D861" s="943" t="s">
        <v>541</v>
      </c>
      <c r="E861" s="943"/>
      <c r="F861" s="944"/>
      <c r="G861" s="945" t="s">
        <v>433</v>
      </c>
      <c r="H861" s="949" t="s">
        <v>693</v>
      </c>
      <c r="I861" s="950">
        <v>5000</v>
      </c>
      <c r="J861" s="951">
        <v>10000</v>
      </c>
      <c r="K861" s="951">
        <f>10000-J861</f>
        <v>0</v>
      </c>
      <c r="L861" s="951">
        <f t="shared" si="27"/>
        <v>10000</v>
      </c>
      <c r="M861" s="951">
        <v>0</v>
      </c>
    </row>
    <row r="862" spans="1:13" ht="18" customHeight="1">
      <c r="A862" s="942"/>
      <c r="B862" s="943"/>
      <c r="C862" s="943"/>
      <c r="D862" s="943" t="s">
        <v>1630</v>
      </c>
      <c r="E862" s="943"/>
      <c r="F862" s="944"/>
      <c r="G862" s="945" t="s">
        <v>433</v>
      </c>
      <c r="H862" s="949" t="s">
        <v>693</v>
      </c>
      <c r="I862" s="950"/>
      <c r="J862" s="951">
        <v>18000</v>
      </c>
      <c r="K862" s="951">
        <f>18000-J862</f>
        <v>0</v>
      </c>
      <c r="L862" s="951">
        <f t="shared" si="27"/>
        <v>18000</v>
      </c>
      <c r="M862" s="951">
        <v>0</v>
      </c>
    </row>
    <row r="863" spans="1:13" ht="18" customHeight="1">
      <c r="A863" s="942"/>
      <c r="B863" s="943"/>
      <c r="C863" s="943"/>
      <c r="D863" s="943" t="s">
        <v>543</v>
      </c>
      <c r="E863" s="943"/>
      <c r="F863" s="944"/>
      <c r="G863" s="945" t="s">
        <v>601</v>
      </c>
      <c r="H863" s="949" t="s">
        <v>709</v>
      </c>
      <c r="I863" s="950">
        <v>168596</v>
      </c>
      <c r="J863" s="951">
        <v>71402.5</v>
      </c>
      <c r="K863" s="951">
        <f>173241-J863</f>
        <v>101838.5</v>
      </c>
      <c r="L863" s="951">
        <f t="shared" si="27"/>
        <v>173241</v>
      </c>
      <c r="M863" s="951">
        <v>173241</v>
      </c>
    </row>
    <row r="864" spans="1:13" ht="18" customHeight="1">
      <c r="A864" s="942"/>
      <c r="B864" s="943"/>
      <c r="C864" s="943"/>
      <c r="D864" s="943" t="s">
        <v>544</v>
      </c>
      <c r="E864" s="943"/>
      <c r="F864" s="944"/>
      <c r="G864" s="945" t="s">
        <v>603</v>
      </c>
      <c r="H864" s="949" t="s">
        <v>694</v>
      </c>
      <c r="I864" s="950">
        <v>30000</v>
      </c>
      <c r="J864" s="951">
        <v>0</v>
      </c>
      <c r="K864" s="951">
        <f>30000-J864</f>
        <v>30000</v>
      </c>
      <c r="L864" s="951">
        <f t="shared" si="27"/>
        <v>30000</v>
      </c>
      <c r="M864" s="951">
        <v>30000</v>
      </c>
    </row>
    <row r="865" spans="1:14" ht="18" customHeight="1">
      <c r="A865" s="942"/>
      <c r="B865" s="943"/>
      <c r="C865" s="943"/>
      <c r="D865" s="943" t="s">
        <v>805</v>
      </c>
      <c r="E865" s="943"/>
      <c r="F865" s="943"/>
      <c r="G865" s="953" t="s">
        <v>433</v>
      </c>
      <c r="H865" s="949" t="s">
        <v>693</v>
      </c>
      <c r="I865" s="950">
        <v>142559</v>
      </c>
      <c r="J865" s="951">
        <v>151495</v>
      </c>
      <c r="K865" s="951">
        <f>151495-J865</f>
        <v>0</v>
      </c>
      <c r="L865" s="951">
        <f t="shared" si="27"/>
        <v>151495</v>
      </c>
      <c r="M865" s="951">
        <v>162834</v>
      </c>
    </row>
    <row r="866" spans="1:14" ht="18" customHeight="1">
      <c r="A866" s="942"/>
      <c r="B866" s="943"/>
      <c r="C866" s="943"/>
      <c r="D866" s="943" t="s">
        <v>545</v>
      </c>
      <c r="E866" s="943"/>
      <c r="F866" s="944"/>
      <c r="G866" s="945" t="s">
        <v>604</v>
      </c>
      <c r="H866" s="949" t="s">
        <v>695</v>
      </c>
      <c r="I866" s="950">
        <v>143249</v>
      </c>
      <c r="J866" s="951">
        <v>0</v>
      </c>
      <c r="K866" s="951">
        <f>151495-J866</f>
        <v>151495</v>
      </c>
      <c r="L866" s="951">
        <f t="shared" si="27"/>
        <v>151495</v>
      </c>
      <c r="M866" s="951">
        <v>162834</v>
      </c>
    </row>
    <row r="867" spans="1:14" ht="18" customHeight="1">
      <c r="A867" s="942"/>
      <c r="B867" s="943"/>
      <c r="C867" s="943"/>
      <c r="D867" s="943" t="s">
        <v>658</v>
      </c>
      <c r="E867" s="943"/>
      <c r="F867" s="944"/>
      <c r="G867" s="945" t="s">
        <v>605</v>
      </c>
      <c r="H867" s="949" t="s">
        <v>696</v>
      </c>
      <c r="I867" s="950">
        <f>195549.84+10491.56</f>
        <v>206041.4</v>
      </c>
      <c r="J867" s="951">
        <v>105311.52</v>
      </c>
      <c r="K867" s="951">
        <f>219000-J867</f>
        <v>113688.48</v>
      </c>
      <c r="L867" s="951">
        <f t="shared" si="27"/>
        <v>219000</v>
      </c>
      <c r="M867" s="951">
        <v>235000</v>
      </c>
    </row>
    <row r="868" spans="1:14" ht="18" customHeight="1">
      <c r="A868" s="942"/>
      <c r="B868" s="943"/>
      <c r="C868" s="943"/>
      <c r="D868" s="943" t="s">
        <v>546</v>
      </c>
      <c r="E868" s="943"/>
      <c r="F868" s="944"/>
      <c r="G868" s="945" t="s">
        <v>606</v>
      </c>
      <c r="H868" s="949" t="s">
        <v>697</v>
      </c>
      <c r="I868" s="950">
        <v>7200</v>
      </c>
      <c r="J868" s="951">
        <v>3600</v>
      </c>
      <c r="K868" s="951">
        <f>10800-J868</f>
        <v>7200</v>
      </c>
      <c r="L868" s="951">
        <f t="shared" si="27"/>
        <v>10800</v>
      </c>
      <c r="M868" s="951">
        <v>10800</v>
      </c>
    </row>
    <row r="869" spans="1:14" ht="18" customHeight="1">
      <c r="A869" s="942"/>
      <c r="B869" s="943"/>
      <c r="C869" s="943"/>
      <c r="D869" s="943" t="s">
        <v>547</v>
      </c>
      <c r="E869" s="943"/>
      <c r="F869" s="944"/>
      <c r="G869" s="945" t="s">
        <v>607</v>
      </c>
      <c r="H869" s="949" t="s">
        <v>698</v>
      </c>
      <c r="I869" s="950">
        <v>24960</v>
      </c>
      <c r="J869" s="951">
        <v>13140</v>
      </c>
      <c r="K869" s="951">
        <f>33000-J869</f>
        <v>19860</v>
      </c>
      <c r="L869" s="951">
        <f t="shared" si="27"/>
        <v>33000</v>
      </c>
      <c r="M869" s="951">
        <v>40000</v>
      </c>
    </row>
    <row r="870" spans="1:14" ht="18" customHeight="1">
      <c r="A870" s="942"/>
      <c r="B870" s="943"/>
      <c r="C870" s="943"/>
      <c r="D870" s="943" t="s">
        <v>654</v>
      </c>
      <c r="E870" s="943"/>
      <c r="F870" s="944"/>
      <c r="G870" s="945" t="s">
        <v>608</v>
      </c>
      <c r="H870" s="949" t="s">
        <v>699</v>
      </c>
      <c r="I870" s="950">
        <v>7200</v>
      </c>
      <c r="J870" s="951">
        <v>3600</v>
      </c>
      <c r="K870" s="951">
        <f>7200-J870</f>
        <v>3600</v>
      </c>
      <c r="L870" s="951">
        <f t="shared" si="27"/>
        <v>7200</v>
      </c>
      <c r="M870" s="951">
        <v>7200</v>
      </c>
    </row>
    <row r="871" spans="1:14" ht="18" customHeight="1">
      <c r="A871" s="942"/>
      <c r="B871" s="943"/>
      <c r="C871" s="943"/>
      <c r="D871" s="943" t="s">
        <v>549</v>
      </c>
      <c r="E871" s="943"/>
      <c r="F871" s="944"/>
      <c r="G871" s="945" t="s">
        <v>396</v>
      </c>
      <c r="H871" s="949" t="s">
        <v>711</v>
      </c>
      <c r="I871" s="950">
        <v>265237.24</v>
      </c>
      <c r="J871" s="951">
        <v>251795</v>
      </c>
      <c r="K871" s="951">
        <f>251795-J871</f>
        <v>0</v>
      </c>
      <c r="L871" s="951">
        <f t="shared" si="27"/>
        <v>251795</v>
      </c>
      <c r="M871" s="951">
        <v>0</v>
      </c>
    </row>
    <row r="872" spans="1:14" ht="18" customHeight="1">
      <c r="A872" s="942"/>
      <c r="B872" s="943"/>
      <c r="C872" s="943"/>
      <c r="D872" s="943" t="s">
        <v>1514</v>
      </c>
      <c r="E872" s="943"/>
      <c r="F872" s="944"/>
      <c r="G872" s="945"/>
      <c r="H872" s="949" t="s">
        <v>711</v>
      </c>
      <c r="I872" s="950">
        <v>60000</v>
      </c>
      <c r="J872" s="951">
        <v>0</v>
      </c>
      <c r="K872" s="951">
        <v>0</v>
      </c>
      <c r="L872" s="951">
        <f t="shared" si="27"/>
        <v>0</v>
      </c>
      <c r="M872" s="951">
        <v>0</v>
      </c>
    </row>
    <row r="873" spans="1:14" ht="18" customHeight="1">
      <c r="A873" s="954"/>
      <c r="B873" s="955"/>
      <c r="C873" s="955"/>
      <c r="D873" s="955" t="s">
        <v>371</v>
      </c>
      <c r="E873" s="955"/>
      <c r="F873" s="956"/>
      <c r="G873" s="957"/>
      <c r="H873" s="980"/>
      <c r="I873" s="958">
        <f>SUM(I855:I872)</f>
        <v>3071220.1099999994</v>
      </c>
      <c r="J873" s="958">
        <f>SUM(J855:J872)</f>
        <v>1678014.02</v>
      </c>
      <c r="K873" s="958">
        <f>SUM(K855:K872)</f>
        <v>1524751.98</v>
      </c>
      <c r="L873" s="958">
        <f>SUM(L855:L872)</f>
        <v>3202766</v>
      </c>
      <c r="M873" s="958">
        <f>SUM(M855:M872)</f>
        <v>3104717</v>
      </c>
    </row>
    <row r="874" spans="1:14" ht="18" customHeight="1">
      <c r="A874" s="942"/>
      <c r="B874" s="943" t="s">
        <v>550</v>
      </c>
      <c r="C874" s="943"/>
      <c r="D874" s="943"/>
      <c r="E874" s="943"/>
      <c r="F874" s="944"/>
      <c r="G874" s="945"/>
      <c r="H874" s="977"/>
      <c r="I874" s="950"/>
      <c r="J874" s="951"/>
      <c r="K874" s="951"/>
      <c r="L874" s="951"/>
      <c r="M874" s="951"/>
    </row>
    <row r="875" spans="1:14" ht="18" customHeight="1">
      <c r="A875" s="942"/>
      <c r="B875" s="943"/>
      <c r="C875" s="943"/>
      <c r="D875" s="943" t="s">
        <v>551</v>
      </c>
      <c r="E875" s="943"/>
      <c r="F875" s="944"/>
      <c r="G875" s="945" t="s">
        <v>384</v>
      </c>
      <c r="H875" s="949" t="s">
        <v>701</v>
      </c>
      <c r="I875" s="950">
        <v>20520</v>
      </c>
      <c r="J875" s="951">
        <v>0</v>
      </c>
      <c r="K875" s="951">
        <f>86515-J875</f>
        <v>86515</v>
      </c>
      <c r="L875" s="951">
        <f t="shared" ref="L875:L880" si="28">SUM(K875+J875)</f>
        <v>86515</v>
      </c>
      <c r="M875" s="951">
        <v>95166</v>
      </c>
    </row>
    <row r="876" spans="1:14" ht="18" customHeight="1">
      <c r="A876" s="942"/>
      <c r="B876" s="943"/>
      <c r="C876" s="943"/>
      <c r="D876" s="943" t="s">
        <v>429</v>
      </c>
      <c r="E876" s="943"/>
      <c r="F876" s="944"/>
      <c r="G876" s="945" t="s">
        <v>385</v>
      </c>
      <c r="H876" s="949" t="s">
        <v>702</v>
      </c>
      <c r="I876" s="950">
        <v>7000</v>
      </c>
      <c r="J876" s="951">
        <v>0</v>
      </c>
      <c r="K876" s="951">
        <f>39930-J876</f>
        <v>39930</v>
      </c>
      <c r="L876" s="951">
        <f t="shared" si="28"/>
        <v>39930</v>
      </c>
      <c r="M876" s="951">
        <v>43923</v>
      </c>
    </row>
    <row r="877" spans="1:14" ht="18" customHeight="1">
      <c r="A877" s="942"/>
      <c r="B877" s="943"/>
      <c r="C877" s="943"/>
      <c r="D877" s="943" t="s">
        <v>378</v>
      </c>
      <c r="E877" s="943"/>
      <c r="F877" s="944"/>
      <c r="G877" s="945" t="s">
        <v>387</v>
      </c>
      <c r="H877" s="949" t="s">
        <v>703</v>
      </c>
      <c r="I877" s="950">
        <v>96827</v>
      </c>
      <c r="J877" s="951">
        <v>0</v>
      </c>
      <c r="K877" s="951">
        <f>110544-J877</f>
        <v>110544</v>
      </c>
      <c r="L877" s="951">
        <f t="shared" si="28"/>
        <v>110544</v>
      </c>
      <c r="M877" s="951">
        <v>121598</v>
      </c>
      <c r="N877" s="989"/>
    </row>
    <row r="878" spans="1:14" ht="18" customHeight="1">
      <c r="A878" s="942"/>
      <c r="B878" s="943"/>
      <c r="C878" s="943"/>
      <c r="D878" s="943" t="s">
        <v>553</v>
      </c>
      <c r="E878" s="943"/>
      <c r="F878" s="944"/>
      <c r="G878" s="945" t="s">
        <v>386</v>
      </c>
      <c r="H878" s="949" t="s">
        <v>713</v>
      </c>
      <c r="I878" s="950">
        <f>835823+246434</f>
        <v>1082257</v>
      </c>
      <c r="J878" s="951">
        <v>706981.5</v>
      </c>
      <c r="K878" s="951">
        <f>1270382-J878</f>
        <v>563400.5</v>
      </c>
      <c r="L878" s="951">
        <f t="shared" si="28"/>
        <v>1270382</v>
      </c>
      <c r="M878" s="951">
        <v>1397420</v>
      </c>
      <c r="N878" s="989"/>
    </row>
    <row r="879" spans="1:14" ht="18" customHeight="1">
      <c r="A879" s="942"/>
      <c r="B879" s="943"/>
      <c r="C879" s="943"/>
      <c r="D879" s="943" t="s">
        <v>926</v>
      </c>
      <c r="E879" s="943"/>
      <c r="F879" s="944"/>
      <c r="G879" s="945" t="s">
        <v>389</v>
      </c>
      <c r="H879" s="949" t="s">
        <v>706</v>
      </c>
      <c r="I879" s="950">
        <v>4000</v>
      </c>
      <c r="J879" s="951">
        <v>0</v>
      </c>
      <c r="K879" s="951">
        <f>13310-J879</f>
        <v>13310</v>
      </c>
      <c r="L879" s="951">
        <f t="shared" si="28"/>
        <v>13310</v>
      </c>
      <c r="M879" s="951">
        <v>14641</v>
      </c>
      <c r="N879" s="989"/>
    </row>
    <row r="880" spans="1:14" ht="18" customHeight="1">
      <c r="A880" s="942"/>
      <c r="B880" s="943"/>
      <c r="C880" s="943"/>
      <c r="D880" s="943" t="s">
        <v>564</v>
      </c>
      <c r="E880" s="943"/>
      <c r="F880" s="944"/>
      <c r="G880" s="945" t="s">
        <v>390</v>
      </c>
      <c r="H880" s="949" t="s">
        <v>707</v>
      </c>
      <c r="I880" s="950">
        <v>150000</v>
      </c>
      <c r="J880" s="951">
        <v>0</v>
      </c>
      <c r="K880" s="951">
        <f>68310-J880</f>
        <v>68310</v>
      </c>
      <c r="L880" s="951">
        <f t="shared" si="28"/>
        <v>68310</v>
      </c>
      <c r="M880" s="951">
        <v>75141</v>
      </c>
      <c r="N880" s="989"/>
    </row>
    <row r="881" spans="1:14" ht="18" customHeight="1">
      <c r="A881" s="954"/>
      <c r="B881" s="955"/>
      <c r="C881" s="955"/>
      <c r="D881" s="955" t="s">
        <v>752</v>
      </c>
      <c r="E881" s="955"/>
      <c r="F881" s="956"/>
      <c r="G881" s="957"/>
      <c r="H881" s="980"/>
      <c r="I881" s="958">
        <f>SUM(I875:I880)</f>
        <v>1360604</v>
      </c>
      <c r="J881" s="958">
        <f>SUM(J875:J880)</f>
        <v>706981.5</v>
      </c>
      <c r="K881" s="958">
        <f>SUM(K875:K880)</f>
        <v>882009.5</v>
      </c>
      <c r="L881" s="958">
        <f>SUM(L875:L880)</f>
        <v>1588991</v>
      </c>
      <c r="M881" s="958">
        <f>SUM(M875:M880)</f>
        <v>1747889</v>
      </c>
    </row>
    <row r="882" spans="1:14" ht="18" customHeight="1">
      <c r="A882" s="942"/>
      <c r="B882" s="943" t="s">
        <v>565</v>
      </c>
      <c r="C882" s="943"/>
      <c r="D882" s="943"/>
      <c r="E882" s="943"/>
      <c r="F882" s="944"/>
      <c r="G882" s="945"/>
      <c r="H882" s="977"/>
      <c r="I882" s="950"/>
      <c r="J882" s="951"/>
      <c r="K882" s="951"/>
      <c r="L882" s="951"/>
      <c r="M882" s="951"/>
    </row>
    <row r="883" spans="1:14" ht="18" customHeight="1">
      <c r="A883" s="942"/>
      <c r="B883" s="943"/>
      <c r="C883" s="943"/>
      <c r="D883" s="943" t="s">
        <v>686</v>
      </c>
      <c r="E883" s="943"/>
      <c r="F883" s="944"/>
      <c r="G883" s="945" t="s">
        <v>846</v>
      </c>
      <c r="H883" s="949" t="s">
        <v>847</v>
      </c>
      <c r="I883" s="950">
        <v>0</v>
      </c>
      <c r="J883" s="951">
        <v>0</v>
      </c>
      <c r="K883" s="951">
        <f>25000-J883</f>
        <v>25000</v>
      </c>
      <c r="L883" s="951">
        <f>SUM(K883+J883)</f>
        <v>25000</v>
      </c>
      <c r="M883" s="951">
        <v>0</v>
      </c>
    </row>
    <row r="884" spans="1:14" ht="18" customHeight="1">
      <c r="A884" s="942"/>
      <c r="B884" s="943"/>
      <c r="C884" s="943"/>
      <c r="D884" s="943" t="s">
        <v>845</v>
      </c>
      <c r="E884" s="943"/>
      <c r="F884" s="944"/>
      <c r="G884" s="945" t="s">
        <v>848</v>
      </c>
      <c r="H884" s="949" t="s">
        <v>1567</v>
      </c>
      <c r="I884" s="950">
        <v>0</v>
      </c>
      <c r="J884" s="951">
        <v>0</v>
      </c>
      <c r="K884" s="951">
        <f>0-J884</f>
        <v>0</v>
      </c>
      <c r="L884" s="951">
        <f t="shared" ref="L884:L885" si="29">SUM(K884+J884)</f>
        <v>0</v>
      </c>
      <c r="M884" s="951">
        <v>60000</v>
      </c>
    </row>
    <row r="885" spans="1:14" ht="18" customHeight="1">
      <c r="A885" s="942"/>
      <c r="B885" s="943"/>
      <c r="C885" s="943"/>
      <c r="D885" s="943" t="s">
        <v>1642</v>
      </c>
      <c r="E885" s="943"/>
      <c r="F885" s="944"/>
      <c r="G885" s="945"/>
      <c r="H885" s="949" t="s">
        <v>1641</v>
      </c>
      <c r="I885" s="950">
        <v>0</v>
      </c>
      <c r="J885" s="951">
        <v>0</v>
      </c>
      <c r="K885" s="951">
        <v>0</v>
      </c>
      <c r="L885" s="951">
        <f t="shared" si="29"/>
        <v>0</v>
      </c>
      <c r="M885" s="951">
        <v>30000</v>
      </c>
    </row>
    <row r="886" spans="1:14" ht="18" customHeight="1">
      <c r="A886" s="954"/>
      <c r="B886" s="955"/>
      <c r="C886" s="955"/>
      <c r="D886" s="955" t="s">
        <v>797</v>
      </c>
      <c r="E886" s="955"/>
      <c r="F886" s="956"/>
      <c r="G886" s="957"/>
      <c r="H886" s="980"/>
      <c r="I886" s="958">
        <f>SUM(I883:I885)</f>
        <v>0</v>
      </c>
      <c r="J886" s="958">
        <f t="shared" ref="J886:M886" si="30">SUM(J883:J885)</f>
        <v>0</v>
      </c>
      <c r="K886" s="958">
        <f t="shared" si="30"/>
        <v>25000</v>
      </c>
      <c r="L886" s="958">
        <f t="shared" si="30"/>
        <v>25000</v>
      </c>
      <c r="M886" s="958">
        <f t="shared" si="30"/>
        <v>90000</v>
      </c>
      <c r="N886" s="1027"/>
    </row>
    <row r="887" spans="1:14" ht="18" customHeight="1">
      <c r="A887" s="954"/>
      <c r="B887" s="955"/>
      <c r="C887" s="955"/>
      <c r="D887" s="955"/>
      <c r="E887" s="955"/>
      <c r="F887" s="956"/>
      <c r="G887" s="957"/>
      <c r="H887" s="980"/>
      <c r="I887" s="958"/>
      <c r="J887" s="961"/>
      <c r="K887" s="961"/>
      <c r="L887" s="961"/>
      <c r="M887" s="961"/>
    </row>
    <row r="888" spans="1:14" ht="18" customHeight="1">
      <c r="A888" s="962" t="s">
        <v>625</v>
      </c>
      <c r="B888" s="963"/>
      <c r="C888" s="963"/>
      <c r="D888" s="963"/>
      <c r="E888" s="963"/>
      <c r="F888" s="964"/>
      <c r="G888" s="965"/>
      <c r="H888" s="981"/>
      <c r="I888" s="967">
        <f>SUM(I886+I881+I873)</f>
        <v>4431824.1099999994</v>
      </c>
      <c r="J888" s="967">
        <f>SUM(J886+J881+J873)</f>
        <v>2384995.52</v>
      </c>
      <c r="K888" s="967">
        <f>SUM(K886+K881+K873)</f>
        <v>2431761.48</v>
      </c>
      <c r="L888" s="967">
        <f>SUM(L886+L881+L873)</f>
        <v>4816757</v>
      </c>
      <c r="M888" s="967">
        <f>SUM(M886+M881+M873)</f>
        <v>4942606</v>
      </c>
    </row>
    <row r="889" spans="1:14" ht="18" customHeight="1">
      <c r="A889" s="930"/>
      <c r="B889" s="968"/>
      <c r="C889" s="930"/>
      <c r="D889" s="930"/>
      <c r="E889" s="930"/>
      <c r="F889" s="930"/>
      <c r="G889" s="930"/>
      <c r="H889" s="969"/>
      <c r="I889" s="969"/>
      <c r="J889" s="970"/>
      <c r="K889" s="970"/>
      <c r="L889" s="970"/>
      <c r="M889" s="970"/>
    </row>
    <row r="890" spans="1:14" ht="18" customHeight="1">
      <c r="A890" s="1278" t="s">
        <v>1758</v>
      </c>
      <c r="B890" s="1278"/>
      <c r="C890" s="1278"/>
      <c r="D890" s="1278"/>
      <c r="E890" s="1278"/>
      <c r="F890" s="1278"/>
      <c r="G890" s="1278"/>
      <c r="H890" s="1278"/>
      <c r="I890" s="1278"/>
      <c r="J890" s="1278"/>
      <c r="K890" s="1278"/>
      <c r="L890" s="1278"/>
      <c r="M890" s="1278"/>
    </row>
    <row r="891" spans="1:14" ht="18" customHeight="1">
      <c r="A891" s="1218"/>
      <c r="B891" s="1218"/>
      <c r="C891" s="1218"/>
      <c r="D891" s="1218"/>
      <c r="E891" s="1218"/>
      <c r="F891" s="1218"/>
      <c r="G891" s="1218"/>
      <c r="H891" s="1218"/>
      <c r="I891" s="1218"/>
      <c r="J891" s="1218"/>
      <c r="K891" s="1218"/>
      <c r="L891" s="1218"/>
      <c r="M891" s="1218"/>
    </row>
    <row r="892" spans="1:14" ht="18" customHeight="1">
      <c r="A892" s="1218"/>
      <c r="B892" s="1218"/>
      <c r="C892" s="1218"/>
      <c r="D892" s="1218"/>
      <c r="E892" s="1218"/>
      <c r="F892" s="1218"/>
      <c r="G892" s="1218"/>
      <c r="H892" s="1218"/>
      <c r="I892" s="1218"/>
      <c r="J892" s="1218"/>
      <c r="K892" s="1218"/>
      <c r="L892" s="1218"/>
      <c r="M892" s="1218"/>
    </row>
    <row r="893" spans="1:14" ht="18" customHeight="1">
      <c r="A893" s="1218"/>
      <c r="B893" s="1218"/>
      <c r="C893" s="1218"/>
      <c r="D893" s="1218"/>
      <c r="E893" s="1218"/>
      <c r="F893" s="1218"/>
      <c r="G893" s="1218"/>
      <c r="H893" s="1218"/>
      <c r="I893" s="1218"/>
      <c r="J893" s="1218"/>
      <c r="K893" s="1218"/>
      <c r="L893" s="1218"/>
      <c r="M893" s="1218"/>
    </row>
    <row r="894" spans="1:14" s="917" customFormat="1" ht="18" customHeight="1">
      <c r="A894" s="915"/>
      <c r="B894" s="914"/>
      <c r="C894" s="915"/>
      <c r="D894" s="915"/>
      <c r="E894" s="915"/>
      <c r="F894" s="971"/>
      <c r="G894" s="972"/>
      <c r="H894" s="969"/>
      <c r="I894" s="969"/>
      <c r="K894" s="973"/>
      <c r="L894" s="973"/>
      <c r="M894" s="970"/>
    </row>
    <row r="895" spans="1:14" s="917" customFormat="1" ht="18" customHeight="1">
      <c r="A895" s="915"/>
      <c r="B895" s="914"/>
      <c r="C895" s="915"/>
      <c r="D895" s="915"/>
      <c r="E895" s="915"/>
      <c r="F895" s="971"/>
      <c r="G895" s="972"/>
      <c r="H895" s="969"/>
      <c r="I895" s="969"/>
      <c r="K895" s="973"/>
      <c r="L895" s="973"/>
      <c r="M895" s="970"/>
    </row>
    <row r="896" spans="1:14" s="917" customFormat="1" ht="18" customHeight="1">
      <c r="A896" s="915"/>
      <c r="B896" s="914"/>
      <c r="C896" s="915"/>
      <c r="D896" s="915"/>
      <c r="E896" s="915"/>
      <c r="F896" s="971"/>
      <c r="G896" s="972"/>
      <c r="H896" s="969"/>
      <c r="I896" s="969"/>
      <c r="K896" s="973"/>
      <c r="L896" s="973"/>
      <c r="M896" s="970"/>
    </row>
    <row r="897" spans="1:14" s="917" customFormat="1" ht="18" customHeight="1">
      <c r="A897" s="915"/>
      <c r="B897" s="914"/>
      <c r="C897" s="915"/>
      <c r="D897" s="915"/>
      <c r="E897" s="915"/>
      <c r="F897" s="971"/>
      <c r="G897" s="972"/>
      <c r="H897" s="969"/>
      <c r="I897" s="969"/>
      <c r="K897" s="973"/>
      <c r="L897" s="973"/>
      <c r="M897" s="970"/>
    </row>
    <row r="898" spans="1:14" s="917" customFormat="1" ht="18" customHeight="1">
      <c r="A898" s="915"/>
      <c r="B898" s="914"/>
      <c r="C898" s="915"/>
      <c r="D898" s="915"/>
      <c r="E898" s="915"/>
      <c r="F898" s="971"/>
      <c r="G898" s="972"/>
      <c r="H898" s="969"/>
      <c r="I898" s="969"/>
      <c r="K898" s="973"/>
      <c r="L898" s="973"/>
      <c r="M898" s="970"/>
    </row>
    <row r="899" spans="1:14" s="987" customFormat="1" ht="20.100000000000001" customHeight="1">
      <c r="A899" s="1276" t="s">
        <v>978</v>
      </c>
      <c r="B899" s="1276"/>
      <c r="C899" s="1276"/>
      <c r="D899" s="1276"/>
      <c r="E899" s="1276"/>
      <c r="F899" s="1276"/>
      <c r="G899" s="1276"/>
      <c r="H899" s="1276"/>
      <c r="I899" s="1276"/>
      <c r="J899" s="1276"/>
      <c r="K899" s="1276"/>
      <c r="L899" s="1276"/>
      <c r="M899" s="1276"/>
    </row>
    <row r="900" spans="1:14" s="917" customFormat="1" ht="18" customHeight="1">
      <c r="A900" s="914"/>
      <c r="B900" s="915"/>
      <c r="C900" s="915"/>
      <c r="D900" s="915"/>
      <c r="E900" s="915"/>
      <c r="F900" s="915"/>
      <c r="G900" s="915"/>
      <c r="H900" s="915"/>
      <c r="I900" s="915"/>
      <c r="J900" s="915"/>
      <c r="K900" s="915"/>
      <c r="L900" s="915"/>
      <c r="M900" s="916"/>
    </row>
    <row r="901" spans="1:14" s="1113" customFormat="1" ht="15" customHeight="1">
      <c r="A901" s="1259" t="s">
        <v>883</v>
      </c>
      <c r="B901" s="1259"/>
      <c r="C901" s="1259"/>
      <c r="D901" s="1259"/>
      <c r="E901" s="1259"/>
      <c r="F901" s="1259"/>
      <c r="G901" s="1259"/>
      <c r="H901" s="1259"/>
      <c r="I901" s="1259"/>
      <c r="J901" s="1259"/>
      <c r="K901" s="1259"/>
      <c r="L901" s="1259"/>
      <c r="M901" s="1259"/>
      <c r="N901" s="1165"/>
    </row>
    <row r="902" spans="1:14" s="1113" customFormat="1" ht="15" customHeight="1">
      <c r="A902" s="1259" t="s">
        <v>178</v>
      </c>
      <c r="B902" s="1259"/>
      <c r="C902" s="1259"/>
      <c r="D902" s="1259"/>
      <c r="E902" s="1259"/>
      <c r="F902" s="1259"/>
      <c r="G902" s="1259"/>
      <c r="H902" s="1259"/>
      <c r="I902" s="1259"/>
      <c r="J902" s="1259"/>
      <c r="K902" s="1259"/>
      <c r="L902" s="1259"/>
      <c r="M902" s="1259"/>
      <c r="N902" s="1165"/>
    </row>
    <row r="903" spans="1:14" s="1113" customFormat="1" ht="15" customHeight="1">
      <c r="A903" s="1259" t="s">
        <v>1742</v>
      </c>
      <c r="B903" s="1259"/>
      <c r="C903" s="1259"/>
      <c r="D903" s="1259"/>
      <c r="E903" s="1259"/>
      <c r="F903" s="1259"/>
      <c r="G903" s="1259"/>
      <c r="H903" s="1259"/>
      <c r="I903" s="1259"/>
      <c r="J903" s="1259"/>
      <c r="K903" s="1259"/>
      <c r="L903" s="1259"/>
      <c r="M903" s="1259"/>
      <c r="N903" s="1165"/>
    </row>
    <row r="904" spans="1:14" s="1113" customFormat="1" ht="15" customHeight="1">
      <c r="A904" s="1259"/>
      <c r="B904" s="1259"/>
      <c r="C904" s="1259"/>
      <c r="D904" s="1259"/>
      <c r="E904" s="1259"/>
      <c r="F904" s="1259"/>
      <c r="G904" s="1259"/>
      <c r="H904" s="1259"/>
      <c r="I904" s="1259"/>
      <c r="J904" s="1259"/>
      <c r="K904" s="1259"/>
      <c r="L904" s="1259"/>
      <c r="M904" s="1259"/>
      <c r="N904" s="1165"/>
    </row>
    <row r="905" spans="1:14" s="1113" customFormat="1" ht="15" customHeight="1">
      <c r="A905" s="1145"/>
      <c r="B905" s="1145"/>
      <c r="C905" s="1145"/>
      <c r="D905" s="1145"/>
      <c r="E905" s="1145"/>
      <c r="F905" s="1145"/>
      <c r="G905" s="1145"/>
      <c r="H905" s="1145"/>
      <c r="I905" s="1145"/>
      <c r="J905" s="1145"/>
      <c r="K905" s="1145"/>
      <c r="L905" s="1145"/>
      <c r="M905" s="1145"/>
      <c r="N905" s="1165"/>
    </row>
    <row r="906" spans="1:14" s="1113" customFormat="1" ht="15" customHeight="1">
      <c r="A906" s="1145"/>
      <c r="B906" s="1145"/>
      <c r="C906" s="1145"/>
      <c r="D906" s="1145"/>
      <c r="E906" s="1145"/>
      <c r="F906" s="1145"/>
      <c r="G906" s="1145"/>
      <c r="H906" s="1145"/>
      <c r="I906" s="1145"/>
      <c r="J906" s="1145"/>
      <c r="K906" s="1145"/>
      <c r="L906" s="1145"/>
      <c r="M906" s="1145"/>
      <c r="N906" s="1165"/>
    </row>
    <row r="907" spans="1:14" s="1113" customFormat="1" ht="15" customHeight="1">
      <c r="A907" s="1145"/>
      <c r="B907" s="1145"/>
      <c r="C907" s="1145"/>
      <c r="D907" s="1145"/>
      <c r="E907" s="1145"/>
      <c r="F907" s="1145"/>
      <c r="G907" s="1145"/>
      <c r="H907" s="1145"/>
      <c r="I907" s="1145"/>
      <c r="J907" s="1145"/>
      <c r="K907" s="1145"/>
      <c r="L907" s="1145"/>
      <c r="M907" s="1145"/>
      <c r="N907" s="1165"/>
    </row>
    <row r="908" spans="1:14" s="1113" customFormat="1" ht="18" customHeight="1">
      <c r="A908" s="1232" t="s">
        <v>1743</v>
      </c>
      <c r="B908" s="1232"/>
      <c r="C908" s="1232"/>
      <c r="D908" s="1232"/>
      <c r="E908" s="1232"/>
      <c r="F908" s="1232"/>
      <c r="G908" s="1232"/>
      <c r="H908" s="1232"/>
      <c r="I908" s="1232"/>
      <c r="J908" s="1232"/>
      <c r="K908" s="1232"/>
      <c r="L908" s="1232"/>
      <c r="M908" s="1232"/>
      <c r="N908" s="1166"/>
    </row>
    <row r="909" spans="1:14" s="1113" customFormat="1">
      <c r="A909" s="1234" t="s">
        <v>1780</v>
      </c>
      <c r="B909" s="1234"/>
      <c r="C909" s="1234"/>
      <c r="D909" s="1234"/>
      <c r="E909" s="1234"/>
      <c r="F909" s="1234"/>
      <c r="G909" s="1234"/>
      <c r="H909" s="1234"/>
      <c r="I909" s="1234"/>
      <c r="J909" s="1234"/>
      <c r="K909" s="1234"/>
      <c r="L909" s="1234"/>
      <c r="M909" s="1234"/>
      <c r="N909" s="1167"/>
    </row>
    <row r="910" spans="1:14" s="1113" customFormat="1" ht="15.75">
      <c r="A910" s="1113" t="s">
        <v>1817</v>
      </c>
      <c r="G910" s="1145"/>
      <c r="I910" s="1160"/>
      <c r="L910" s="1146"/>
      <c r="M910" s="1146"/>
    </row>
    <row r="911" spans="1:14" s="1113" customFormat="1" ht="15.75">
      <c r="A911" s="1113" t="s">
        <v>1776</v>
      </c>
      <c r="G911" s="1145"/>
      <c r="I911" s="1160"/>
      <c r="L911" s="1146"/>
      <c r="M911" s="1146"/>
    </row>
    <row r="912" spans="1:14" s="1113" customFormat="1" ht="8.1" customHeight="1">
      <c r="A912" s="1161" t="s">
        <v>1774</v>
      </c>
      <c r="G912" s="1145"/>
      <c r="I912" s="1160"/>
      <c r="L912" s="1146"/>
      <c r="M912" s="1146"/>
    </row>
    <row r="913" spans="1:14" s="1113" customFormat="1" ht="15.75" customHeight="1">
      <c r="A913" s="1113" t="s">
        <v>1818</v>
      </c>
      <c r="C913" s="1275" t="s">
        <v>1819</v>
      </c>
      <c r="D913" s="1275"/>
      <c r="E913" s="1275"/>
      <c r="F913" s="1275"/>
      <c r="G913" s="1275"/>
      <c r="H913" s="1275"/>
      <c r="I913" s="1275"/>
      <c r="J913" s="1275"/>
      <c r="K913" s="1275"/>
      <c r="L913" s="1275"/>
      <c r="M913" s="1275"/>
      <c r="N913" s="1144"/>
    </row>
    <row r="914" spans="1:14" s="1113" customFormat="1" ht="18" customHeight="1">
      <c r="A914" s="1170"/>
      <c r="B914" s="1170"/>
      <c r="C914" s="1275"/>
      <c r="D914" s="1275"/>
      <c r="E914" s="1275"/>
      <c r="F914" s="1275"/>
      <c r="G914" s="1275"/>
      <c r="H914" s="1275"/>
      <c r="I914" s="1275"/>
      <c r="J914" s="1275"/>
      <c r="K914" s="1275"/>
      <c r="L914" s="1275"/>
      <c r="M914" s="1275"/>
    </row>
    <row r="915" spans="1:14" s="917" customFormat="1" ht="18" customHeight="1" thickBot="1">
      <c r="A915" s="1279"/>
      <c r="B915" s="1279"/>
      <c r="C915" s="1279"/>
      <c r="D915" s="1279"/>
      <c r="E915" s="1279"/>
      <c r="F915" s="1279"/>
      <c r="G915" s="1279"/>
      <c r="H915" s="1279"/>
      <c r="I915" s="1279"/>
      <c r="J915" s="1279"/>
      <c r="K915" s="1279"/>
      <c r="L915" s="1279"/>
      <c r="M915" s="1279"/>
    </row>
    <row r="916" spans="1:14" ht="18" customHeight="1">
      <c r="A916" s="919"/>
      <c r="B916" s="920"/>
      <c r="C916" s="920"/>
      <c r="D916" s="920"/>
      <c r="E916" s="920"/>
      <c r="F916" s="921"/>
      <c r="G916" s="922"/>
      <c r="H916" s="923"/>
      <c r="I916" s="923" t="s">
        <v>6</v>
      </c>
      <c r="J916" s="1266" t="s">
        <v>630</v>
      </c>
      <c r="K916" s="1267"/>
      <c r="L916" s="1268"/>
      <c r="M916" s="924" t="s">
        <v>7</v>
      </c>
    </row>
    <row r="917" spans="1:14" ht="18" customHeight="1">
      <c r="A917" s="1269"/>
      <c r="B917" s="1270"/>
      <c r="C917" s="1270"/>
      <c r="D917" s="1270"/>
      <c r="E917" s="1270"/>
      <c r="F917" s="1271"/>
      <c r="G917" s="1106"/>
      <c r="H917" s="925"/>
      <c r="I917" s="925">
        <v>2020</v>
      </c>
      <c r="J917" s="925" t="s">
        <v>572</v>
      </c>
      <c r="K917" s="925" t="s">
        <v>573</v>
      </c>
      <c r="L917" s="925">
        <v>2021</v>
      </c>
      <c r="M917" s="926">
        <v>2022</v>
      </c>
    </row>
    <row r="918" spans="1:14" ht="18" customHeight="1">
      <c r="A918" s="1269" t="s">
        <v>21</v>
      </c>
      <c r="B918" s="1270"/>
      <c r="C918" s="1270"/>
      <c r="D918" s="1270"/>
      <c r="E918" s="1270"/>
      <c r="F918" s="1271"/>
      <c r="G918" s="927"/>
      <c r="H918" s="928" t="s">
        <v>624</v>
      </c>
      <c r="I918" s="925" t="s">
        <v>933</v>
      </c>
      <c r="J918" s="925" t="s">
        <v>571</v>
      </c>
      <c r="K918" s="925" t="s">
        <v>574</v>
      </c>
      <c r="L918" s="925" t="s">
        <v>933</v>
      </c>
      <c r="M918" s="926" t="s">
        <v>933</v>
      </c>
    </row>
    <row r="919" spans="1:14" ht="18" customHeight="1">
      <c r="A919" s="929"/>
      <c r="B919" s="930"/>
      <c r="C919" s="930"/>
      <c r="D919" s="930"/>
      <c r="E919" s="930"/>
      <c r="F919" s="931"/>
      <c r="G919" s="927"/>
      <c r="H919" s="925"/>
      <c r="I919" s="1220" t="s">
        <v>571</v>
      </c>
      <c r="J919" s="925">
        <v>2021</v>
      </c>
      <c r="K919" s="925">
        <v>2021</v>
      </c>
      <c r="L919" s="1220" t="s">
        <v>934</v>
      </c>
      <c r="M919" s="1221" t="s">
        <v>576</v>
      </c>
    </row>
    <row r="920" spans="1:14" ht="18" customHeight="1" thickBot="1">
      <c r="A920" s="1272"/>
      <c r="B920" s="1273"/>
      <c r="C920" s="1273"/>
      <c r="D920" s="1273"/>
      <c r="E920" s="1273"/>
      <c r="F920" s="1274"/>
      <c r="G920" s="1107"/>
      <c r="H920" s="932"/>
      <c r="I920" s="932"/>
      <c r="J920" s="932"/>
      <c r="K920" s="932"/>
      <c r="L920" s="932"/>
      <c r="M920" s="933"/>
    </row>
    <row r="921" spans="1:14" ht="18" customHeight="1">
      <c r="A921" s="934"/>
      <c r="B921" s="935" t="s">
        <v>366</v>
      </c>
      <c r="C921" s="936"/>
      <c r="D921" s="935"/>
      <c r="E921" s="935"/>
      <c r="F921" s="937"/>
      <c r="G921" s="938"/>
      <c r="H921" s="974"/>
      <c r="I921" s="975"/>
      <c r="J921" s="976"/>
      <c r="K921" s="976"/>
      <c r="L921" s="976"/>
      <c r="M921" s="976"/>
    </row>
    <row r="922" spans="1:14" ht="18" customHeight="1">
      <c r="A922" s="942"/>
      <c r="B922" s="943"/>
      <c r="C922" s="943" t="s">
        <v>525</v>
      </c>
      <c r="D922" s="943"/>
      <c r="E922" s="943"/>
      <c r="F922" s="944"/>
      <c r="G922" s="945"/>
      <c r="H922" s="977"/>
      <c r="I922" s="978"/>
      <c r="J922" s="979"/>
      <c r="K922" s="979"/>
      <c r="L922" s="979"/>
      <c r="M922" s="979"/>
    </row>
    <row r="923" spans="1:14" ht="18" customHeight="1">
      <c r="A923" s="942"/>
      <c r="B923" s="943"/>
      <c r="C923" s="943"/>
      <c r="D923" s="943" t="s">
        <v>526</v>
      </c>
      <c r="E923" s="943"/>
      <c r="F923" s="944"/>
      <c r="G923" s="945" t="s">
        <v>594</v>
      </c>
      <c r="H923" s="949" t="s">
        <v>687</v>
      </c>
      <c r="I923" s="950">
        <v>492783</v>
      </c>
      <c r="J923" s="951">
        <v>347106</v>
      </c>
      <c r="K923" s="951">
        <f>694212-J923</f>
        <v>347106</v>
      </c>
      <c r="L923" s="951">
        <f>SUM(K923+J923)</f>
        <v>694212</v>
      </c>
      <c r="M923" s="951">
        <v>726110</v>
      </c>
    </row>
    <row r="924" spans="1:14" ht="18" customHeight="1">
      <c r="A924" s="942"/>
      <c r="B924" s="943"/>
      <c r="C924" s="943" t="s">
        <v>527</v>
      </c>
      <c r="D924" s="943"/>
      <c r="E924" s="943"/>
      <c r="F924" s="944"/>
      <c r="G924" s="945"/>
      <c r="H924" s="949"/>
      <c r="I924" s="950"/>
      <c r="J924" s="951"/>
      <c r="K924" s="951"/>
      <c r="L924" s="951"/>
      <c r="M924" s="951"/>
    </row>
    <row r="925" spans="1:14" ht="18" customHeight="1">
      <c r="A925" s="942"/>
      <c r="B925" s="943"/>
      <c r="C925" s="943"/>
      <c r="D925" s="943" t="s">
        <v>528</v>
      </c>
      <c r="E925" s="943"/>
      <c r="F925" s="944"/>
      <c r="G925" s="945" t="s">
        <v>595</v>
      </c>
      <c r="H925" s="949" t="s">
        <v>688</v>
      </c>
      <c r="I925" s="950">
        <v>28000</v>
      </c>
      <c r="J925" s="951">
        <v>24000</v>
      </c>
      <c r="K925" s="951">
        <f>48000-J925</f>
        <v>24000</v>
      </c>
      <c r="L925" s="951">
        <f t="shared" ref="L925:L938" si="31">SUM(K925+J925)</f>
        <v>48000</v>
      </c>
      <c r="M925" s="951">
        <v>48000</v>
      </c>
    </row>
    <row r="926" spans="1:14" ht="18" customHeight="1">
      <c r="A926" s="942"/>
      <c r="B926" s="943"/>
      <c r="C926" s="943"/>
      <c r="D926" s="943" t="s">
        <v>539</v>
      </c>
      <c r="E926" s="943"/>
      <c r="F926" s="944"/>
      <c r="G926" s="945" t="s">
        <v>598</v>
      </c>
      <c r="H926" s="949" t="s">
        <v>691</v>
      </c>
      <c r="I926" s="950">
        <v>6000</v>
      </c>
      <c r="J926" s="951">
        <v>12000</v>
      </c>
      <c r="K926" s="951">
        <f>12000-J926</f>
        <v>0</v>
      </c>
      <c r="L926" s="951">
        <f t="shared" si="31"/>
        <v>12000</v>
      </c>
      <c r="M926" s="951">
        <v>12000</v>
      </c>
    </row>
    <row r="927" spans="1:14" ht="18" customHeight="1">
      <c r="A927" s="942"/>
      <c r="B927" s="943"/>
      <c r="C927" s="943"/>
      <c r="D927" s="943" t="s">
        <v>685</v>
      </c>
      <c r="E927" s="943"/>
      <c r="F927" s="944"/>
      <c r="G927" s="945" t="s">
        <v>600</v>
      </c>
      <c r="H927" s="949" t="s">
        <v>692</v>
      </c>
      <c r="I927" s="950">
        <v>10000</v>
      </c>
      <c r="J927" s="951">
        <v>0</v>
      </c>
      <c r="K927" s="951">
        <f>10000-J927</f>
        <v>10000</v>
      </c>
      <c r="L927" s="951">
        <f t="shared" si="31"/>
        <v>10000</v>
      </c>
      <c r="M927" s="951">
        <v>10000</v>
      </c>
    </row>
    <row r="928" spans="1:14" ht="18" customHeight="1">
      <c r="A928" s="942"/>
      <c r="B928" s="943"/>
      <c r="C928" s="943"/>
      <c r="D928" s="943" t="s">
        <v>544</v>
      </c>
      <c r="E928" s="943"/>
      <c r="F928" s="944"/>
      <c r="G928" s="945" t="s">
        <v>603</v>
      </c>
      <c r="H928" s="949" t="s">
        <v>694</v>
      </c>
      <c r="I928" s="950">
        <v>10000</v>
      </c>
      <c r="J928" s="951">
        <v>0</v>
      </c>
      <c r="K928" s="951">
        <f>10000-J928</f>
        <v>10000</v>
      </c>
      <c r="L928" s="951">
        <f t="shared" si="31"/>
        <v>10000</v>
      </c>
      <c r="M928" s="951">
        <v>10000</v>
      </c>
    </row>
    <row r="929" spans="1:13" ht="18" customHeight="1">
      <c r="A929" s="942"/>
      <c r="B929" s="943"/>
      <c r="C929" s="943"/>
      <c r="D929" s="943" t="s">
        <v>805</v>
      </c>
      <c r="E929" s="943"/>
      <c r="F929" s="943"/>
      <c r="G929" s="953" t="s">
        <v>433</v>
      </c>
      <c r="H929" s="949" t="s">
        <v>693</v>
      </c>
      <c r="I929" s="950">
        <v>36263</v>
      </c>
      <c r="J929" s="951">
        <v>57851</v>
      </c>
      <c r="K929" s="951">
        <f>57851-J929</f>
        <v>0</v>
      </c>
      <c r="L929" s="951">
        <f t="shared" si="31"/>
        <v>57851</v>
      </c>
      <c r="M929" s="951">
        <v>60473</v>
      </c>
    </row>
    <row r="930" spans="1:13" ht="18" customHeight="1">
      <c r="A930" s="942"/>
      <c r="B930" s="943"/>
      <c r="C930" s="943"/>
      <c r="D930" s="943" t="s">
        <v>1630</v>
      </c>
      <c r="E930" s="943"/>
      <c r="F930" s="944"/>
      <c r="G930" s="945" t="s">
        <v>433</v>
      </c>
      <c r="H930" s="949" t="s">
        <v>693</v>
      </c>
      <c r="I930" s="950">
        <v>0</v>
      </c>
      <c r="J930" s="951">
        <v>6000</v>
      </c>
      <c r="K930" s="951">
        <f>6000-J930</f>
        <v>0</v>
      </c>
      <c r="L930" s="951">
        <f t="shared" si="31"/>
        <v>6000</v>
      </c>
      <c r="M930" s="951">
        <v>0</v>
      </c>
    </row>
    <row r="931" spans="1:13" ht="18" customHeight="1">
      <c r="A931" s="942"/>
      <c r="B931" s="943"/>
      <c r="C931" s="943"/>
      <c r="D931" s="943" t="s">
        <v>1513</v>
      </c>
      <c r="E931" s="943"/>
      <c r="F931" s="944"/>
      <c r="G931" s="945"/>
      <c r="H931" s="949" t="s">
        <v>693</v>
      </c>
      <c r="I931" s="950">
        <v>22729.85</v>
      </c>
      <c r="J931" s="951">
        <v>0</v>
      </c>
      <c r="K931" s="951">
        <v>0</v>
      </c>
      <c r="L931" s="951">
        <f t="shared" si="31"/>
        <v>0</v>
      </c>
      <c r="M931" s="951">
        <v>0</v>
      </c>
    </row>
    <row r="932" spans="1:13" ht="18" customHeight="1">
      <c r="A932" s="942"/>
      <c r="B932" s="943"/>
      <c r="C932" s="943"/>
      <c r="D932" s="943" t="s">
        <v>545</v>
      </c>
      <c r="E932" s="943"/>
      <c r="F932" s="944"/>
      <c r="G932" s="945" t="s">
        <v>604</v>
      </c>
      <c r="H932" s="949" t="s">
        <v>695</v>
      </c>
      <c r="I932" s="950">
        <v>55232</v>
      </c>
      <c r="J932" s="951">
        <v>0</v>
      </c>
      <c r="K932" s="951">
        <f>57851-J932</f>
        <v>57851</v>
      </c>
      <c r="L932" s="951">
        <f t="shared" si="31"/>
        <v>57851</v>
      </c>
      <c r="M932" s="951">
        <v>60473</v>
      </c>
    </row>
    <row r="933" spans="1:13" ht="18" customHeight="1">
      <c r="A933" s="942"/>
      <c r="B933" s="943"/>
      <c r="C933" s="943"/>
      <c r="D933" s="943" t="s">
        <v>658</v>
      </c>
      <c r="E933" s="943"/>
      <c r="F933" s="944"/>
      <c r="G933" s="945" t="s">
        <v>605</v>
      </c>
      <c r="H933" s="949" t="s">
        <v>696</v>
      </c>
      <c r="I933" s="950">
        <f>56330.2+3622.08</f>
        <v>59952.28</v>
      </c>
      <c r="J933" s="951">
        <v>39237.480000000003</v>
      </c>
      <c r="K933" s="951">
        <f>85000-J933</f>
        <v>45762.52</v>
      </c>
      <c r="L933" s="951">
        <f t="shared" si="31"/>
        <v>85000</v>
      </c>
      <c r="M933" s="951">
        <v>89000</v>
      </c>
    </row>
    <row r="934" spans="1:13" ht="18" customHeight="1">
      <c r="A934" s="942"/>
      <c r="B934" s="943"/>
      <c r="C934" s="943"/>
      <c r="D934" s="943" t="s">
        <v>546</v>
      </c>
      <c r="E934" s="943"/>
      <c r="F934" s="944"/>
      <c r="G934" s="945" t="s">
        <v>606</v>
      </c>
      <c r="H934" s="949" t="s">
        <v>697</v>
      </c>
      <c r="I934" s="950">
        <v>1500</v>
      </c>
      <c r="J934" s="951">
        <v>1200</v>
      </c>
      <c r="K934" s="951">
        <f>3600-J934</f>
        <v>2400</v>
      </c>
      <c r="L934" s="951">
        <f t="shared" si="31"/>
        <v>3600</v>
      </c>
      <c r="M934" s="951">
        <v>3600</v>
      </c>
    </row>
    <row r="935" spans="1:13" ht="18" customHeight="1">
      <c r="A935" s="942"/>
      <c r="B935" s="943"/>
      <c r="C935" s="943"/>
      <c r="D935" s="943" t="s">
        <v>547</v>
      </c>
      <c r="E935" s="943"/>
      <c r="F935" s="944"/>
      <c r="G935" s="945" t="s">
        <v>607</v>
      </c>
      <c r="H935" s="949" t="s">
        <v>698</v>
      </c>
      <c r="I935" s="950">
        <v>7230</v>
      </c>
      <c r="J935" s="951">
        <v>5085</v>
      </c>
      <c r="K935" s="951">
        <f>13000-J935</f>
        <v>7915</v>
      </c>
      <c r="L935" s="951">
        <f t="shared" si="31"/>
        <v>13000</v>
      </c>
      <c r="M935" s="951">
        <v>16000</v>
      </c>
    </row>
    <row r="936" spans="1:13" ht="18" customHeight="1">
      <c r="A936" s="942"/>
      <c r="B936" s="943"/>
      <c r="C936" s="943"/>
      <c r="D936" s="943" t="s">
        <v>654</v>
      </c>
      <c r="E936" s="943"/>
      <c r="F936" s="944"/>
      <c r="G936" s="945" t="s">
        <v>608</v>
      </c>
      <c r="H936" s="949" t="s">
        <v>699</v>
      </c>
      <c r="I936" s="950">
        <v>1400</v>
      </c>
      <c r="J936" s="951">
        <v>1200</v>
      </c>
      <c r="K936" s="951">
        <f>2400-J936</f>
        <v>1200</v>
      </c>
      <c r="L936" s="951">
        <f t="shared" si="31"/>
        <v>2400</v>
      </c>
      <c r="M936" s="951">
        <v>2400</v>
      </c>
    </row>
    <row r="937" spans="1:13" ht="18" customHeight="1">
      <c r="A937" s="942"/>
      <c r="B937" s="943"/>
      <c r="C937" s="943"/>
      <c r="D937" s="943" t="s">
        <v>549</v>
      </c>
      <c r="E937" s="943"/>
      <c r="F937" s="944"/>
      <c r="G937" s="945" t="s">
        <v>396</v>
      </c>
      <c r="H937" s="949" t="s">
        <v>711</v>
      </c>
      <c r="I937" s="950">
        <v>94771.69</v>
      </c>
      <c r="J937" s="951">
        <v>91227.34</v>
      </c>
      <c r="K937" s="951">
        <f>91227.34-J937</f>
        <v>0</v>
      </c>
      <c r="L937" s="951">
        <f t="shared" si="31"/>
        <v>91227.34</v>
      </c>
      <c r="M937" s="951">
        <v>0</v>
      </c>
    </row>
    <row r="938" spans="1:13" ht="18" customHeight="1">
      <c r="A938" s="942"/>
      <c r="B938" s="943"/>
      <c r="C938" s="943"/>
      <c r="D938" s="943" t="s">
        <v>1514</v>
      </c>
      <c r="E938" s="943"/>
      <c r="F938" s="944"/>
      <c r="G938" s="945"/>
      <c r="H938" s="949" t="s">
        <v>711</v>
      </c>
      <c r="I938" s="950">
        <v>20000</v>
      </c>
      <c r="J938" s="951">
        <v>0</v>
      </c>
      <c r="K938" s="951">
        <v>0</v>
      </c>
      <c r="L938" s="951">
        <f t="shared" si="31"/>
        <v>0</v>
      </c>
      <c r="M938" s="951">
        <v>0</v>
      </c>
    </row>
    <row r="939" spans="1:13" ht="18" customHeight="1">
      <c r="A939" s="954"/>
      <c r="B939" s="955"/>
      <c r="C939" s="955"/>
      <c r="D939" s="955" t="s">
        <v>371</v>
      </c>
      <c r="E939" s="955"/>
      <c r="F939" s="956"/>
      <c r="G939" s="957"/>
      <c r="H939" s="980"/>
      <c r="I939" s="958">
        <f>SUM(I923:I938)</f>
        <v>845861.82000000007</v>
      </c>
      <c r="J939" s="958">
        <f>SUM(J923:J938)</f>
        <v>584906.81999999995</v>
      </c>
      <c r="K939" s="958">
        <f>SUM(K923:K938)</f>
        <v>506234.52</v>
      </c>
      <c r="L939" s="958">
        <f>SUM(L923:L938)</f>
        <v>1091141.3400000001</v>
      </c>
      <c r="M939" s="958">
        <f>SUM(M923:M938)</f>
        <v>1038056</v>
      </c>
    </row>
    <row r="940" spans="1:13" ht="18" customHeight="1">
      <c r="A940" s="942"/>
      <c r="B940" s="943" t="s">
        <v>550</v>
      </c>
      <c r="C940" s="943"/>
      <c r="D940" s="943"/>
      <c r="E940" s="943"/>
      <c r="F940" s="944"/>
      <c r="G940" s="945"/>
      <c r="H940" s="977"/>
      <c r="I940" s="950"/>
      <c r="J940" s="951"/>
      <c r="K940" s="951"/>
      <c r="L940" s="951"/>
      <c r="M940" s="951"/>
    </row>
    <row r="941" spans="1:13" ht="18" customHeight="1">
      <c r="A941" s="942"/>
      <c r="B941" s="943"/>
      <c r="C941" s="943"/>
      <c r="D941" s="943" t="s">
        <v>551</v>
      </c>
      <c r="E941" s="943"/>
      <c r="F941" s="944"/>
      <c r="G941" s="945" t="s">
        <v>384</v>
      </c>
      <c r="H941" s="949" t="s">
        <v>701</v>
      </c>
      <c r="I941" s="950">
        <v>7650</v>
      </c>
      <c r="J941" s="951">
        <v>0</v>
      </c>
      <c r="K941" s="951">
        <f>88000-J941</f>
        <v>88000</v>
      </c>
      <c r="L941" s="951">
        <f t="shared" ref="L941:L946" si="32">SUM(K941+J941)</f>
        <v>88000</v>
      </c>
      <c r="M941" s="951">
        <f>100000-12000</f>
        <v>88000</v>
      </c>
    </row>
    <row r="942" spans="1:13" ht="18" customHeight="1">
      <c r="A942" s="942"/>
      <c r="B942" s="943"/>
      <c r="C942" s="943"/>
      <c r="D942" s="943" t="s">
        <v>429</v>
      </c>
      <c r="E942" s="943"/>
      <c r="F942" s="944"/>
      <c r="G942" s="945" t="s">
        <v>385</v>
      </c>
      <c r="H942" s="949" t="s">
        <v>702</v>
      </c>
      <c r="I942" s="950">
        <v>7000</v>
      </c>
      <c r="J942" s="951">
        <v>0</v>
      </c>
      <c r="K942" s="951">
        <f>100000-J942</f>
        <v>100000</v>
      </c>
      <c r="L942" s="951">
        <f t="shared" si="32"/>
        <v>100000</v>
      </c>
      <c r="M942" s="951">
        <v>100000</v>
      </c>
    </row>
    <row r="943" spans="1:13" ht="18" customHeight="1">
      <c r="A943" s="942"/>
      <c r="B943" s="943"/>
      <c r="C943" s="943"/>
      <c r="D943" s="943" t="s">
        <v>378</v>
      </c>
      <c r="E943" s="943"/>
      <c r="F943" s="944"/>
      <c r="G943" s="945" t="s">
        <v>387</v>
      </c>
      <c r="H943" s="949" t="s">
        <v>703</v>
      </c>
      <c r="I943" s="950">
        <v>79946</v>
      </c>
      <c r="J943" s="951">
        <v>29160</v>
      </c>
      <c r="K943" s="951">
        <f>60000-J943</f>
        <v>30840</v>
      </c>
      <c r="L943" s="951">
        <f t="shared" si="32"/>
        <v>60000</v>
      </c>
      <c r="M943" s="951">
        <v>80000</v>
      </c>
    </row>
    <row r="944" spans="1:13" ht="18" customHeight="1">
      <c r="A944" s="942"/>
      <c r="B944" s="943"/>
      <c r="C944" s="943"/>
      <c r="D944" s="943" t="s">
        <v>557</v>
      </c>
      <c r="E944" s="943"/>
      <c r="F944" s="944"/>
      <c r="G944" s="945" t="s">
        <v>388</v>
      </c>
      <c r="H944" s="949" t="s">
        <v>705</v>
      </c>
      <c r="I944" s="950">
        <v>18000</v>
      </c>
      <c r="J944" s="951">
        <v>18000</v>
      </c>
      <c r="K944" s="951">
        <f>36000-J944</f>
        <v>18000</v>
      </c>
      <c r="L944" s="951">
        <f t="shared" si="32"/>
        <v>36000</v>
      </c>
      <c r="M944" s="951">
        <f>24000+12000</f>
        <v>36000</v>
      </c>
    </row>
    <row r="945" spans="1:13" ht="18" customHeight="1">
      <c r="A945" s="942"/>
      <c r="B945" s="943"/>
      <c r="C945" s="943"/>
      <c r="D945" s="943" t="s">
        <v>926</v>
      </c>
      <c r="E945" s="943"/>
      <c r="F945" s="944"/>
      <c r="G945" s="945" t="s">
        <v>389</v>
      </c>
      <c r="H945" s="949" t="s">
        <v>706</v>
      </c>
      <c r="I945" s="950">
        <v>250</v>
      </c>
      <c r="J945" s="951">
        <v>0</v>
      </c>
      <c r="K945" s="951">
        <f>20000-J945</f>
        <v>20000</v>
      </c>
      <c r="L945" s="951">
        <f t="shared" si="32"/>
        <v>20000</v>
      </c>
      <c r="M945" s="951">
        <v>20000</v>
      </c>
    </row>
    <row r="946" spans="1:13" ht="18" customHeight="1">
      <c r="A946" s="942"/>
      <c r="B946" s="943"/>
      <c r="C946" s="943"/>
      <c r="D946" s="943" t="s">
        <v>564</v>
      </c>
      <c r="E946" s="943"/>
      <c r="F946" s="944"/>
      <c r="G946" s="945" t="s">
        <v>390</v>
      </c>
      <c r="H946" s="949" t="s">
        <v>707</v>
      </c>
      <c r="I946" s="950">
        <v>52750</v>
      </c>
      <c r="J946" s="951">
        <v>0</v>
      </c>
      <c r="K946" s="951">
        <f>15000-J946</f>
        <v>15000</v>
      </c>
      <c r="L946" s="951">
        <f t="shared" si="32"/>
        <v>15000</v>
      </c>
      <c r="M946" s="951">
        <v>15000</v>
      </c>
    </row>
    <row r="947" spans="1:13" ht="18" customHeight="1">
      <c r="A947" s="954"/>
      <c r="B947" s="955"/>
      <c r="C947" s="955"/>
      <c r="D947" s="955" t="s">
        <v>752</v>
      </c>
      <c r="E947" s="955"/>
      <c r="F947" s="956"/>
      <c r="G947" s="957"/>
      <c r="H947" s="980"/>
      <c r="I947" s="958">
        <f>SUM(I941:I946)</f>
        <v>165596</v>
      </c>
      <c r="J947" s="958">
        <f>SUM(J941:J946)</f>
        <v>47160</v>
      </c>
      <c r="K947" s="958">
        <f>SUM(K941:K946)</f>
        <v>271840</v>
      </c>
      <c r="L947" s="958">
        <f>SUM(L941:L946)</f>
        <v>319000</v>
      </c>
      <c r="M947" s="958">
        <f>SUM(M941:M946)</f>
        <v>339000</v>
      </c>
    </row>
    <row r="948" spans="1:13" ht="18" customHeight="1">
      <c r="A948" s="942"/>
      <c r="B948" s="943" t="s">
        <v>565</v>
      </c>
      <c r="C948" s="943"/>
      <c r="D948" s="943"/>
      <c r="E948" s="943"/>
      <c r="F948" s="944"/>
      <c r="G948" s="945"/>
      <c r="H948" s="977"/>
      <c r="I948" s="950"/>
      <c r="J948" s="951"/>
      <c r="K948" s="951"/>
      <c r="L948" s="951"/>
      <c r="M948" s="951"/>
    </row>
    <row r="949" spans="1:13" ht="18" customHeight="1">
      <c r="A949" s="942"/>
      <c r="B949" s="943"/>
      <c r="C949" s="943"/>
      <c r="D949" s="943" t="s">
        <v>686</v>
      </c>
      <c r="E949" s="943"/>
      <c r="F949" s="944"/>
      <c r="G949" s="945" t="s">
        <v>846</v>
      </c>
      <c r="H949" s="949" t="s">
        <v>847</v>
      </c>
      <c r="I949" s="950">
        <v>151371</v>
      </c>
      <c r="J949" s="951">
        <v>37400</v>
      </c>
      <c r="K949" s="951">
        <f>200000-J949</f>
        <v>162600</v>
      </c>
      <c r="L949" s="951">
        <f>SUM(K949+J949)</f>
        <v>200000</v>
      </c>
      <c r="M949" s="951">
        <v>200000</v>
      </c>
    </row>
    <row r="950" spans="1:13" ht="18" customHeight="1">
      <c r="A950" s="942"/>
      <c r="B950" s="943"/>
      <c r="C950" s="943"/>
      <c r="D950" s="943" t="s">
        <v>855</v>
      </c>
      <c r="E950" s="943"/>
      <c r="F950" s="944"/>
      <c r="G950" s="945" t="s">
        <v>914</v>
      </c>
      <c r="H950" s="949" t="s">
        <v>856</v>
      </c>
      <c r="I950" s="950">
        <v>0</v>
      </c>
      <c r="J950" s="951">
        <v>19999</v>
      </c>
      <c r="K950" s="951">
        <f>20000-J950</f>
        <v>1</v>
      </c>
      <c r="L950" s="951">
        <f>SUM(K950+J950)</f>
        <v>20000</v>
      </c>
      <c r="M950" s="951">
        <v>0</v>
      </c>
    </row>
    <row r="951" spans="1:13" ht="18" customHeight="1">
      <c r="A951" s="942"/>
      <c r="B951" s="943"/>
      <c r="C951" s="943"/>
      <c r="D951" s="943" t="s">
        <v>849</v>
      </c>
      <c r="E951" s="943"/>
      <c r="F951" s="944"/>
      <c r="G951" s="945" t="s">
        <v>850</v>
      </c>
      <c r="H951" s="949" t="s">
        <v>851</v>
      </c>
      <c r="I951" s="950">
        <v>54000</v>
      </c>
      <c r="J951" s="951">
        <v>41700</v>
      </c>
      <c r="K951" s="951">
        <f>50000-J951</f>
        <v>8300</v>
      </c>
      <c r="L951" s="951">
        <f>SUM(K951+J951)</f>
        <v>50000</v>
      </c>
      <c r="M951" s="951">
        <v>50000</v>
      </c>
    </row>
    <row r="952" spans="1:13" ht="18" customHeight="1">
      <c r="A952" s="954"/>
      <c r="B952" s="955"/>
      <c r="C952" s="955"/>
      <c r="D952" s="955" t="s">
        <v>797</v>
      </c>
      <c r="E952" s="955"/>
      <c r="F952" s="956"/>
      <c r="G952" s="957"/>
      <c r="H952" s="980"/>
      <c r="I952" s="958">
        <f>SUM(I949:I951)</f>
        <v>205371</v>
      </c>
      <c r="J952" s="958">
        <f>SUM(J949:J951)</f>
        <v>99099</v>
      </c>
      <c r="K952" s="958">
        <f>SUM(K949:K951)</f>
        <v>170901</v>
      </c>
      <c r="L952" s="958">
        <f>SUM(L949:L951)</f>
        <v>270000</v>
      </c>
      <c r="M952" s="958">
        <f>SUM(M949:M951)</f>
        <v>250000</v>
      </c>
    </row>
    <row r="953" spans="1:13" ht="18" customHeight="1">
      <c r="A953" s="954"/>
      <c r="B953" s="955"/>
      <c r="C953" s="955"/>
      <c r="D953" s="955"/>
      <c r="E953" s="955"/>
      <c r="F953" s="956"/>
      <c r="G953" s="957"/>
      <c r="H953" s="980"/>
      <c r="I953" s="958"/>
      <c r="J953" s="961"/>
      <c r="K953" s="961"/>
      <c r="L953" s="961"/>
      <c r="M953" s="961"/>
    </row>
    <row r="954" spans="1:13" ht="18" customHeight="1">
      <c r="A954" s="962" t="s">
        <v>625</v>
      </c>
      <c r="B954" s="963"/>
      <c r="C954" s="963"/>
      <c r="D954" s="963"/>
      <c r="E954" s="963"/>
      <c r="F954" s="964"/>
      <c r="G954" s="965"/>
      <c r="H954" s="981"/>
      <c r="I954" s="967">
        <f>SUM(I952+I947+I939)</f>
        <v>1216828.82</v>
      </c>
      <c r="J954" s="967">
        <f>SUM(J952+J947+J939)</f>
        <v>731165.82</v>
      </c>
      <c r="K954" s="967">
        <f>SUM(K952+K947+K939)</f>
        <v>948975.52</v>
      </c>
      <c r="L954" s="967">
        <f>SUM(L952+L947+L939)</f>
        <v>1680141.34</v>
      </c>
      <c r="M954" s="967">
        <f>SUM(M952+M947+M939)</f>
        <v>1627056</v>
      </c>
    </row>
    <row r="955" spans="1:13" ht="18" customHeight="1">
      <c r="A955" s="930"/>
      <c r="B955" s="968"/>
      <c r="C955" s="930"/>
      <c r="D955" s="930"/>
      <c r="E955" s="930"/>
      <c r="F955" s="930"/>
      <c r="G955" s="930"/>
      <c r="H955" s="969"/>
      <c r="I955" s="969"/>
      <c r="J955" s="970"/>
      <c r="K955" s="970"/>
      <c r="L955" s="970"/>
      <c r="M955" s="970"/>
    </row>
    <row r="956" spans="1:13" ht="18" customHeight="1">
      <c r="A956" s="1278" t="s">
        <v>1758</v>
      </c>
      <c r="B956" s="1278"/>
      <c r="C956" s="1278"/>
      <c r="D956" s="1278"/>
      <c r="E956" s="1278"/>
      <c r="F956" s="1278"/>
      <c r="G956" s="1278"/>
      <c r="H956" s="1278"/>
      <c r="I956" s="1278"/>
      <c r="J956" s="1278"/>
      <c r="K956" s="1278"/>
      <c r="L956" s="1278"/>
      <c r="M956" s="1278"/>
    </row>
    <row r="957" spans="1:13" ht="18" customHeight="1">
      <c r="A957" s="1218"/>
      <c r="B957" s="1218"/>
      <c r="C957" s="1218"/>
      <c r="D957" s="1218"/>
      <c r="E957" s="1218"/>
      <c r="F957" s="1218"/>
      <c r="G957" s="1218"/>
      <c r="H957" s="1218"/>
      <c r="I957" s="1218"/>
      <c r="J957" s="1218"/>
      <c r="K957" s="1218"/>
      <c r="L957" s="1218"/>
      <c r="M957" s="1218"/>
    </row>
    <row r="958" spans="1:13" s="917" customFormat="1" ht="18" customHeight="1">
      <c r="A958" s="915"/>
      <c r="B958" s="914"/>
      <c r="C958" s="915"/>
      <c r="D958" s="915"/>
      <c r="E958" s="915"/>
      <c r="F958" s="971"/>
      <c r="G958" s="972"/>
      <c r="H958" s="969"/>
      <c r="I958" s="969"/>
      <c r="K958" s="973"/>
      <c r="L958" s="973"/>
      <c r="M958" s="970"/>
    </row>
    <row r="959" spans="1:13" s="917" customFormat="1" ht="18" customHeight="1">
      <c r="A959" s="915"/>
      <c r="B959" s="914"/>
      <c r="C959" s="915"/>
      <c r="D959" s="915"/>
      <c r="E959" s="915"/>
      <c r="F959" s="971"/>
      <c r="G959" s="972"/>
      <c r="H959" s="969"/>
      <c r="I959" s="969"/>
      <c r="K959" s="973"/>
      <c r="L959" s="973"/>
      <c r="M959" s="970"/>
    </row>
    <row r="960" spans="1:13" s="917" customFormat="1" ht="18" customHeight="1">
      <c r="A960" s="915"/>
      <c r="B960" s="914"/>
      <c r="C960" s="915"/>
      <c r="D960" s="915"/>
      <c r="E960" s="915"/>
      <c r="F960" s="971"/>
      <c r="G960" s="972"/>
      <c r="H960" s="969"/>
      <c r="I960" s="969"/>
      <c r="K960" s="973"/>
      <c r="L960" s="973"/>
      <c r="M960" s="970"/>
    </row>
    <row r="961" spans="1:14" s="917" customFormat="1" ht="18" customHeight="1">
      <c r="A961" s="915"/>
      <c r="B961" s="914"/>
      <c r="C961" s="915"/>
      <c r="D961" s="915"/>
      <c r="E961" s="915"/>
      <c r="F961" s="971"/>
      <c r="G961" s="972"/>
      <c r="H961" s="969"/>
      <c r="I961" s="969"/>
      <c r="K961" s="973"/>
      <c r="L961" s="973"/>
      <c r="M961" s="970"/>
    </row>
    <row r="962" spans="1:14" s="917" customFormat="1" ht="18" customHeight="1">
      <c r="A962" s="915"/>
      <c r="B962" s="914"/>
      <c r="C962" s="915"/>
      <c r="D962" s="915"/>
      <c r="E962" s="915"/>
      <c r="F962" s="971"/>
      <c r="G962" s="972"/>
      <c r="H962" s="969"/>
      <c r="I962" s="969"/>
      <c r="K962" s="973"/>
      <c r="L962" s="973"/>
      <c r="M962" s="970"/>
    </row>
    <row r="963" spans="1:14" s="917" customFormat="1" ht="18" customHeight="1">
      <c r="A963" s="915"/>
      <c r="B963" s="914"/>
      <c r="C963" s="915"/>
      <c r="D963" s="915"/>
      <c r="E963" s="915"/>
      <c r="F963" s="971"/>
      <c r="G963" s="972"/>
      <c r="H963" s="969"/>
      <c r="I963" s="969"/>
      <c r="K963" s="973"/>
      <c r="L963" s="973"/>
      <c r="M963" s="970"/>
    </row>
    <row r="964" spans="1:14" s="917" customFormat="1" ht="18" customHeight="1">
      <c r="A964" s="915"/>
      <c r="B964" s="914"/>
      <c r="C964" s="915"/>
      <c r="D964" s="915"/>
      <c r="E964" s="915"/>
      <c r="F964" s="971"/>
      <c r="G964" s="972"/>
      <c r="H964" s="969"/>
      <c r="I964" s="969"/>
      <c r="K964" s="973"/>
      <c r="L964" s="973"/>
      <c r="M964" s="970"/>
    </row>
    <row r="965" spans="1:14" s="917" customFormat="1" ht="18" customHeight="1">
      <c r="A965" s="915"/>
      <c r="B965" s="914"/>
      <c r="C965" s="915"/>
      <c r="D965" s="915"/>
      <c r="E965" s="915"/>
      <c r="F965" s="971"/>
      <c r="G965" s="972"/>
      <c r="H965" s="969"/>
      <c r="I965" s="969"/>
      <c r="K965" s="973"/>
      <c r="L965" s="973"/>
      <c r="M965" s="970"/>
    </row>
    <row r="966" spans="1:14" s="917" customFormat="1" ht="18" customHeight="1">
      <c r="A966" s="915"/>
      <c r="B966" s="914"/>
      <c r="C966" s="915"/>
      <c r="D966" s="915"/>
      <c r="E966" s="915"/>
      <c r="F966" s="971"/>
      <c r="G966" s="972"/>
      <c r="H966" s="969"/>
      <c r="I966" s="969"/>
      <c r="K966" s="973"/>
      <c r="L966" s="973"/>
      <c r="M966" s="970"/>
    </row>
    <row r="967" spans="1:14" s="987" customFormat="1" ht="20.100000000000001" customHeight="1">
      <c r="A967" s="1276" t="s">
        <v>979</v>
      </c>
      <c r="B967" s="1276"/>
      <c r="C967" s="1276"/>
      <c r="D967" s="1276"/>
      <c r="E967" s="1276"/>
      <c r="F967" s="1276"/>
      <c r="G967" s="1276"/>
      <c r="H967" s="1276"/>
      <c r="I967" s="1276"/>
      <c r="J967" s="1276"/>
      <c r="K967" s="1276"/>
      <c r="L967" s="1276"/>
      <c r="M967" s="1276"/>
    </row>
    <row r="968" spans="1:14" s="917" customFormat="1" ht="18" customHeight="1">
      <c r="A968" s="914"/>
      <c r="B968" s="915"/>
      <c r="C968" s="915"/>
      <c r="D968" s="915"/>
      <c r="E968" s="915"/>
      <c r="F968" s="915"/>
      <c r="G968" s="915"/>
      <c r="H968" s="915"/>
      <c r="I968" s="915"/>
      <c r="J968" s="915"/>
      <c r="K968" s="915"/>
      <c r="L968" s="915"/>
      <c r="M968" s="916"/>
    </row>
    <row r="969" spans="1:14" s="1113" customFormat="1" ht="15" customHeight="1">
      <c r="A969" s="1259" t="s">
        <v>883</v>
      </c>
      <c r="B969" s="1259"/>
      <c r="C969" s="1259"/>
      <c r="D969" s="1259"/>
      <c r="E969" s="1259"/>
      <c r="F969" s="1259"/>
      <c r="G969" s="1259"/>
      <c r="H969" s="1259"/>
      <c r="I969" s="1259"/>
      <c r="J969" s="1259"/>
      <c r="K969" s="1259"/>
      <c r="L969" s="1259"/>
      <c r="M969" s="1259"/>
      <c r="N969" s="1165"/>
    </row>
    <row r="970" spans="1:14" s="1113" customFormat="1" ht="15" customHeight="1">
      <c r="A970" s="1259" t="s">
        <v>178</v>
      </c>
      <c r="B970" s="1259"/>
      <c r="C970" s="1259"/>
      <c r="D970" s="1259"/>
      <c r="E970" s="1259"/>
      <c r="F970" s="1259"/>
      <c r="G970" s="1259"/>
      <c r="H970" s="1259"/>
      <c r="I970" s="1259"/>
      <c r="J970" s="1259"/>
      <c r="K970" s="1259"/>
      <c r="L970" s="1259"/>
      <c r="M970" s="1259"/>
      <c r="N970" s="1165"/>
    </row>
    <row r="971" spans="1:14" s="1113" customFormat="1" ht="15" customHeight="1">
      <c r="A971" s="1259" t="s">
        <v>1742</v>
      </c>
      <c r="B971" s="1259"/>
      <c r="C971" s="1259"/>
      <c r="D971" s="1259"/>
      <c r="E971" s="1259"/>
      <c r="F971" s="1259"/>
      <c r="G971" s="1259"/>
      <c r="H971" s="1259"/>
      <c r="I971" s="1259"/>
      <c r="J971" s="1259"/>
      <c r="K971" s="1259"/>
      <c r="L971" s="1259"/>
      <c r="M971" s="1259"/>
      <c r="N971" s="1165"/>
    </row>
    <row r="972" spans="1:14" s="1113" customFormat="1" ht="15" customHeight="1">
      <c r="A972" s="1259"/>
      <c r="B972" s="1259"/>
      <c r="C972" s="1259"/>
      <c r="D972" s="1259"/>
      <c r="E972" s="1259"/>
      <c r="F972" s="1259"/>
      <c r="G972" s="1259"/>
      <c r="H972" s="1259"/>
      <c r="I972" s="1259"/>
      <c r="J972" s="1259"/>
      <c r="K972" s="1259"/>
      <c r="L972" s="1259"/>
      <c r="M972" s="1259"/>
      <c r="N972" s="1165"/>
    </row>
    <row r="973" spans="1:14" s="1113" customFormat="1" ht="15" customHeight="1">
      <c r="A973" s="1145"/>
      <c r="B973" s="1145"/>
      <c r="C973" s="1145"/>
      <c r="D973" s="1145"/>
      <c r="E973" s="1145"/>
      <c r="F973" s="1145"/>
      <c r="G973" s="1145"/>
      <c r="H973" s="1145"/>
      <c r="I973" s="1145"/>
      <c r="J973" s="1145"/>
      <c r="K973" s="1145"/>
      <c r="L973" s="1145"/>
      <c r="M973" s="1145"/>
      <c r="N973" s="1165"/>
    </row>
    <row r="974" spans="1:14" s="1113" customFormat="1" ht="15" customHeight="1">
      <c r="A974" s="1145"/>
      <c r="B974" s="1145"/>
      <c r="C974" s="1145"/>
      <c r="D974" s="1145"/>
      <c r="E974" s="1145"/>
      <c r="F974" s="1145"/>
      <c r="G974" s="1145"/>
      <c r="H974" s="1145"/>
      <c r="I974" s="1145"/>
      <c r="J974" s="1145"/>
      <c r="K974" s="1145"/>
      <c r="L974" s="1145"/>
      <c r="M974" s="1145"/>
      <c r="N974" s="1165"/>
    </row>
    <row r="975" spans="1:14" s="1113" customFormat="1" ht="15" customHeight="1">
      <c r="A975" s="1145"/>
      <c r="B975" s="1145"/>
      <c r="C975" s="1145"/>
      <c r="D975" s="1145"/>
      <c r="E975" s="1145"/>
      <c r="F975" s="1145"/>
      <c r="G975" s="1145"/>
      <c r="H975" s="1145"/>
      <c r="I975" s="1145"/>
      <c r="J975" s="1145"/>
      <c r="K975" s="1145"/>
      <c r="L975" s="1145"/>
      <c r="M975" s="1145"/>
      <c r="N975" s="1165"/>
    </row>
    <row r="976" spans="1:14" s="1113" customFormat="1" ht="18" customHeight="1">
      <c r="A976" s="1232" t="s">
        <v>1743</v>
      </c>
      <c r="B976" s="1232"/>
      <c r="C976" s="1232"/>
      <c r="D976" s="1232"/>
      <c r="E976" s="1232"/>
      <c r="F976" s="1232"/>
      <c r="G976" s="1232"/>
      <c r="H976" s="1232"/>
      <c r="I976" s="1232"/>
      <c r="J976" s="1232"/>
      <c r="K976" s="1232"/>
      <c r="L976" s="1232"/>
      <c r="M976" s="1232"/>
      <c r="N976" s="1166"/>
    </row>
    <row r="977" spans="1:14" s="1113" customFormat="1">
      <c r="A977" s="1234" t="s">
        <v>1780</v>
      </c>
      <c r="B977" s="1234"/>
      <c r="C977" s="1234"/>
      <c r="D977" s="1234"/>
      <c r="E977" s="1234"/>
      <c r="F977" s="1234"/>
      <c r="G977" s="1234"/>
      <c r="H977" s="1234"/>
      <c r="I977" s="1234"/>
      <c r="J977" s="1234"/>
      <c r="K977" s="1234"/>
      <c r="L977" s="1234"/>
      <c r="M977" s="1234"/>
      <c r="N977" s="1167"/>
    </row>
    <row r="978" spans="1:14" s="1113" customFormat="1" ht="15.75">
      <c r="A978" s="1113" t="s">
        <v>1827</v>
      </c>
      <c r="G978" s="1145"/>
      <c r="I978" s="1160"/>
      <c r="L978" s="1146"/>
      <c r="M978" s="1146"/>
    </row>
    <row r="979" spans="1:14" s="1113" customFormat="1" ht="15.75">
      <c r="A979" s="1113" t="s">
        <v>1776</v>
      </c>
      <c r="G979" s="1145"/>
      <c r="I979" s="1160"/>
      <c r="L979" s="1146"/>
      <c r="M979" s="1146"/>
    </row>
    <row r="980" spans="1:14" s="1113" customFormat="1" ht="8.1" customHeight="1">
      <c r="A980" s="1161" t="s">
        <v>1774</v>
      </c>
      <c r="G980" s="1145"/>
      <c r="I980" s="1160"/>
      <c r="L980" s="1146"/>
      <c r="M980" s="1146"/>
    </row>
    <row r="981" spans="1:14" s="1113" customFormat="1" ht="15.75" customHeight="1">
      <c r="A981" s="1113" t="s">
        <v>1825</v>
      </c>
      <c r="C981" s="1275" t="s">
        <v>1826</v>
      </c>
      <c r="D981" s="1275"/>
      <c r="E981" s="1275"/>
      <c r="F981" s="1275"/>
      <c r="G981" s="1275"/>
      <c r="H981" s="1275"/>
      <c r="I981" s="1275"/>
      <c r="J981" s="1275"/>
      <c r="K981" s="1275"/>
      <c r="L981" s="1275"/>
      <c r="M981" s="1275"/>
      <c r="N981" s="1144"/>
    </row>
    <row r="982" spans="1:14" s="917" customFormat="1" ht="18" customHeight="1" thickBot="1">
      <c r="A982" s="1279"/>
      <c r="B982" s="1279"/>
      <c r="C982" s="1279"/>
      <c r="D982" s="1279"/>
      <c r="E982" s="1279"/>
      <c r="F982" s="1279"/>
      <c r="G982" s="1279"/>
      <c r="H982" s="1279"/>
      <c r="I982" s="1279"/>
      <c r="J982" s="1279"/>
      <c r="K982" s="1279"/>
      <c r="L982" s="1279"/>
      <c r="M982" s="1279"/>
    </row>
    <row r="983" spans="1:14" ht="18" customHeight="1">
      <c r="A983" s="919"/>
      <c r="B983" s="920"/>
      <c r="C983" s="920"/>
      <c r="D983" s="920"/>
      <c r="E983" s="920"/>
      <c r="F983" s="921"/>
      <c r="G983" s="922"/>
      <c r="H983" s="923"/>
      <c r="I983" s="923" t="s">
        <v>6</v>
      </c>
      <c r="J983" s="1266" t="s">
        <v>630</v>
      </c>
      <c r="K983" s="1267"/>
      <c r="L983" s="1268"/>
      <c r="M983" s="924" t="s">
        <v>7</v>
      </c>
    </row>
    <row r="984" spans="1:14" ht="18" customHeight="1">
      <c r="A984" s="1269"/>
      <c r="B984" s="1270"/>
      <c r="C984" s="1270"/>
      <c r="D984" s="1270"/>
      <c r="E984" s="1270"/>
      <c r="F984" s="1271"/>
      <c r="G984" s="1106"/>
      <c r="H984" s="925"/>
      <c r="I984" s="925">
        <v>2020</v>
      </c>
      <c r="J984" s="925" t="s">
        <v>572</v>
      </c>
      <c r="K984" s="925" t="s">
        <v>573</v>
      </c>
      <c r="L984" s="925">
        <v>2021</v>
      </c>
      <c r="M984" s="926">
        <v>2022</v>
      </c>
    </row>
    <row r="985" spans="1:14" ht="18" customHeight="1">
      <c r="A985" s="1269" t="s">
        <v>21</v>
      </c>
      <c r="B985" s="1270"/>
      <c r="C985" s="1270"/>
      <c r="D985" s="1270"/>
      <c r="E985" s="1270"/>
      <c r="F985" s="1271"/>
      <c r="G985" s="927"/>
      <c r="H985" s="928" t="s">
        <v>624</v>
      </c>
      <c r="I985" s="925" t="s">
        <v>933</v>
      </c>
      <c r="J985" s="925" t="s">
        <v>571</v>
      </c>
      <c r="K985" s="925" t="s">
        <v>574</v>
      </c>
      <c r="L985" s="925" t="s">
        <v>933</v>
      </c>
      <c r="M985" s="926" t="s">
        <v>933</v>
      </c>
    </row>
    <row r="986" spans="1:14" ht="18" customHeight="1">
      <c r="A986" s="929"/>
      <c r="B986" s="930"/>
      <c r="C986" s="930"/>
      <c r="D986" s="930"/>
      <c r="E986" s="930"/>
      <c r="F986" s="931"/>
      <c r="G986" s="927"/>
      <c r="H986" s="925"/>
      <c r="I986" s="1220" t="s">
        <v>571</v>
      </c>
      <c r="J986" s="925">
        <v>2021</v>
      </c>
      <c r="K986" s="925">
        <v>2021</v>
      </c>
      <c r="L986" s="1220" t="s">
        <v>934</v>
      </c>
      <c r="M986" s="1221" t="s">
        <v>576</v>
      </c>
    </row>
    <row r="987" spans="1:14" ht="18" customHeight="1" thickBot="1">
      <c r="A987" s="1272"/>
      <c r="B987" s="1273"/>
      <c r="C987" s="1273"/>
      <c r="D987" s="1273"/>
      <c r="E987" s="1273"/>
      <c r="F987" s="1274"/>
      <c r="G987" s="1107"/>
      <c r="H987" s="932"/>
      <c r="I987" s="932"/>
      <c r="J987" s="932"/>
      <c r="K987" s="932"/>
      <c r="L987" s="932"/>
      <c r="M987" s="933"/>
    </row>
    <row r="988" spans="1:14" ht="18" customHeight="1">
      <c r="A988" s="934"/>
      <c r="B988" s="935" t="s">
        <v>366</v>
      </c>
      <c r="C988" s="936"/>
      <c r="D988" s="935"/>
      <c r="E988" s="935"/>
      <c r="F988" s="937"/>
      <c r="G988" s="938"/>
      <c r="H988" s="974"/>
      <c r="I988" s="975"/>
      <c r="J988" s="976"/>
      <c r="K988" s="976"/>
      <c r="L988" s="976"/>
      <c r="M988" s="976"/>
    </row>
    <row r="989" spans="1:14" ht="18" customHeight="1">
      <c r="A989" s="942"/>
      <c r="B989" s="943"/>
      <c r="C989" s="943" t="s">
        <v>525</v>
      </c>
      <c r="D989" s="943"/>
      <c r="E989" s="943"/>
      <c r="F989" s="944"/>
      <c r="G989" s="945"/>
      <c r="H989" s="977"/>
      <c r="I989" s="978"/>
      <c r="J989" s="979"/>
      <c r="K989" s="979"/>
      <c r="L989" s="979"/>
      <c r="M989" s="979"/>
    </row>
    <row r="990" spans="1:14" ht="18" customHeight="1">
      <c r="A990" s="942"/>
      <c r="B990" s="943"/>
      <c r="C990" s="943"/>
      <c r="D990" s="943" t="s">
        <v>526</v>
      </c>
      <c r="E990" s="943"/>
      <c r="F990" s="944"/>
      <c r="G990" s="945" t="s">
        <v>594</v>
      </c>
      <c r="H990" s="949" t="s">
        <v>687</v>
      </c>
      <c r="I990" s="950">
        <v>3363576</v>
      </c>
      <c r="J990" s="951">
        <f>1746652.99</f>
        <v>1746652.99</v>
      </c>
      <c r="K990" s="951">
        <f>3782865-J990</f>
        <v>2036212.01</v>
      </c>
      <c r="L990" s="951">
        <f>SUM(K990+J990)</f>
        <v>3782865</v>
      </c>
      <c r="M990" s="951">
        <v>3940171</v>
      </c>
    </row>
    <row r="991" spans="1:14" ht="18" customHeight="1">
      <c r="A991" s="942"/>
      <c r="B991" s="943"/>
      <c r="C991" s="943"/>
      <c r="D991" s="943" t="s">
        <v>428</v>
      </c>
      <c r="E991" s="943"/>
      <c r="F991" s="944"/>
      <c r="G991" s="945" t="s">
        <v>398</v>
      </c>
      <c r="H991" s="949" t="s">
        <v>743</v>
      </c>
      <c r="I991" s="950">
        <v>1288001</v>
      </c>
      <c r="J991" s="951">
        <v>613740</v>
      </c>
      <c r="K991" s="951">
        <f>1227480-J991</f>
        <v>613740</v>
      </c>
      <c r="L991" s="951">
        <f>SUM(K991+J991)</f>
        <v>1227480</v>
      </c>
      <c r="M991" s="951">
        <v>0</v>
      </c>
    </row>
    <row r="992" spans="1:14" ht="18" customHeight="1">
      <c r="A992" s="942"/>
      <c r="B992" s="943"/>
      <c r="C992" s="943" t="s">
        <v>527</v>
      </c>
      <c r="D992" s="943"/>
      <c r="E992" s="943"/>
      <c r="F992" s="944"/>
      <c r="G992" s="945"/>
      <c r="H992" s="977"/>
      <c r="I992" s="950"/>
      <c r="J992" s="951"/>
      <c r="K992" s="951"/>
      <c r="L992" s="951"/>
      <c r="M992" s="951"/>
    </row>
    <row r="993" spans="1:13" ht="18" customHeight="1">
      <c r="A993" s="942"/>
      <c r="B993" s="943"/>
      <c r="C993" s="943"/>
      <c r="D993" s="943" t="s">
        <v>528</v>
      </c>
      <c r="E993" s="943"/>
      <c r="F993" s="944"/>
      <c r="G993" s="945" t="s">
        <v>595</v>
      </c>
      <c r="H993" s="949" t="s">
        <v>688</v>
      </c>
      <c r="I993" s="950">
        <v>799818.18</v>
      </c>
      <c r="J993" s="951">
        <v>392000</v>
      </c>
      <c r="K993" s="951">
        <f>816000-J993</f>
        <v>424000</v>
      </c>
      <c r="L993" s="951">
        <f t="shared" ref="L993:L1011" si="33">SUM(K993+J993)</f>
        <v>816000</v>
      </c>
      <c r="M993" s="951">
        <v>576000</v>
      </c>
    </row>
    <row r="994" spans="1:13" ht="18" customHeight="1">
      <c r="A994" s="942"/>
      <c r="B994" s="943"/>
      <c r="C994" s="943"/>
      <c r="D994" s="943" t="s">
        <v>539</v>
      </c>
      <c r="E994" s="943"/>
      <c r="F994" s="944"/>
      <c r="G994" s="945" t="s">
        <v>598</v>
      </c>
      <c r="H994" s="949" t="s">
        <v>691</v>
      </c>
      <c r="I994" s="950">
        <v>198000</v>
      </c>
      <c r="J994" s="951">
        <v>198000</v>
      </c>
      <c r="K994" s="951">
        <f>204000-J994</f>
        <v>6000</v>
      </c>
      <c r="L994" s="951">
        <f t="shared" si="33"/>
        <v>204000</v>
      </c>
      <c r="M994" s="951">
        <v>144000</v>
      </c>
    </row>
    <row r="995" spans="1:13" ht="18" customHeight="1">
      <c r="A995" s="942"/>
      <c r="B995" s="943"/>
      <c r="C995" s="943"/>
      <c r="D995" s="943" t="s">
        <v>1530</v>
      </c>
      <c r="E995" s="943"/>
      <c r="F995" s="944"/>
      <c r="G995" s="945" t="s">
        <v>599</v>
      </c>
      <c r="H995" s="949" t="s">
        <v>708</v>
      </c>
      <c r="I995" s="950">
        <v>18375</v>
      </c>
      <c r="J995" s="951">
        <v>6000</v>
      </c>
      <c r="K995" s="951">
        <f>19800-J995</f>
        <v>13800</v>
      </c>
      <c r="L995" s="951">
        <f t="shared" si="33"/>
        <v>19800</v>
      </c>
      <c r="M995" s="951">
        <v>19800</v>
      </c>
    </row>
    <row r="996" spans="1:13" ht="18" customHeight="1">
      <c r="A996" s="942"/>
      <c r="B996" s="943"/>
      <c r="C996" s="943"/>
      <c r="D996" s="943" t="s">
        <v>685</v>
      </c>
      <c r="E996" s="943"/>
      <c r="F996" s="944"/>
      <c r="G996" s="945" t="s">
        <v>600</v>
      </c>
      <c r="H996" s="949" t="s">
        <v>692</v>
      </c>
      <c r="I996" s="950">
        <v>167500</v>
      </c>
      <c r="J996" s="951">
        <v>0</v>
      </c>
      <c r="K996" s="951">
        <f>170000-J996</f>
        <v>170000</v>
      </c>
      <c r="L996" s="951">
        <f t="shared" si="33"/>
        <v>170000</v>
      </c>
      <c r="M996" s="951">
        <v>120000</v>
      </c>
    </row>
    <row r="997" spans="1:13" ht="18" customHeight="1">
      <c r="A997" s="942"/>
      <c r="B997" s="943"/>
      <c r="C997" s="943"/>
      <c r="D997" s="943" t="s">
        <v>541</v>
      </c>
      <c r="E997" s="943"/>
      <c r="F997" s="944"/>
      <c r="G997" s="945" t="s">
        <v>433</v>
      </c>
      <c r="H997" s="949" t="s">
        <v>693</v>
      </c>
      <c r="I997" s="950">
        <v>30000</v>
      </c>
      <c r="J997" s="951">
        <v>0</v>
      </c>
      <c r="K997" s="951">
        <f>15000-J997</f>
        <v>15000</v>
      </c>
      <c r="L997" s="951">
        <f t="shared" si="33"/>
        <v>15000</v>
      </c>
      <c r="M997" s="951">
        <v>15000</v>
      </c>
    </row>
    <row r="998" spans="1:13" ht="18" customHeight="1">
      <c r="A998" s="942"/>
      <c r="B998" s="943"/>
      <c r="C998" s="943"/>
      <c r="D998" s="943" t="s">
        <v>1630</v>
      </c>
      <c r="E998" s="943"/>
      <c r="F998" s="944"/>
      <c r="G998" s="945" t="s">
        <v>433</v>
      </c>
      <c r="H998" s="949" t="s">
        <v>693</v>
      </c>
      <c r="I998" s="950"/>
      <c r="J998" s="951">
        <v>93000</v>
      </c>
      <c r="K998" s="951">
        <f>93000-J998</f>
        <v>0</v>
      </c>
      <c r="L998" s="951">
        <f t="shared" si="33"/>
        <v>93000</v>
      </c>
      <c r="M998" s="951">
        <v>0</v>
      </c>
    </row>
    <row r="999" spans="1:13" ht="18" customHeight="1">
      <c r="A999" s="942"/>
      <c r="B999" s="943"/>
      <c r="C999" s="943"/>
      <c r="D999" s="943" t="s">
        <v>1513</v>
      </c>
      <c r="E999" s="943"/>
      <c r="F999" s="944"/>
      <c r="G999" s="945"/>
      <c r="H999" s="949" t="s">
        <v>693</v>
      </c>
      <c r="I999" s="950">
        <v>190105.74</v>
      </c>
      <c r="J999" s="951">
        <v>0</v>
      </c>
      <c r="K999" s="951">
        <v>0</v>
      </c>
      <c r="L999" s="951">
        <f t="shared" si="33"/>
        <v>0</v>
      </c>
      <c r="M999" s="951">
        <v>220000</v>
      </c>
    </row>
    <row r="1000" spans="1:13" ht="18" customHeight="1">
      <c r="A1000" s="942"/>
      <c r="B1000" s="943"/>
      <c r="C1000" s="943"/>
      <c r="D1000" s="943" t="s">
        <v>543</v>
      </c>
      <c r="E1000" s="943"/>
      <c r="F1000" s="944"/>
      <c r="G1000" s="945" t="s">
        <v>601</v>
      </c>
      <c r="H1000" s="949" t="s">
        <v>709</v>
      </c>
      <c r="I1000" s="950">
        <v>10668</v>
      </c>
      <c r="J1000" s="951">
        <v>3556</v>
      </c>
      <c r="K1000" s="951">
        <f>21336-J1000</f>
        <v>17780</v>
      </c>
      <c r="L1000" s="951">
        <f t="shared" si="33"/>
        <v>21336</v>
      </c>
      <c r="M1000" s="951">
        <v>21336</v>
      </c>
    </row>
    <row r="1001" spans="1:13" ht="18" customHeight="1">
      <c r="A1001" s="942"/>
      <c r="B1001" s="943"/>
      <c r="C1001" s="943"/>
      <c r="D1001" s="943" t="s">
        <v>367</v>
      </c>
      <c r="E1001" s="943"/>
      <c r="F1001" s="944"/>
      <c r="G1001" s="945" t="s">
        <v>602</v>
      </c>
      <c r="H1001" s="949" t="s">
        <v>710</v>
      </c>
      <c r="I1001" s="950">
        <v>50000</v>
      </c>
      <c r="J1001" s="951">
        <v>0</v>
      </c>
      <c r="K1001" s="951">
        <f>70000-J1001</f>
        <v>70000</v>
      </c>
      <c r="L1001" s="951">
        <f t="shared" si="33"/>
        <v>70000</v>
      </c>
      <c r="M1001" s="951">
        <v>100000</v>
      </c>
    </row>
    <row r="1002" spans="1:13" ht="18" customHeight="1">
      <c r="A1002" s="942"/>
      <c r="B1002" s="943"/>
      <c r="C1002" s="943"/>
      <c r="D1002" s="943" t="s">
        <v>544</v>
      </c>
      <c r="E1002" s="943"/>
      <c r="F1002" s="944"/>
      <c r="G1002" s="945" t="s">
        <v>603</v>
      </c>
      <c r="H1002" s="949" t="s">
        <v>694</v>
      </c>
      <c r="I1002" s="950">
        <v>167000</v>
      </c>
      <c r="J1002" s="951">
        <v>0</v>
      </c>
      <c r="K1002" s="951">
        <f>170000-J1002</f>
        <v>170000</v>
      </c>
      <c r="L1002" s="951">
        <f t="shared" si="33"/>
        <v>170000</v>
      </c>
      <c r="M1002" s="951">
        <v>120000</v>
      </c>
    </row>
    <row r="1003" spans="1:13" ht="18" customHeight="1">
      <c r="A1003" s="942"/>
      <c r="B1003" s="943"/>
      <c r="C1003" s="943"/>
      <c r="D1003" s="943" t="s">
        <v>805</v>
      </c>
      <c r="E1003" s="943"/>
      <c r="F1003" s="943"/>
      <c r="G1003" s="953" t="s">
        <v>433</v>
      </c>
      <c r="H1003" s="949" t="s">
        <v>693</v>
      </c>
      <c r="I1003" s="950">
        <v>385477</v>
      </c>
      <c r="J1003" s="951">
        <v>393101</v>
      </c>
      <c r="K1003" s="951">
        <f>416927-J1003</f>
        <v>23826</v>
      </c>
      <c r="L1003" s="951">
        <f t="shared" si="33"/>
        <v>416927</v>
      </c>
      <c r="M1003" s="951">
        <v>328301</v>
      </c>
    </row>
    <row r="1004" spans="1:13" ht="18" customHeight="1">
      <c r="A1004" s="942"/>
      <c r="B1004" s="943"/>
      <c r="C1004" s="943"/>
      <c r="D1004" s="943" t="s">
        <v>545</v>
      </c>
      <c r="E1004" s="943"/>
      <c r="F1004" s="944"/>
      <c r="G1004" s="945" t="s">
        <v>604</v>
      </c>
      <c r="H1004" s="949" t="s">
        <v>695</v>
      </c>
      <c r="I1004" s="950">
        <v>385118</v>
      </c>
      <c r="J1004" s="951">
        <v>0</v>
      </c>
      <c r="K1004" s="951">
        <f>417831-J1004</f>
        <v>417831</v>
      </c>
      <c r="L1004" s="951">
        <f t="shared" si="33"/>
        <v>417831</v>
      </c>
      <c r="M1004" s="951">
        <v>328392</v>
      </c>
    </row>
    <row r="1005" spans="1:13" ht="18" customHeight="1">
      <c r="A1005" s="942"/>
      <c r="B1005" s="943"/>
      <c r="C1005" s="943"/>
      <c r="D1005" s="943" t="s">
        <v>658</v>
      </c>
      <c r="E1005" s="943"/>
      <c r="F1005" s="944"/>
      <c r="G1005" s="945" t="s">
        <v>605</v>
      </c>
      <c r="H1005" s="949" t="s">
        <v>696</v>
      </c>
      <c r="I1005" s="950">
        <f>533277.65+22563.42</f>
        <v>555841.07000000007</v>
      </c>
      <c r="J1005" s="951">
        <v>282280.92</v>
      </c>
      <c r="K1005" s="951">
        <f>604400-J1005</f>
        <v>322119.08</v>
      </c>
      <c r="L1005" s="951">
        <f t="shared" si="33"/>
        <v>604400</v>
      </c>
      <c r="M1005" s="951">
        <v>474000</v>
      </c>
    </row>
    <row r="1006" spans="1:13" ht="18" customHeight="1">
      <c r="A1006" s="942"/>
      <c r="B1006" s="943"/>
      <c r="C1006" s="943"/>
      <c r="D1006" s="943" t="s">
        <v>546</v>
      </c>
      <c r="E1006" s="943"/>
      <c r="F1006" s="944"/>
      <c r="G1006" s="945" t="s">
        <v>606</v>
      </c>
      <c r="H1006" s="949" t="s">
        <v>697</v>
      </c>
      <c r="I1006" s="950">
        <v>39900</v>
      </c>
      <c r="J1006" s="951">
        <v>19600</v>
      </c>
      <c r="K1006" s="951">
        <f>61200-J1006</f>
        <v>41600</v>
      </c>
      <c r="L1006" s="951">
        <f t="shared" si="33"/>
        <v>61200</v>
      </c>
      <c r="M1006" s="951">
        <v>43200</v>
      </c>
    </row>
    <row r="1007" spans="1:13" ht="18" customHeight="1">
      <c r="A1007" s="942"/>
      <c r="B1007" s="943"/>
      <c r="C1007" s="943"/>
      <c r="D1007" s="943" t="s">
        <v>547</v>
      </c>
      <c r="E1007" s="943"/>
      <c r="F1007" s="944"/>
      <c r="G1007" s="945" t="s">
        <v>607</v>
      </c>
      <c r="H1007" s="949" t="s">
        <v>698</v>
      </c>
      <c r="I1007" s="950">
        <v>69120</v>
      </c>
      <c r="J1007" s="951">
        <v>34260</v>
      </c>
      <c r="K1007" s="951">
        <f>111300-J1007</f>
        <v>77040</v>
      </c>
      <c r="L1007" s="951">
        <f t="shared" si="33"/>
        <v>111300</v>
      </c>
      <c r="M1007" s="951">
        <v>80000</v>
      </c>
    </row>
    <row r="1008" spans="1:13" ht="18" customHeight="1">
      <c r="A1008" s="942"/>
      <c r="B1008" s="943"/>
      <c r="C1008" s="943"/>
      <c r="D1008" s="943" t="s">
        <v>654</v>
      </c>
      <c r="E1008" s="943"/>
      <c r="F1008" s="944"/>
      <c r="G1008" s="945" t="s">
        <v>608</v>
      </c>
      <c r="H1008" s="949" t="s">
        <v>699</v>
      </c>
      <c r="I1008" s="950">
        <f>38284.8+1134.49</f>
        <v>39419.29</v>
      </c>
      <c r="J1008" s="951">
        <v>19111.32</v>
      </c>
      <c r="K1008" s="951">
        <f>40800-J1008</f>
        <v>21688.68</v>
      </c>
      <c r="L1008" s="951">
        <f t="shared" si="33"/>
        <v>40800</v>
      </c>
      <c r="M1008" s="951">
        <v>28800</v>
      </c>
    </row>
    <row r="1009" spans="1:17" ht="18" customHeight="1">
      <c r="A1009" s="942"/>
      <c r="B1009" s="943"/>
      <c r="C1009" s="943"/>
      <c r="D1009" s="943" t="s">
        <v>372</v>
      </c>
      <c r="E1009" s="943"/>
      <c r="F1009" s="943"/>
      <c r="G1009" s="953"/>
      <c r="H1009" s="949" t="s">
        <v>700</v>
      </c>
      <c r="I1009" s="950">
        <v>0</v>
      </c>
      <c r="J1009" s="951">
        <v>0</v>
      </c>
      <c r="K1009" s="951">
        <f>0-J1009</f>
        <v>0</v>
      </c>
      <c r="L1009" s="951">
        <f t="shared" si="33"/>
        <v>0</v>
      </c>
      <c r="M1009" s="951">
        <v>0</v>
      </c>
    </row>
    <row r="1010" spans="1:17" ht="18" customHeight="1">
      <c r="A1010" s="942"/>
      <c r="B1010" s="943"/>
      <c r="C1010" s="943"/>
      <c r="D1010" s="943" t="s">
        <v>549</v>
      </c>
      <c r="E1010" s="943"/>
      <c r="F1010" s="944"/>
      <c r="G1010" s="945" t="s">
        <v>396</v>
      </c>
      <c r="H1010" s="949" t="s">
        <v>711</v>
      </c>
      <c r="I1010" s="950">
        <f>404109.99</f>
        <v>404109.99</v>
      </c>
      <c r="J1010" s="951">
        <v>363482.89</v>
      </c>
      <c r="K1010" s="951">
        <f>363482.89-J1010</f>
        <v>0</v>
      </c>
      <c r="L1010" s="951">
        <f t="shared" si="33"/>
        <v>363482.89</v>
      </c>
      <c r="M1010" s="951">
        <v>410000</v>
      </c>
    </row>
    <row r="1011" spans="1:17" ht="18" customHeight="1">
      <c r="A1011" s="942"/>
      <c r="B1011" s="943"/>
      <c r="C1011" s="943"/>
      <c r="D1011" s="943" t="s">
        <v>1514</v>
      </c>
      <c r="E1011" s="943"/>
      <c r="F1011" s="944"/>
      <c r="G1011" s="945"/>
      <c r="H1011" s="949" t="s">
        <v>711</v>
      </c>
      <c r="I1011" s="950">
        <v>334000</v>
      </c>
      <c r="J1011" s="951">
        <v>0</v>
      </c>
      <c r="K1011" s="951">
        <v>0</v>
      </c>
      <c r="L1011" s="951">
        <f t="shared" si="33"/>
        <v>0</v>
      </c>
      <c r="M1011" s="951">
        <v>240000</v>
      </c>
    </row>
    <row r="1012" spans="1:17" ht="18" customHeight="1">
      <c r="A1012" s="954"/>
      <c r="B1012" s="955"/>
      <c r="C1012" s="955"/>
      <c r="D1012" s="955" t="s">
        <v>371</v>
      </c>
      <c r="E1012" s="955"/>
      <c r="F1012" s="956"/>
      <c r="G1012" s="957"/>
      <c r="H1012" s="980"/>
      <c r="I1012" s="958">
        <f>SUM(I990:I1011)</f>
        <v>8496029.2699999996</v>
      </c>
      <c r="J1012" s="958">
        <f>SUM(J990:J1011)</f>
        <v>4164785.12</v>
      </c>
      <c r="K1012" s="958">
        <f>SUM(K990:K1011)</f>
        <v>4440636.7699999996</v>
      </c>
      <c r="L1012" s="958">
        <f>SUM(L990:L1011)</f>
        <v>8605421.8900000006</v>
      </c>
      <c r="M1012" s="958">
        <f>SUM(M990:M1011)</f>
        <v>7209000</v>
      </c>
      <c r="Q1012" s="989"/>
    </row>
    <row r="1013" spans="1:17" ht="18" customHeight="1">
      <c r="A1013" s="942"/>
      <c r="B1013" s="943" t="s">
        <v>550</v>
      </c>
      <c r="C1013" s="943"/>
      <c r="D1013" s="943"/>
      <c r="E1013" s="943"/>
      <c r="F1013" s="944"/>
      <c r="G1013" s="945"/>
      <c r="H1013" s="977"/>
      <c r="I1013" s="950"/>
      <c r="J1013" s="951"/>
      <c r="K1013" s="951"/>
      <c r="L1013" s="951"/>
      <c r="M1013" s="951"/>
    </row>
    <row r="1014" spans="1:17" ht="18" customHeight="1">
      <c r="A1014" s="942"/>
      <c r="B1014" s="943"/>
      <c r="C1014" s="943"/>
      <c r="D1014" s="943" t="s">
        <v>551</v>
      </c>
      <c r="E1014" s="943"/>
      <c r="F1014" s="944"/>
      <c r="G1014" s="945" t="s">
        <v>384</v>
      </c>
      <c r="H1014" s="949" t="s">
        <v>701</v>
      </c>
      <c r="I1014" s="950">
        <v>1500</v>
      </c>
      <c r="J1014" s="951">
        <v>0</v>
      </c>
      <c r="K1014" s="951">
        <f>44000-J1014</f>
        <v>44000</v>
      </c>
      <c r="L1014" s="951">
        <f t="shared" ref="L1014:L1023" si="34">SUM(K1014+J1014)</f>
        <v>44000</v>
      </c>
      <c r="M1014" s="951">
        <f>50000-6000</f>
        <v>44000</v>
      </c>
    </row>
    <row r="1015" spans="1:17" ht="18" customHeight="1">
      <c r="A1015" s="942"/>
      <c r="B1015" s="943"/>
      <c r="C1015" s="943"/>
      <c r="D1015" s="943" t="s">
        <v>429</v>
      </c>
      <c r="E1015" s="943"/>
      <c r="F1015" s="944"/>
      <c r="G1015" s="945" t="s">
        <v>385</v>
      </c>
      <c r="H1015" s="949" t="s">
        <v>702</v>
      </c>
      <c r="I1015" s="950">
        <v>0</v>
      </c>
      <c r="J1015" s="951">
        <v>0</v>
      </c>
      <c r="K1015" s="951">
        <f>40000-J1015</f>
        <v>40000</v>
      </c>
      <c r="L1015" s="951">
        <f t="shared" si="34"/>
        <v>40000</v>
      </c>
      <c r="M1015" s="951">
        <v>40000</v>
      </c>
    </row>
    <row r="1016" spans="1:17" ht="18" customHeight="1">
      <c r="A1016" s="942"/>
      <c r="B1016" s="943"/>
      <c r="C1016" s="943"/>
      <c r="D1016" s="943" t="s">
        <v>378</v>
      </c>
      <c r="E1016" s="943"/>
      <c r="F1016" s="944"/>
      <c r="G1016" s="945" t="s">
        <v>387</v>
      </c>
      <c r="H1016" s="949" t="s">
        <v>703</v>
      </c>
      <c r="I1016" s="950">
        <v>275875</v>
      </c>
      <c r="J1016" s="951">
        <v>60536</v>
      </c>
      <c r="K1016" s="951">
        <f>330000-J1016</f>
        <v>269464</v>
      </c>
      <c r="L1016" s="951">
        <f t="shared" si="34"/>
        <v>330000</v>
      </c>
      <c r="M1016" s="951">
        <v>450000</v>
      </c>
    </row>
    <row r="1017" spans="1:17" ht="18" customHeight="1">
      <c r="A1017" s="942"/>
      <c r="B1017" s="943"/>
      <c r="C1017" s="943"/>
      <c r="D1017" s="943" t="s">
        <v>377</v>
      </c>
      <c r="E1017" s="943"/>
      <c r="F1017" s="944"/>
      <c r="G1017" s="945" t="s">
        <v>621</v>
      </c>
      <c r="H1017" s="949" t="s">
        <v>744</v>
      </c>
      <c r="I1017" s="950">
        <v>1169744.07</v>
      </c>
      <c r="J1017" s="951">
        <v>852458.58</v>
      </c>
      <c r="K1017" s="951">
        <f>1900000-J1017</f>
        <v>1047541.42</v>
      </c>
      <c r="L1017" s="951">
        <f t="shared" si="34"/>
        <v>1900000</v>
      </c>
      <c r="M1017" s="951">
        <v>0</v>
      </c>
    </row>
    <row r="1018" spans="1:17" ht="18" customHeight="1">
      <c r="A1018" s="942"/>
      <c r="B1018" s="943"/>
      <c r="C1018" s="943"/>
      <c r="D1018" s="943" t="s">
        <v>557</v>
      </c>
      <c r="E1018" s="943"/>
      <c r="F1018" s="944"/>
      <c r="G1018" s="945" t="s">
        <v>388</v>
      </c>
      <c r="H1018" s="949" t="s">
        <v>705</v>
      </c>
      <c r="I1018" s="950">
        <v>6000</v>
      </c>
      <c r="J1018" s="951">
        <v>6000</v>
      </c>
      <c r="K1018" s="951">
        <f>12000-J1018</f>
        <v>6000</v>
      </c>
      <c r="L1018" s="951">
        <f t="shared" si="34"/>
        <v>12000</v>
      </c>
      <c r="M1018" s="951">
        <v>36000</v>
      </c>
    </row>
    <row r="1019" spans="1:17" ht="18" customHeight="1">
      <c r="A1019" s="942"/>
      <c r="B1019" s="943"/>
      <c r="C1019" s="943"/>
      <c r="D1019" s="943" t="s">
        <v>376</v>
      </c>
      <c r="E1019" s="943"/>
      <c r="F1019" s="944"/>
      <c r="G1019" s="945" t="s">
        <v>622</v>
      </c>
      <c r="H1019" s="949" t="s">
        <v>745</v>
      </c>
      <c r="I1019" s="950">
        <v>965725</v>
      </c>
      <c r="J1019" s="951">
        <v>328825</v>
      </c>
      <c r="K1019" s="951">
        <f>714118-J1019</f>
        <v>385293</v>
      </c>
      <c r="L1019" s="951">
        <f t="shared" si="34"/>
        <v>714118</v>
      </c>
      <c r="M1019" s="951">
        <v>0</v>
      </c>
    </row>
    <row r="1020" spans="1:17" ht="18" customHeight="1">
      <c r="A1020" s="942"/>
      <c r="B1020" s="943"/>
      <c r="C1020" s="943"/>
      <c r="D1020" s="943" t="s">
        <v>955</v>
      </c>
      <c r="E1020" s="943"/>
      <c r="F1020" s="944"/>
      <c r="G1020" s="945"/>
      <c r="H1020" s="949" t="s">
        <v>956</v>
      </c>
      <c r="I1020" s="950">
        <v>98770.559999999998</v>
      </c>
      <c r="J1020" s="951">
        <v>0</v>
      </c>
      <c r="K1020" s="951">
        <f>450000-J1020</f>
        <v>450000</v>
      </c>
      <c r="L1020" s="951">
        <f t="shared" si="34"/>
        <v>450000</v>
      </c>
      <c r="M1020" s="951">
        <v>276000</v>
      </c>
    </row>
    <row r="1021" spans="1:17" ht="18" customHeight="1">
      <c r="A1021" s="942"/>
      <c r="B1021" s="943"/>
      <c r="C1021" s="943"/>
      <c r="D1021" s="943" t="s">
        <v>926</v>
      </c>
      <c r="E1021" s="943"/>
      <c r="F1021" s="944"/>
      <c r="G1021" s="945" t="s">
        <v>389</v>
      </c>
      <c r="H1021" s="949" t="s">
        <v>957</v>
      </c>
      <c r="I1021" s="950">
        <v>35755</v>
      </c>
      <c r="J1021" s="951">
        <v>0</v>
      </c>
      <c r="K1021" s="951">
        <f>40000-J1021</f>
        <v>40000</v>
      </c>
      <c r="L1021" s="951">
        <f t="shared" si="34"/>
        <v>40000</v>
      </c>
      <c r="M1021" s="951">
        <v>40000</v>
      </c>
    </row>
    <row r="1022" spans="1:17" ht="18" customHeight="1">
      <c r="A1022" s="942"/>
      <c r="B1022" s="943"/>
      <c r="C1022" s="943"/>
      <c r="D1022" s="943" t="s">
        <v>375</v>
      </c>
      <c r="E1022" s="943"/>
      <c r="F1022" s="944"/>
      <c r="G1022" s="945" t="s">
        <v>623</v>
      </c>
      <c r="H1022" s="949" t="s">
        <v>746</v>
      </c>
      <c r="I1022" s="950">
        <v>0</v>
      </c>
      <c r="J1022" s="951">
        <v>270000</v>
      </c>
      <c r="K1022" s="951">
        <f>270000-J1022</f>
        <v>0</v>
      </c>
      <c r="L1022" s="951">
        <f t="shared" si="34"/>
        <v>270000</v>
      </c>
      <c r="M1022" s="951">
        <v>270000</v>
      </c>
    </row>
    <row r="1023" spans="1:17" ht="18" customHeight="1">
      <c r="A1023" s="942"/>
      <c r="B1023" s="943"/>
      <c r="C1023" s="943"/>
      <c r="D1023" s="943" t="s">
        <v>564</v>
      </c>
      <c r="E1023" s="943"/>
      <c r="F1023" s="944"/>
      <c r="G1023" s="945" t="s">
        <v>390</v>
      </c>
      <c r="H1023" s="949" t="s">
        <v>707</v>
      </c>
      <c r="I1023" s="950">
        <v>847500</v>
      </c>
      <c r="J1023" s="951">
        <v>0</v>
      </c>
      <c r="K1023" s="951">
        <f>0-J1023</f>
        <v>0</v>
      </c>
      <c r="L1023" s="951">
        <f t="shared" si="34"/>
        <v>0</v>
      </c>
      <c r="M1023" s="951">
        <v>0</v>
      </c>
    </row>
    <row r="1024" spans="1:17" ht="18" customHeight="1">
      <c r="A1024" s="954"/>
      <c r="B1024" s="955"/>
      <c r="C1024" s="955"/>
      <c r="D1024" s="955" t="s">
        <v>752</v>
      </c>
      <c r="E1024" s="955"/>
      <c r="F1024" s="956"/>
      <c r="G1024" s="957"/>
      <c r="H1024" s="980"/>
      <c r="I1024" s="958">
        <f>SUM(I1014:I1023)</f>
        <v>3400869.6300000004</v>
      </c>
      <c r="J1024" s="958">
        <f>SUM(J1014:J1023)</f>
        <v>1517819.58</v>
      </c>
      <c r="K1024" s="958">
        <f>SUM(K1014:K1023)</f>
        <v>2282298.42</v>
      </c>
      <c r="L1024" s="958">
        <f>SUM(L1014:L1023)</f>
        <v>3800118</v>
      </c>
      <c r="M1024" s="958">
        <f>SUM(M1014:M1023)</f>
        <v>1156000</v>
      </c>
    </row>
    <row r="1025" spans="1:13" ht="18" customHeight="1">
      <c r="A1025" s="942"/>
      <c r="B1025" s="943" t="s">
        <v>565</v>
      </c>
      <c r="C1025" s="943"/>
      <c r="D1025" s="943"/>
      <c r="E1025" s="943"/>
      <c r="F1025" s="944"/>
      <c r="G1025" s="945"/>
      <c r="H1025" s="977"/>
      <c r="I1025" s="950"/>
      <c r="J1025" s="951"/>
      <c r="K1025" s="951"/>
      <c r="L1025" s="951"/>
      <c r="M1025" s="951"/>
    </row>
    <row r="1026" spans="1:13" ht="18" customHeight="1">
      <c r="A1026" s="942"/>
      <c r="B1026" s="943"/>
      <c r="C1026" s="943"/>
      <c r="D1026" s="943" t="s">
        <v>686</v>
      </c>
      <c r="E1026" s="943"/>
      <c r="F1026" s="944"/>
      <c r="G1026" s="945" t="s">
        <v>846</v>
      </c>
      <c r="H1026" s="977" t="s">
        <v>847</v>
      </c>
      <c r="I1026" s="950">
        <v>59000</v>
      </c>
      <c r="J1026" s="951">
        <v>0</v>
      </c>
      <c r="K1026" s="951">
        <f>0-J1026</f>
        <v>0</v>
      </c>
      <c r="L1026" s="951">
        <f>SUM(K1026+J1026)</f>
        <v>0</v>
      </c>
      <c r="M1026" s="951">
        <v>30000</v>
      </c>
    </row>
    <row r="1027" spans="1:13" ht="18" customHeight="1">
      <c r="A1027" s="942"/>
      <c r="B1027" s="943"/>
      <c r="C1027" s="943"/>
      <c r="D1027" s="943" t="s">
        <v>855</v>
      </c>
      <c r="E1027" s="943"/>
      <c r="F1027" s="944"/>
      <c r="G1027" s="945" t="s">
        <v>914</v>
      </c>
      <c r="H1027" s="949" t="s">
        <v>856</v>
      </c>
      <c r="I1027" s="950">
        <v>0</v>
      </c>
      <c r="J1027" s="951">
        <v>0</v>
      </c>
      <c r="K1027" s="951">
        <f>20000-J1027</f>
        <v>20000</v>
      </c>
      <c r="L1027" s="951">
        <f>SUM(K1027+J1027)</f>
        <v>20000</v>
      </c>
      <c r="M1027" s="951">
        <v>0</v>
      </c>
    </row>
    <row r="1028" spans="1:13" ht="18" customHeight="1">
      <c r="A1028" s="942"/>
      <c r="B1028" s="943"/>
      <c r="C1028" s="943"/>
      <c r="D1028" s="943" t="s">
        <v>1664</v>
      </c>
      <c r="E1028" s="943"/>
      <c r="F1028" s="944"/>
      <c r="G1028" s="945"/>
      <c r="H1028" s="949" t="s">
        <v>961</v>
      </c>
      <c r="I1028" s="950">
        <v>0</v>
      </c>
      <c r="J1028" s="951">
        <v>14215</v>
      </c>
      <c r="K1028" s="951">
        <f>15000-J1028</f>
        <v>785</v>
      </c>
      <c r="L1028" s="951">
        <f>SUM(K1028+J1028)</f>
        <v>15000</v>
      </c>
      <c r="M1028" s="951">
        <v>230000</v>
      </c>
    </row>
    <row r="1029" spans="1:13" ht="18" customHeight="1">
      <c r="A1029" s="942"/>
      <c r="B1029" s="943"/>
      <c r="C1029" s="943"/>
      <c r="D1029" s="943" t="s">
        <v>1568</v>
      </c>
      <c r="E1029" s="943"/>
      <c r="F1029" s="944"/>
      <c r="G1029" s="945"/>
      <c r="H1029" s="949" t="s">
        <v>857</v>
      </c>
      <c r="I1029" s="950">
        <v>0</v>
      </c>
      <c r="J1029" s="951">
        <v>0</v>
      </c>
      <c r="K1029" s="951">
        <f>90000-J1029</f>
        <v>90000</v>
      </c>
      <c r="L1029" s="951">
        <f>SUM(K1029+J1029)</f>
        <v>90000</v>
      </c>
      <c r="M1029" s="951">
        <v>0</v>
      </c>
    </row>
    <row r="1030" spans="1:13" ht="18" customHeight="1">
      <c r="A1030" s="942"/>
      <c r="B1030" s="943"/>
      <c r="C1030" s="943"/>
      <c r="D1030" s="943" t="s">
        <v>1570</v>
      </c>
      <c r="E1030" s="943"/>
      <c r="F1030" s="944"/>
      <c r="G1030" s="945"/>
      <c r="H1030" s="949" t="s">
        <v>1571</v>
      </c>
      <c r="I1030" s="950">
        <v>0</v>
      </c>
      <c r="J1030" s="951">
        <v>0</v>
      </c>
      <c r="K1030" s="951">
        <f>15000-J1030</f>
        <v>15000</v>
      </c>
      <c r="L1030" s="951">
        <f>SUM(K1030+J1030)</f>
        <v>15000</v>
      </c>
      <c r="M1030" s="951">
        <v>0</v>
      </c>
    </row>
    <row r="1031" spans="1:13" s="959" customFormat="1" ht="18" customHeight="1">
      <c r="A1031" s="954"/>
      <c r="B1031" s="955"/>
      <c r="C1031" s="955"/>
      <c r="D1031" s="955" t="s">
        <v>797</v>
      </c>
      <c r="E1031" s="955"/>
      <c r="F1031" s="956"/>
      <c r="G1031" s="957"/>
      <c r="H1031" s="980"/>
      <c r="I1031" s="958">
        <f>SUM(I1026:I1030)</f>
        <v>59000</v>
      </c>
      <c r="J1031" s="958">
        <f>SUM(J1026:J1030)</f>
        <v>14215</v>
      </c>
      <c r="K1031" s="958">
        <f>SUM(K1026:K1030)</f>
        <v>125785</v>
      </c>
      <c r="L1031" s="958">
        <f>SUM(L1026:L1030)</f>
        <v>140000</v>
      </c>
      <c r="M1031" s="958">
        <f>SUM(M1026:M1030)</f>
        <v>260000</v>
      </c>
    </row>
    <row r="1032" spans="1:13" s="998" customFormat="1" ht="18" hidden="1" customHeight="1">
      <c r="A1032" s="990"/>
      <c r="B1032" s="991" t="s">
        <v>271</v>
      </c>
      <c r="C1032" s="992"/>
      <c r="D1032" s="992"/>
      <c r="E1032" s="992"/>
      <c r="F1032" s="993"/>
      <c r="G1032" s="994"/>
      <c r="H1032" s="995"/>
      <c r="I1032" s="996"/>
      <c r="J1032" s="997"/>
      <c r="K1032" s="997"/>
      <c r="L1032" s="997"/>
      <c r="M1032" s="997"/>
    </row>
    <row r="1033" spans="1:13" s="1007" customFormat="1" ht="18" hidden="1" customHeight="1">
      <c r="A1033" s="999"/>
      <c r="B1033" s="1000"/>
      <c r="C1033" s="1000"/>
      <c r="D1033" s="992" t="s">
        <v>937</v>
      </c>
      <c r="E1033" s="1000"/>
      <c r="F1033" s="1001"/>
      <c r="G1033" s="1002"/>
      <c r="H1033" s="1003"/>
      <c r="I1033" s="1004">
        <v>0</v>
      </c>
      <c r="J1033" s="1005"/>
      <c r="K1033" s="1006">
        <f>-J1033</f>
        <v>0</v>
      </c>
      <c r="L1033" s="1006">
        <f>SUM(K1033+J1033)</f>
        <v>0</v>
      </c>
      <c r="M1033" s="1005">
        <v>0</v>
      </c>
    </row>
    <row r="1034" spans="1:13" ht="18" customHeight="1">
      <c r="A1034" s="962" t="s">
        <v>625</v>
      </c>
      <c r="B1034" s="963"/>
      <c r="C1034" s="963"/>
      <c r="D1034" s="963"/>
      <c r="E1034" s="963"/>
      <c r="F1034" s="964"/>
      <c r="G1034" s="965"/>
      <c r="H1034" s="981"/>
      <c r="I1034" s="967">
        <f>SUM(I1031+I1024+I1012+I1033)</f>
        <v>11955898.9</v>
      </c>
      <c r="J1034" s="967">
        <f>SUM(J1031+J1024+J1012+J1033)</f>
        <v>5696819.7000000002</v>
      </c>
      <c r="K1034" s="967">
        <f>SUM(K1031+K1024+K1012+K1033)</f>
        <v>6848720.1899999995</v>
      </c>
      <c r="L1034" s="967">
        <f>SUM(L1031+L1024+L1012+L1033)</f>
        <v>12545539.890000001</v>
      </c>
      <c r="M1034" s="967">
        <f>SUM(M1031+M1024+M1012+M1033)</f>
        <v>8625000</v>
      </c>
    </row>
    <row r="1035" spans="1:13" ht="9" customHeight="1">
      <c r="A1035" s="930"/>
      <c r="B1035" s="968"/>
      <c r="C1035" s="930"/>
      <c r="D1035" s="930"/>
      <c r="E1035" s="930"/>
      <c r="F1035" s="930"/>
      <c r="G1035" s="930"/>
      <c r="H1035" s="969"/>
      <c r="I1035" s="969"/>
      <c r="J1035" s="970"/>
      <c r="K1035" s="970"/>
      <c r="L1035" s="970"/>
      <c r="M1035" s="970"/>
    </row>
    <row r="1036" spans="1:13" s="917" customFormat="1" ht="18" customHeight="1">
      <c r="A1036" s="1278" t="s">
        <v>1758</v>
      </c>
      <c r="B1036" s="1278"/>
      <c r="C1036" s="1278"/>
      <c r="D1036" s="1278"/>
      <c r="E1036" s="1278"/>
      <c r="F1036" s="1278"/>
      <c r="G1036" s="1278"/>
      <c r="H1036" s="1278"/>
      <c r="I1036" s="1278"/>
      <c r="J1036" s="1278"/>
      <c r="K1036" s="1278"/>
      <c r="L1036" s="1278"/>
      <c r="M1036" s="1278"/>
    </row>
    <row r="1037" spans="1:13" s="917" customFormat="1" ht="9" customHeight="1">
      <c r="A1037" s="1218"/>
      <c r="B1037" s="1218"/>
      <c r="C1037" s="1218"/>
      <c r="D1037" s="1218"/>
      <c r="E1037" s="1218"/>
      <c r="F1037" s="1218"/>
      <c r="G1037" s="1218"/>
      <c r="H1037" s="1218"/>
      <c r="I1037" s="1218"/>
      <c r="J1037" s="1218"/>
      <c r="K1037" s="1218"/>
      <c r="L1037" s="1218"/>
      <c r="M1037" s="1218"/>
    </row>
    <row r="1038" spans="1:13" s="987" customFormat="1" ht="20.100000000000001" customHeight="1">
      <c r="A1038" s="1276" t="s">
        <v>981</v>
      </c>
      <c r="B1038" s="1276"/>
      <c r="C1038" s="1276"/>
      <c r="D1038" s="1276"/>
      <c r="E1038" s="1276"/>
      <c r="F1038" s="1276"/>
      <c r="G1038" s="1276"/>
      <c r="H1038" s="1276"/>
      <c r="I1038" s="1276"/>
      <c r="J1038" s="1276"/>
      <c r="K1038" s="1276"/>
      <c r="L1038" s="1276"/>
      <c r="M1038" s="1276"/>
    </row>
    <row r="1039" spans="1:13" ht="18" customHeight="1"/>
    <row r="1040" spans="1:13" s="1008" customFormat="1" ht="18" customHeight="1">
      <c r="I1040" s="1009">
        <f>SUM(I1034+I954+I888+I827+I758+I691+I619+I550+I485+I414+I344+I277+I207+I142+I69)</f>
        <v>103157298.34</v>
      </c>
      <c r="J1040" s="1009">
        <f>SUM(J1034+J954+J888+J827+J758+J691+J619+J550+J485+J414+J344+J277+J207+J142+J69)</f>
        <v>45855295.920000002</v>
      </c>
      <c r="K1040" s="1009">
        <f>SUM(K1034+K954+K888+K827+K758+K691+K619+K550+K485+K414+K344+K277+K207+K142+K69)</f>
        <v>61759370.080000006</v>
      </c>
      <c r="L1040" s="1009">
        <f>SUM(L1034+L954+L888+L827+L758+L691+L619+L550+L485+L414+L344+L277+L207+L142+L69)</f>
        <v>107614666</v>
      </c>
      <c r="M1040" s="1009">
        <f>SUM(M1034+M954+M888+M827+M758+M691+M619+M550+M485+M414+M344+M277+M207+M142+M69)</f>
        <v>137859355</v>
      </c>
    </row>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sheetData>
  <sheetProtection password="C1B6" sheet="1" objects="1" scenarios="1"/>
  <autoFilter ref="H18:M20"/>
  <mergeCells count="208">
    <mergeCell ref="A346:M346"/>
    <mergeCell ref="A416:M416"/>
    <mergeCell ref="A487:M487"/>
    <mergeCell ref="A552:M552"/>
    <mergeCell ref="A621:M621"/>
    <mergeCell ref="A693:M693"/>
    <mergeCell ref="A760:M760"/>
    <mergeCell ref="A829:M829"/>
    <mergeCell ref="A890:M890"/>
    <mergeCell ref="A765:M765"/>
    <mergeCell ref="C777:M778"/>
    <mergeCell ref="A834:M834"/>
    <mergeCell ref="A835:M835"/>
    <mergeCell ref="A836:M836"/>
    <mergeCell ref="A847:M847"/>
    <mergeCell ref="J848:L848"/>
    <mergeCell ref="A849:F849"/>
    <mergeCell ref="A850:F850"/>
    <mergeCell ref="A852:F852"/>
    <mergeCell ref="A832:M832"/>
    <mergeCell ref="A837:M837"/>
    <mergeCell ref="A841:M841"/>
    <mergeCell ref="A842:M842"/>
    <mergeCell ref="C846:M846"/>
    <mergeCell ref="A1:M1"/>
    <mergeCell ref="A2:M2"/>
    <mergeCell ref="A3:M3"/>
    <mergeCell ref="A4:M4"/>
    <mergeCell ref="A8:M8"/>
    <mergeCell ref="A9:M9"/>
    <mergeCell ref="C13:M15"/>
    <mergeCell ref="A79:M79"/>
    <mergeCell ref="A76:M76"/>
    <mergeCell ref="A77:M77"/>
    <mergeCell ref="A78:M78"/>
    <mergeCell ref="A71:M71"/>
    <mergeCell ref="A1038:M1038"/>
    <mergeCell ref="J983:L983"/>
    <mergeCell ref="A984:F984"/>
    <mergeCell ref="A985:F985"/>
    <mergeCell ref="A987:F987"/>
    <mergeCell ref="A1036:M1036"/>
    <mergeCell ref="A967:M967"/>
    <mergeCell ref="A969:M969"/>
    <mergeCell ref="A982:M982"/>
    <mergeCell ref="A918:F918"/>
    <mergeCell ref="A920:F920"/>
    <mergeCell ref="A970:M970"/>
    <mergeCell ref="A971:M971"/>
    <mergeCell ref="A972:M972"/>
    <mergeCell ref="A976:M976"/>
    <mergeCell ref="A977:M977"/>
    <mergeCell ref="C981:M981"/>
    <mergeCell ref="A956:M956"/>
    <mergeCell ref="A899:M899"/>
    <mergeCell ref="A901:M901"/>
    <mergeCell ref="A915:M915"/>
    <mergeCell ref="J916:L916"/>
    <mergeCell ref="A917:F917"/>
    <mergeCell ref="A902:M902"/>
    <mergeCell ref="A903:M903"/>
    <mergeCell ref="A904:M904"/>
    <mergeCell ref="A908:M908"/>
    <mergeCell ref="A909:M909"/>
    <mergeCell ref="C913:M914"/>
    <mergeCell ref="J780:L780"/>
    <mergeCell ref="A781:F781"/>
    <mergeCell ref="A782:F782"/>
    <mergeCell ref="A784:F784"/>
    <mergeCell ref="A763:M763"/>
    <mergeCell ref="A779:M779"/>
    <mergeCell ref="A766:M766"/>
    <mergeCell ref="A767:M767"/>
    <mergeCell ref="A772:M772"/>
    <mergeCell ref="A768:M768"/>
    <mergeCell ref="A773:M773"/>
    <mergeCell ref="A714:F714"/>
    <mergeCell ref="A716:F716"/>
    <mergeCell ref="A695:M695"/>
    <mergeCell ref="A711:M711"/>
    <mergeCell ref="J712:L712"/>
    <mergeCell ref="A713:F713"/>
    <mergeCell ref="A697:M697"/>
    <mergeCell ref="A698:M698"/>
    <mergeCell ref="A699:M699"/>
    <mergeCell ref="A700:M700"/>
    <mergeCell ref="A704:M704"/>
    <mergeCell ref="A705:M705"/>
    <mergeCell ref="C709:M710"/>
    <mergeCell ref="A631:M631"/>
    <mergeCell ref="A643:M643"/>
    <mergeCell ref="J644:L644"/>
    <mergeCell ref="A645:F645"/>
    <mergeCell ref="A646:F646"/>
    <mergeCell ref="A648:F648"/>
    <mergeCell ref="A632:M632"/>
    <mergeCell ref="A636:M636"/>
    <mergeCell ref="A637:M637"/>
    <mergeCell ref="C641:M642"/>
    <mergeCell ref="A627:M627"/>
    <mergeCell ref="A630:M630"/>
    <mergeCell ref="J575:L575"/>
    <mergeCell ref="A576:F576"/>
    <mergeCell ref="A577:F577"/>
    <mergeCell ref="A579:F579"/>
    <mergeCell ref="A629:M629"/>
    <mergeCell ref="A559:M559"/>
    <mergeCell ref="A562:M562"/>
    <mergeCell ref="A563:M563"/>
    <mergeCell ref="A574:M574"/>
    <mergeCell ref="A509:F509"/>
    <mergeCell ref="A511:F511"/>
    <mergeCell ref="A564:M564"/>
    <mergeCell ref="A569:M569"/>
    <mergeCell ref="A561:M561"/>
    <mergeCell ref="A568:M568"/>
    <mergeCell ref="C573:M573"/>
    <mergeCell ref="A491:M491"/>
    <mergeCell ref="A506:M506"/>
    <mergeCell ref="J507:L507"/>
    <mergeCell ref="A508:F508"/>
    <mergeCell ref="A493:M493"/>
    <mergeCell ref="A494:M494"/>
    <mergeCell ref="A495:M495"/>
    <mergeCell ref="A500:M500"/>
    <mergeCell ref="A496:M496"/>
    <mergeCell ref="A501:M501"/>
    <mergeCell ref="C505:M505"/>
    <mergeCell ref="A427:M427"/>
    <mergeCell ref="A438:M438"/>
    <mergeCell ref="J439:L439"/>
    <mergeCell ref="A440:F440"/>
    <mergeCell ref="A441:F441"/>
    <mergeCell ref="A443:F443"/>
    <mergeCell ref="A423:M423"/>
    <mergeCell ref="A426:M426"/>
    <mergeCell ref="A428:M428"/>
    <mergeCell ref="A429:M429"/>
    <mergeCell ref="A433:M433"/>
    <mergeCell ref="C437:M437"/>
    <mergeCell ref="A432:M432"/>
    <mergeCell ref="J371:L371"/>
    <mergeCell ref="A372:F372"/>
    <mergeCell ref="A373:F373"/>
    <mergeCell ref="A375:F375"/>
    <mergeCell ref="A354:M354"/>
    <mergeCell ref="A358:M358"/>
    <mergeCell ref="A359:M359"/>
    <mergeCell ref="A360:M360"/>
    <mergeCell ref="A364:M364"/>
    <mergeCell ref="A361:M361"/>
    <mergeCell ref="A365:M365"/>
    <mergeCell ref="C369:M370"/>
    <mergeCell ref="A304:F304"/>
    <mergeCell ref="A306:F306"/>
    <mergeCell ref="A286:M286"/>
    <mergeCell ref="A288:M288"/>
    <mergeCell ref="J302:L302"/>
    <mergeCell ref="A303:F303"/>
    <mergeCell ref="A289:M289"/>
    <mergeCell ref="A290:M290"/>
    <mergeCell ref="A291:M291"/>
    <mergeCell ref="A295:M295"/>
    <mergeCell ref="A296:M296"/>
    <mergeCell ref="C300:M301"/>
    <mergeCell ref="A234:M234"/>
    <mergeCell ref="J235:L235"/>
    <mergeCell ref="A236:F236"/>
    <mergeCell ref="A237:F237"/>
    <mergeCell ref="A239:F239"/>
    <mergeCell ref="A279:M279"/>
    <mergeCell ref="A217:M217"/>
    <mergeCell ref="J166:L166"/>
    <mergeCell ref="A167:F167"/>
    <mergeCell ref="A168:F168"/>
    <mergeCell ref="A170:F170"/>
    <mergeCell ref="A220:M220"/>
    <mergeCell ref="A221:M221"/>
    <mergeCell ref="A222:M222"/>
    <mergeCell ref="A223:M223"/>
    <mergeCell ref="A227:M227"/>
    <mergeCell ref="A228:M228"/>
    <mergeCell ref="C232:M233"/>
    <mergeCell ref="A209:M209"/>
    <mergeCell ref="A149:M149"/>
    <mergeCell ref="A151:M151"/>
    <mergeCell ref="A152:M152"/>
    <mergeCell ref="A165:M165"/>
    <mergeCell ref="A92:F92"/>
    <mergeCell ref="A94:F94"/>
    <mergeCell ref="A153:M153"/>
    <mergeCell ref="A158:M158"/>
    <mergeCell ref="A154:M154"/>
    <mergeCell ref="A159:M159"/>
    <mergeCell ref="C163:M164"/>
    <mergeCell ref="A146:M146"/>
    <mergeCell ref="A89:M89"/>
    <mergeCell ref="J90:L90"/>
    <mergeCell ref="A91:F91"/>
    <mergeCell ref="A21:F21"/>
    <mergeCell ref="A83:M83"/>
    <mergeCell ref="A84:M84"/>
    <mergeCell ref="C88:M88"/>
    <mergeCell ref="A16:M16"/>
    <mergeCell ref="J17:L17"/>
    <mergeCell ref="A18:F18"/>
    <mergeCell ref="A19:F19"/>
    <mergeCell ref="A73:M73"/>
  </mergeCells>
  <printOptions horizontalCentered="1"/>
  <pageMargins left="0.5" right="0" top="0.5" bottom="0" header="0" footer="0"/>
  <pageSetup paperSize="14" scale="75" orientation="portrait" r:id="rId1"/>
  <headerFooter alignWithMargins="0">
    <oddFooter xml:space="preserve">&amp;C&amp;"Times New Roman,Bold"&amp;16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5"/>
  <sheetViews>
    <sheetView workbookViewId="0">
      <selection activeCell="E10" sqref="E10"/>
    </sheetView>
  </sheetViews>
  <sheetFormatPr defaultRowHeight="12.75"/>
  <cols>
    <col min="1" max="1" width="10.140625" style="1" customWidth="1"/>
    <col min="2" max="2" width="6.85546875" style="1" customWidth="1"/>
    <col min="3" max="3" width="13.85546875" style="1" customWidth="1"/>
    <col min="4" max="4" width="9.28515625" style="1" customWidth="1"/>
    <col min="5" max="5" width="18.42578125" style="1" customWidth="1"/>
    <col min="6" max="6" width="8.28515625" style="1" customWidth="1"/>
    <col min="7" max="7" width="14.5703125" style="1" customWidth="1"/>
    <col min="8" max="8" width="13.85546875" style="1" hidden="1" customWidth="1"/>
    <col min="9" max="9" width="14.5703125" style="1" hidden="1" customWidth="1"/>
    <col min="10" max="10" width="19.5703125" style="1" customWidth="1"/>
    <col min="11" max="11" width="14.85546875" style="1" customWidth="1"/>
    <col min="12" max="12" width="12.85546875" style="1" bestFit="1" customWidth="1"/>
    <col min="13" max="13" width="9.140625" style="1"/>
    <col min="14" max="14" width="9.140625" style="1" customWidth="1"/>
    <col min="15" max="16384" width="9.140625" style="1"/>
  </cols>
  <sheetData>
    <row r="1" spans="1:14" s="803" customFormat="1" ht="15.75">
      <c r="A1" s="794"/>
      <c r="B1" s="795"/>
      <c r="C1" s="795"/>
      <c r="D1" s="795"/>
      <c r="E1" s="795"/>
      <c r="F1" s="795"/>
      <c r="G1" s="795"/>
      <c r="H1" s="795"/>
      <c r="I1" s="795"/>
      <c r="J1" s="795"/>
      <c r="K1" s="796"/>
    </row>
    <row r="2" spans="1:14" s="1113" customFormat="1" ht="15">
      <c r="A2" s="1259" t="s">
        <v>883</v>
      </c>
      <c r="B2" s="1259"/>
      <c r="C2" s="1259"/>
      <c r="D2" s="1259"/>
      <c r="E2" s="1259"/>
      <c r="F2" s="1259"/>
      <c r="G2" s="1259"/>
      <c r="H2" s="1259"/>
      <c r="I2" s="1259"/>
      <c r="J2" s="1259"/>
      <c r="K2" s="1259"/>
      <c r="L2" s="1165"/>
      <c r="M2" s="1165"/>
      <c r="N2" s="1165"/>
    </row>
    <row r="3" spans="1:14" s="1113" customFormat="1" ht="15">
      <c r="A3" s="1259" t="s">
        <v>178</v>
      </c>
      <c r="B3" s="1259"/>
      <c r="C3" s="1259"/>
      <c r="D3" s="1259"/>
      <c r="E3" s="1259"/>
      <c r="F3" s="1259"/>
      <c r="G3" s="1259"/>
      <c r="H3" s="1259"/>
      <c r="I3" s="1259"/>
      <c r="J3" s="1259"/>
      <c r="K3" s="1259"/>
      <c r="L3" s="1165"/>
      <c r="M3" s="1165"/>
      <c r="N3" s="1165"/>
    </row>
    <row r="4" spans="1:14" s="1113" customFormat="1" ht="15">
      <c r="A4" s="1259" t="s">
        <v>1742</v>
      </c>
      <c r="B4" s="1259"/>
      <c r="C4" s="1259"/>
      <c r="D4" s="1259"/>
      <c r="E4" s="1259"/>
      <c r="F4" s="1259"/>
      <c r="G4" s="1259"/>
      <c r="H4" s="1259"/>
      <c r="I4" s="1259"/>
      <c r="J4" s="1259"/>
      <c r="K4" s="1259"/>
      <c r="L4" s="1165"/>
      <c r="M4" s="1165"/>
      <c r="N4" s="1165"/>
    </row>
    <row r="5" spans="1:14" s="1113" customFormat="1" ht="15">
      <c r="A5" s="1259"/>
      <c r="B5" s="1259"/>
      <c r="C5" s="1259"/>
      <c r="D5" s="1259"/>
      <c r="E5" s="1259"/>
      <c r="F5" s="1259"/>
      <c r="G5" s="1259"/>
      <c r="H5" s="1259"/>
      <c r="I5" s="1259"/>
      <c r="J5" s="1259"/>
      <c r="K5" s="1259"/>
      <c r="L5" s="1165"/>
      <c r="M5" s="1165"/>
      <c r="N5" s="1165"/>
    </row>
    <row r="6" spans="1:14" s="1113" customFormat="1" ht="15">
      <c r="A6" s="1145"/>
      <c r="B6" s="1145"/>
      <c r="C6" s="1145"/>
      <c r="D6" s="1145"/>
      <c r="E6" s="1145"/>
      <c r="F6" s="1145"/>
      <c r="G6" s="1145"/>
      <c r="H6" s="1145"/>
      <c r="I6" s="1145"/>
      <c r="J6" s="1145"/>
      <c r="K6" s="1145"/>
      <c r="L6" s="1145"/>
      <c r="M6" s="1145"/>
      <c r="N6" s="1165"/>
    </row>
    <row r="7" spans="1:14" s="1113" customFormat="1" ht="15">
      <c r="A7" s="1145"/>
      <c r="B7" s="1145"/>
      <c r="C7" s="1145"/>
      <c r="D7" s="1145"/>
      <c r="E7" s="1145"/>
      <c r="F7" s="1145"/>
      <c r="G7" s="1145"/>
      <c r="H7" s="1145"/>
      <c r="I7" s="1145"/>
      <c r="J7" s="1145"/>
      <c r="K7" s="1145"/>
      <c r="L7" s="1145"/>
      <c r="M7" s="1145"/>
      <c r="N7" s="1165"/>
    </row>
    <row r="8" spans="1:14" s="1113" customFormat="1" ht="18">
      <c r="A8" s="1232" t="s">
        <v>1743</v>
      </c>
      <c r="B8" s="1232"/>
      <c r="C8" s="1232"/>
      <c r="D8" s="1232"/>
      <c r="E8" s="1232"/>
      <c r="F8" s="1232"/>
      <c r="G8" s="1232"/>
      <c r="H8" s="1232"/>
      <c r="I8" s="1232"/>
      <c r="J8" s="1232"/>
      <c r="K8" s="1232"/>
      <c r="L8" s="1166"/>
      <c r="M8" s="1166"/>
      <c r="N8" s="1166"/>
    </row>
    <row r="9" spans="1:14" s="1113" customFormat="1" ht="15">
      <c r="A9" s="1234" t="s">
        <v>1820</v>
      </c>
      <c r="B9" s="1234"/>
      <c r="C9" s="1234"/>
      <c r="D9" s="1234"/>
      <c r="E9" s="1234"/>
      <c r="F9" s="1234"/>
      <c r="G9" s="1234"/>
      <c r="H9" s="1234"/>
      <c r="I9" s="1234"/>
      <c r="J9" s="1234"/>
      <c r="K9" s="1234"/>
      <c r="L9" s="1167"/>
      <c r="M9" s="1167"/>
      <c r="N9" s="1167"/>
    </row>
    <row r="10" spans="1:14" s="1113" customFormat="1" ht="15.75">
      <c r="A10" s="1113" t="s">
        <v>1821</v>
      </c>
      <c r="G10" s="1145"/>
      <c r="I10" s="1160"/>
      <c r="L10" s="1146"/>
      <c r="M10" s="1146"/>
    </row>
    <row r="11" spans="1:14" s="1113" customFormat="1" ht="15.75">
      <c r="A11" s="1113" t="s">
        <v>1776</v>
      </c>
      <c r="G11" s="1145"/>
      <c r="I11" s="1160"/>
      <c r="L11" s="1146"/>
      <c r="M11" s="1146"/>
    </row>
    <row r="12" spans="1:14" s="1113" customFormat="1" ht="8.1" customHeight="1">
      <c r="A12" s="1161" t="s">
        <v>1774</v>
      </c>
      <c r="G12" s="1145"/>
      <c r="I12" s="1160"/>
      <c r="L12" s="1146"/>
      <c r="M12" s="1146"/>
    </row>
    <row r="13" spans="1:14" s="1113" customFormat="1" ht="15.75" customHeight="1">
      <c r="A13" s="1171" t="s">
        <v>1822</v>
      </c>
      <c r="B13" s="1172"/>
      <c r="C13" s="1172"/>
      <c r="D13" s="1172"/>
      <c r="E13" s="1172"/>
      <c r="F13" s="1144"/>
      <c r="G13" s="1144"/>
      <c r="H13" s="1144"/>
      <c r="I13" s="1144"/>
      <c r="J13" s="1144"/>
      <c r="K13" s="1144"/>
      <c r="L13" s="1144"/>
      <c r="M13" s="1144"/>
      <c r="N13" s="1144"/>
    </row>
    <row r="14" spans="1:14" s="803" customFormat="1" ht="15.75">
      <c r="A14" s="884"/>
      <c r="B14" s="884"/>
      <c r="C14" s="884"/>
      <c r="D14" s="884"/>
      <c r="E14" s="884"/>
      <c r="F14" s="884"/>
      <c r="G14" s="1025"/>
      <c r="H14" s="1025"/>
      <c r="I14" s="884"/>
      <c r="J14" s="884"/>
      <c r="K14" s="884"/>
    </row>
    <row r="15" spans="1:14" s="803" customFormat="1" ht="4.5" customHeight="1" thickBot="1">
      <c r="A15" s="1287"/>
      <c r="B15" s="1287"/>
      <c r="C15" s="1287"/>
      <c r="D15" s="1287"/>
      <c r="E15" s="1287"/>
      <c r="F15" s="1287"/>
      <c r="G15" s="1287"/>
      <c r="H15" s="1287"/>
      <c r="I15" s="1287"/>
      <c r="J15" s="1287"/>
      <c r="K15" s="1287"/>
    </row>
    <row r="16" spans="1:14" s="803" customFormat="1" ht="19.5" customHeight="1">
      <c r="A16" s="804"/>
      <c r="B16" s="626"/>
      <c r="C16" s="1100"/>
      <c r="D16" s="1101"/>
      <c r="E16" s="1102"/>
      <c r="F16" s="626"/>
      <c r="G16" s="626" t="s">
        <v>6</v>
      </c>
      <c r="H16" s="1246" t="s">
        <v>630</v>
      </c>
      <c r="I16" s="1247"/>
      <c r="J16" s="1248"/>
      <c r="K16" s="797" t="s">
        <v>7</v>
      </c>
    </row>
    <row r="17" spans="1:11" s="803" customFormat="1" ht="15.75">
      <c r="A17" s="805" t="s">
        <v>837</v>
      </c>
      <c r="B17" s="628"/>
      <c r="C17" s="1109"/>
      <c r="D17" s="1099"/>
      <c r="E17" s="1110"/>
      <c r="F17" s="628"/>
      <c r="G17" s="633" t="s">
        <v>1878</v>
      </c>
      <c r="H17" s="628" t="s">
        <v>572</v>
      </c>
      <c r="I17" s="628" t="s">
        <v>573</v>
      </c>
      <c r="J17" s="633" t="s">
        <v>1629</v>
      </c>
      <c r="K17" s="635" t="s">
        <v>1674</v>
      </c>
    </row>
    <row r="18" spans="1:11" s="803" customFormat="1" ht="15.75">
      <c r="A18" s="805" t="s">
        <v>838</v>
      </c>
      <c r="B18" s="628" t="s">
        <v>628</v>
      </c>
      <c r="C18" s="1237" t="s">
        <v>629</v>
      </c>
      <c r="D18" s="1238"/>
      <c r="E18" s="1239"/>
      <c r="F18" s="628"/>
      <c r="G18" s="628" t="s">
        <v>933</v>
      </c>
      <c r="H18" s="628" t="s">
        <v>571</v>
      </c>
      <c r="I18" s="628" t="s">
        <v>574</v>
      </c>
      <c r="J18" s="628" t="s">
        <v>933</v>
      </c>
      <c r="K18" s="630" t="s">
        <v>933</v>
      </c>
    </row>
    <row r="19" spans="1:11" s="803" customFormat="1" ht="15.75">
      <c r="A19" s="805" t="s">
        <v>4</v>
      </c>
      <c r="B19" s="628"/>
      <c r="C19" s="1109"/>
      <c r="D19" s="1099"/>
      <c r="E19" s="1110"/>
      <c r="F19" s="628"/>
      <c r="G19" s="628" t="s">
        <v>571</v>
      </c>
      <c r="H19" s="628">
        <v>2021</v>
      </c>
      <c r="I19" s="628">
        <v>2021</v>
      </c>
      <c r="J19" s="628" t="s">
        <v>934</v>
      </c>
      <c r="K19" s="630" t="s">
        <v>576</v>
      </c>
    </row>
    <row r="20" spans="1:11" ht="13.5" thickBot="1">
      <c r="A20" s="806"/>
      <c r="B20" s="636"/>
      <c r="C20" s="1285"/>
      <c r="D20" s="1251"/>
      <c r="E20" s="1286"/>
      <c r="F20" s="636"/>
      <c r="G20" s="636"/>
      <c r="H20" s="636"/>
      <c r="I20" s="636"/>
      <c r="J20" s="636"/>
      <c r="K20" s="638"/>
    </row>
    <row r="21" spans="1:11">
      <c r="A21" s="740"/>
      <c r="B21" s="740"/>
      <c r="C21" s="807"/>
      <c r="D21" s="808"/>
      <c r="E21" s="809"/>
      <c r="F21" s="810"/>
      <c r="G21" s="811"/>
      <c r="H21" s="812"/>
      <c r="I21" s="812"/>
      <c r="J21" s="812"/>
      <c r="K21" s="812"/>
    </row>
    <row r="22" spans="1:11" s="803" customFormat="1" ht="18" customHeight="1">
      <c r="A22" s="813"/>
      <c r="B22" s="650"/>
      <c r="C22" s="814" t="s">
        <v>799</v>
      </c>
      <c r="D22" s="815"/>
      <c r="E22" s="816"/>
      <c r="F22" s="650">
        <v>1181</v>
      </c>
      <c r="G22" s="817">
        <f>762806.19+29797.56+42460</f>
        <v>835063.75</v>
      </c>
      <c r="H22" s="729">
        <v>576710.41</v>
      </c>
      <c r="I22" s="729">
        <f>1090000-H22</f>
        <v>513289.58999999997</v>
      </c>
      <c r="J22" s="729">
        <f>I22+H22</f>
        <v>1090000</v>
      </c>
      <c r="K22" s="729">
        <v>1090005</v>
      </c>
    </row>
    <row r="23" spans="1:11" s="803" customFormat="1" ht="18" customHeight="1">
      <c r="A23" s="813"/>
      <c r="B23" s="650"/>
      <c r="C23" s="814" t="s">
        <v>800</v>
      </c>
      <c r="D23" s="815"/>
      <c r="E23" s="816"/>
      <c r="F23" s="650">
        <v>1191</v>
      </c>
      <c r="G23" s="817">
        <v>349999.92</v>
      </c>
      <c r="H23" s="729">
        <v>172592.02</v>
      </c>
      <c r="I23" s="729">
        <f>425000-H23</f>
        <v>252407.98</v>
      </c>
      <c r="J23" s="729">
        <f t="shared" ref="J23:J50" si="0">I23+H23</f>
        <v>425000</v>
      </c>
      <c r="K23" s="729">
        <v>634596</v>
      </c>
    </row>
    <row r="24" spans="1:11" s="803" customFormat="1" ht="18" customHeight="1">
      <c r="A24" s="813"/>
      <c r="B24" s="650"/>
      <c r="C24" s="814" t="s">
        <v>801</v>
      </c>
      <c r="D24" s="815"/>
      <c r="E24" s="816"/>
      <c r="F24" s="650">
        <v>1158</v>
      </c>
      <c r="G24" s="817">
        <v>42733.05</v>
      </c>
      <c r="H24" s="729">
        <v>18918.099999999999</v>
      </c>
      <c r="I24" s="729">
        <f>70000-H24</f>
        <v>51081.9</v>
      </c>
      <c r="J24" s="729">
        <f t="shared" si="0"/>
        <v>70000</v>
      </c>
      <c r="K24" s="729">
        <v>70000</v>
      </c>
    </row>
    <row r="25" spans="1:11" s="803" customFormat="1" ht="18" customHeight="1">
      <c r="A25" s="813"/>
      <c r="B25" s="650"/>
      <c r="C25" s="814" t="s">
        <v>802</v>
      </c>
      <c r="D25" s="815"/>
      <c r="E25" s="816"/>
      <c r="F25" s="650">
        <v>1111</v>
      </c>
      <c r="G25" s="817">
        <v>36602.5</v>
      </c>
      <c r="H25" s="729">
        <f>19970+69999</f>
        <v>89969</v>
      </c>
      <c r="I25" s="729">
        <f>120000-H25</f>
        <v>30031</v>
      </c>
      <c r="J25" s="729">
        <f t="shared" si="0"/>
        <v>120000</v>
      </c>
      <c r="K25" s="729">
        <v>100000</v>
      </c>
    </row>
    <row r="26" spans="1:11" s="803" customFormat="1" ht="18" customHeight="1">
      <c r="A26" s="813"/>
      <c r="B26" s="650"/>
      <c r="C26" s="814" t="s">
        <v>803</v>
      </c>
      <c r="D26" s="815"/>
      <c r="E26" s="816"/>
      <c r="F26" s="650" t="s">
        <v>267</v>
      </c>
      <c r="G26" s="817">
        <v>27500</v>
      </c>
      <c r="H26" s="729">
        <v>15000</v>
      </c>
      <c r="I26" s="729">
        <f>33000-H26</f>
        <v>18000</v>
      </c>
      <c r="J26" s="729">
        <f t="shared" si="0"/>
        <v>33000</v>
      </c>
      <c r="K26" s="729">
        <v>33000</v>
      </c>
    </row>
    <row r="27" spans="1:11" s="803" customFormat="1" ht="18" customHeight="1">
      <c r="A27" s="813"/>
      <c r="B27" s="650"/>
      <c r="C27" s="814" t="s">
        <v>804</v>
      </c>
      <c r="D27" s="815"/>
      <c r="E27" s="816"/>
      <c r="F27" s="650" t="s">
        <v>27</v>
      </c>
      <c r="G27" s="817">
        <v>27500</v>
      </c>
      <c r="H27" s="729">
        <v>15000</v>
      </c>
      <c r="I27" s="729">
        <f>33000-H27</f>
        <v>18000</v>
      </c>
      <c r="J27" s="729">
        <f t="shared" si="0"/>
        <v>33000</v>
      </c>
      <c r="K27" s="729">
        <v>33000</v>
      </c>
    </row>
    <row r="28" spans="1:11" s="803" customFormat="1" ht="18" customHeight="1">
      <c r="A28" s="813"/>
      <c r="B28" s="650"/>
      <c r="C28" s="814" t="s">
        <v>807</v>
      </c>
      <c r="D28" s="815"/>
      <c r="E28" s="816"/>
      <c r="F28" s="650" t="s">
        <v>28</v>
      </c>
      <c r="G28" s="817">
        <f>145075+43900</f>
        <v>188975</v>
      </c>
      <c r="H28" s="729">
        <f>72132+48505</f>
        <v>120637</v>
      </c>
      <c r="I28" s="729">
        <f>200000-H28</f>
        <v>79363</v>
      </c>
      <c r="J28" s="729">
        <f t="shared" si="0"/>
        <v>200000</v>
      </c>
      <c r="K28" s="729">
        <v>200000</v>
      </c>
    </row>
    <row r="29" spans="1:11" s="803" customFormat="1" ht="18" customHeight="1">
      <c r="A29" s="813"/>
      <c r="B29" s="650"/>
      <c r="C29" s="814" t="s">
        <v>809</v>
      </c>
      <c r="D29" s="815"/>
      <c r="E29" s="816"/>
      <c r="F29" s="650" t="s">
        <v>29</v>
      </c>
      <c r="G29" s="817">
        <f>182067</f>
        <v>182067</v>
      </c>
      <c r="H29" s="729">
        <f>76100</f>
        <v>76100</v>
      </c>
      <c r="I29" s="729">
        <f>196000-H29</f>
        <v>119900</v>
      </c>
      <c r="J29" s="729">
        <f t="shared" si="0"/>
        <v>196000</v>
      </c>
      <c r="K29" s="729">
        <v>200000</v>
      </c>
    </row>
    <row r="30" spans="1:11" s="803" customFormat="1" ht="18" customHeight="1">
      <c r="A30" s="813"/>
      <c r="B30" s="650"/>
      <c r="C30" s="814" t="s">
        <v>810</v>
      </c>
      <c r="D30" s="815"/>
      <c r="E30" s="816"/>
      <c r="F30" s="650" t="s">
        <v>30</v>
      </c>
      <c r="G30" s="817">
        <v>24000</v>
      </c>
      <c r="H30" s="729">
        <v>0</v>
      </c>
      <c r="I30" s="729">
        <f>26000-H30</f>
        <v>26000</v>
      </c>
      <c r="J30" s="729">
        <f t="shared" si="0"/>
        <v>26000</v>
      </c>
      <c r="K30" s="729">
        <v>30000</v>
      </c>
    </row>
    <row r="31" spans="1:11" s="803" customFormat="1" ht="18" customHeight="1">
      <c r="A31" s="813"/>
      <c r="B31" s="650"/>
      <c r="C31" s="814" t="s">
        <v>860</v>
      </c>
      <c r="D31" s="815"/>
      <c r="E31" s="816"/>
      <c r="F31" s="650" t="s">
        <v>31</v>
      </c>
      <c r="G31" s="817">
        <v>95150</v>
      </c>
      <c r="H31" s="729">
        <v>0</v>
      </c>
      <c r="I31" s="729">
        <f>100000-H31</f>
        <v>100000</v>
      </c>
      <c r="J31" s="729">
        <f t="shared" si="0"/>
        <v>100000</v>
      </c>
      <c r="K31" s="729">
        <v>100000</v>
      </c>
    </row>
    <row r="32" spans="1:11" s="803" customFormat="1" ht="18" customHeight="1">
      <c r="A32" s="813"/>
      <c r="B32" s="650"/>
      <c r="C32" s="814" t="s">
        <v>843</v>
      </c>
      <c r="D32" s="815"/>
      <c r="E32" s="816"/>
      <c r="F32" s="650" t="s">
        <v>32</v>
      </c>
      <c r="G32" s="817">
        <v>174250</v>
      </c>
      <c r="H32" s="729">
        <v>0</v>
      </c>
      <c r="I32" s="729">
        <f>204000-H32</f>
        <v>204000</v>
      </c>
      <c r="J32" s="729">
        <f t="shared" si="0"/>
        <v>204000</v>
      </c>
      <c r="K32" s="729">
        <v>204000</v>
      </c>
    </row>
    <row r="33" spans="1:11" s="803" customFormat="1" ht="18" customHeight="1">
      <c r="A33" s="813"/>
      <c r="B33" s="650"/>
      <c r="C33" s="814" t="s">
        <v>932</v>
      </c>
      <c r="D33" s="815"/>
      <c r="E33" s="816"/>
      <c r="F33" s="650" t="s">
        <v>399</v>
      </c>
      <c r="G33" s="817">
        <v>401020</v>
      </c>
      <c r="H33" s="729">
        <f>18300+81275</f>
        <v>99575</v>
      </c>
      <c r="I33" s="729">
        <f>300000-H33</f>
        <v>200425</v>
      </c>
      <c r="J33" s="729">
        <f t="shared" si="0"/>
        <v>300000</v>
      </c>
      <c r="K33" s="729">
        <f>600000-300000</f>
        <v>300000</v>
      </c>
    </row>
    <row r="34" spans="1:11" s="803" customFormat="1" ht="18" customHeight="1">
      <c r="A34" s="813"/>
      <c r="B34" s="650"/>
      <c r="C34" s="814" t="s">
        <v>808</v>
      </c>
      <c r="D34" s="815"/>
      <c r="E34" s="816"/>
      <c r="F34" s="650" t="s">
        <v>400</v>
      </c>
      <c r="G34" s="817">
        <v>0</v>
      </c>
      <c r="H34" s="729">
        <v>0</v>
      </c>
      <c r="I34" s="729">
        <f>25200-H34</f>
        <v>25200</v>
      </c>
      <c r="J34" s="729">
        <f t="shared" si="0"/>
        <v>25200</v>
      </c>
      <c r="K34" s="729">
        <v>0</v>
      </c>
    </row>
    <row r="35" spans="1:11" s="803" customFormat="1" ht="18" customHeight="1">
      <c r="A35" s="813"/>
      <c r="B35" s="650"/>
      <c r="C35" s="814" t="s">
        <v>812</v>
      </c>
      <c r="D35" s="815"/>
      <c r="E35" s="816"/>
      <c r="F35" s="650" t="s">
        <v>401</v>
      </c>
      <c r="G35" s="817">
        <v>0</v>
      </c>
      <c r="H35" s="729">
        <v>0</v>
      </c>
      <c r="I35" s="729">
        <f>30000-H35</f>
        <v>30000</v>
      </c>
      <c r="J35" s="729">
        <f t="shared" si="0"/>
        <v>30000</v>
      </c>
      <c r="K35" s="729">
        <v>30000</v>
      </c>
    </row>
    <row r="36" spans="1:11" s="803" customFormat="1" ht="18" customHeight="1">
      <c r="A36" s="813"/>
      <c r="B36" s="650"/>
      <c r="C36" s="814" t="s">
        <v>813</v>
      </c>
      <c r="D36" s="815"/>
      <c r="E36" s="816"/>
      <c r="F36" s="650" t="s">
        <v>402</v>
      </c>
      <c r="G36" s="817">
        <v>123500</v>
      </c>
      <c r="H36" s="729">
        <v>62000</v>
      </c>
      <c r="I36" s="729">
        <f>326000-H36</f>
        <v>264000</v>
      </c>
      <c r="J36" s="729">
        <f t="shared" si="0"/>
        <v>326000</v>
      </c>
      <c r="K36" s="729">
        <v>176400</v>
      </c>
    </row>
    <row r="37" spans="1:11" s="887" customFormat="1" ht="18" customHeight="1">
      <c r="A37" s="864"/>
      <c r="B37" s="711"/>
      <c r="C37" s="865" t="s">
        <v>1491</v>
      </c>
      <c r="D37" s="866"/>
      <c r="E37" s="867"/>
      <c r="F37" s="711" t="s">
        <v>403</v>
      </c>
      <c r="G37" s="886">
        <v>0</v>
      </c>
      <c r="H37" s="868">
        <v>0</v>
      </c>
      <c r="I37" s="868">
        <f>75000-H37</f>
        <v>75000</v>
      </c>
      <c r="J37" s="868">
        <f t="shared" si="0"/>
        <v>75000</v>
      </c>
      <c r="K37" s="868">
        <v>75000</v>
      </c>
    </row>
    <row r="38" spans="1:11" s="803" customFormat="1" ht="18" customHeight="1">
      <c r="A38" s="813"/>
      <c r="B38" s="650"/>
      <c r="C38" s="814" t="s">
        <v>815</v>
      </c>
      <c r="D38" s="815"/>
      <c r="E38" s="816"/>
      <c r="F38" s="650" t="s">
        <v>404</v>
      </c>
      <c r="G38" s="817">
        <v>0</v>
      </c>
      <c r="H38" s="729">
        <v>0</v>
      </c>
      <c r="I38" s="729">
        <f>150000-H38</f>
        <v>150000</v>
      </c>
      <c r="J38" s="729">
        <f t="shared" si="0"/>
        <v>150000</v>
      </c>
      <c r="K38" s="729">
        <v>150000</v>
      </c>
    </row>
    <row r="39" spans="1:11" s="803" customFormat="1" ht="18" customHeight="1">
      <c r="A39" s="813"/>
      <c r="B39" s="650"/>
      <c r="C39" s="814" t="s">
        <v>899</v>
      </c>
      <c r="D39" s="815"/>
      <c r="E39" s="816"/>
      <c r="F39" s="650" t="s">
        <v>405</v>
      </c>
      <c r="G39" s="817">
        <v>960000</v>
      </c>
      <c r="H39" s="729">
        <v>477000</v>
      </c>
      <c r="I39" s="729">
        <f>960000-H39</f>
        <v>483000</v>
      </c>
      <c r="J39" s="729">
        <f t="shared" si="0"/>
        <v>960000</v>
      </c>
      <c r="K39" s="729">
        <v>1248000</v>
      </c>
    </row>
    <row r="40" spans="1:11" s="803" customFormat="1" ht="18" customHeight="1">
      <c r="A40" s="813"/>
      <c r="B40" s="650"/>
      <c r="C40" s="814" t="s">
        <v>811</v>
      </c>
      <c r="D40" s="815"/>
      <c r="E40" s="816"/>
      <c r="F40" s="650" t="s">
        <v>406</v>
      </c>
      <c r="G40" s="817">
        <v>0</v>
      </c>
      <c r="H40" s="729">
        <v>0</v>
      </c>
      <c r="I40" s="729">
        <f>135000-H40</f>
        <v>135000</v>
      </c>
      <c r="J40" s="729">
        <f t="shared" si="0"/>
        <v>135000</v>
      </c>
      <c r="K40" s="729">
        <v>135000</v>
      </c>
    </row>
    <row r="41" spans="1:11" s="803" customFormat="1" ht="18" customHeight="1">
      <c r="A41" s="813"/>
      <c r="B41" s="650"/>
      <c r="C41" s="814" t="s">
        <v>816</v>
      </c>
      <c r="D41" s="815"/>
      <c r="E41" s="816"/>
      <c r="F41" s="650" t="s">
        <v>407</v>
      </c>
      <c r="G41" s="817">
        <v>0</v>
      </c>
      <c r="H41" s="729">
        <v>243650</v>
      </c>
      <c r="I41" s="729">
        <f>243650-H41</f>
        <v>0</v>
      </c>
      <c r="J41" s="729">
        <f t="shared" si="0"/>
        <v>243650</v>
      </c>
      <c r="K41" s="729">
        <v>243650</v>
      </c>
    </row>
    <row r="42" spans="1:11" s="803" customFormat="1" ht="18" customHeight="1">
      <c r="A42" s="818"/>
      <c r="B42" s="658"/>
      <c r="C42" s="819" t="s">
        <v>912</v>
      </c>
      <c r="D42" s="820"/>
      <c r="E42" s="821"/>
      <c r="F42" s="650" t="s">
        <v>408</v>
      </c>
      <c r="G42" s="822">
        <v>115200</v>
      </c>
      <c r="H42" s="823">
        <v>0</v>
      </c>
      <c r="I42" s="729">
        <f>144000-H42</f>
        <v>144000</v>
      </c>
      <c r="J42" s="729">
        <f t="shared" si="0"/>
        <v>144000</v>
      </c>
      <c r="K42" s="823">
        <v>201600</v>
      </c>
    </row>
    <row r="43" spans="1:11" s="803" customFormat="1" ht="18" customHeight="1">
      <c r="A43" s="818"/>
      <c r="B43" s="658"/>
      <c r="C43" s="819" t="s">
        <v>952</v>
      </c>
      <c r="D43" s="820"/>
      <c r="E43" s="821"/>
      <c r="F43" s="650" t="s">
        <v>1576</v>
      </c>
      <c r="G43" s="822">
        <v>118680</v>
      </c>
      <c r="H43" s="823">
        <v>0</v>
      </c>
      <c r="I43" s="729">
        <f>243056-H43</f>
        <v>243056</v>
      </c>
      <c r="J43" s="729">
        <f t="shared" si="0"/>
        <v>243056</v>
      </c>
      <c r="K43" s="823">
        <v>335400</v>
      </c>
    </row>
    <row r="44" spans="1:11" s="803" customFormat="1" ht="18" customHeight="1">
      <c r="A44" s="818"/>
      <c r="B44" s="658"/>
      <c r="C44" s="819" t="s">
        <v>808</v>
      </c>
      <c r="D44" s="820"/>
      <c r="E44" s="821"/>
      <c r="F44" s="650" t="s">
        <v>953</v>
      </c>
      <c r="G44" s="822">
        <v>522000</v>
      </c>
      <c r="H44" s="823">
        <v>0</v>
      </c>
      <c r="I44" s="729">
        <f>604800-H44</f>
        <v>604800</v>
      </c>
      <c r="J44" s="729">
        <f t="shared" si="0"/>
        <v>604800</v>
      </c>
      <c r="K44" s="823">
        <v>630000</v>
      </c>
    </row>
    <row r="45" spans="1:11" s="824" customFormat="1" ht="18" customHeight="1">
      <c r="A45" s="864"/>
      <c r="B45" s="711"/>
      <c r="C45" s="865" t="s">
        <v>1470</v>
      </c>
      <c r="D45" s="866"/>
      <c r="E45" s="867"/>
      <c r="F45" s="650" t="s">
        <v>1577</v>
      </c>
      <c r="G45" s="886">
        <v>69958.880000000005</v>
      </c>
      <c r="H45" s="868">
        <v>40660</v>
      </c>
      <c r="I45" s="729">
        <f>70000-H45</f>
        <v>29340</v>
      </c>
      <c r="J45" s="729">
        <f t="shared" si="0"/>
        <v>70000</v>
      </c>
      <c r="K45" s="868">
        <v>100000</v>
      </c>
    </row>
    <row r="46" spans="1:11" s="824" customFormat="1" ht="18" customHeight="1">
      <c r="A46" s="711"/>
      <c r="B46" s="711"/>
      <c r="C46" s="865" t="s">
        <v>1487</v>
      </c>
      <c r="D46" s="866"/>
      <c r="E46" s="867"/>
      <c r="F46" s="650" t="s">
        <v>954</v>
      </c>
      <c r="G46" s="877">
        <v>599000</v>
      </c>
      <c r="H46" s="876">
        <v>315000</v>
      </c>
      <c r="I46" s="729">
        <f>630000-H46</f>
        <v>315000</v>
      </c>
      <c r="J46" s="729">
        <f t="shared" si="0"/>
        <v>630000</v>
      </c>
      <c r="K46" s="876">
        <f>1260000</f>
        <v>1260000</v>
      </c>
    </row>
    <row r="47" spans="1:11" s="824" customFormat="1" ht="18" customHeight="1">
      <c r="A47" s="711"/>
      <c r="B47" s="711"/>
      <c r="C47" s="865" t="s">
        <v>814</v>
      </c>
      <c r="D47" s="866"/>
      <c r="E47" s="867"/>
      <c r="F47" s="650" t="s">
        <v>1471</v>
      </c>
      <c r="G47" s="877">
        <v>10400</v>
      </c>
      <c r="H47" s="868">
        <v>0</v>
      </c>
      <c r="I47" s="729">
        <f>75000-H47</f>
        <v>75000</v>
      </c>
      <c r="J47" s="729">
        <f t="shared" si="0"/>
        <v>75000</v>
      </c>
      <c r="K47" s="868">
        <v>75000</v>
      </c>
    </row>
    <row r="48" spans="1:11" s="824" customFormat="1" ht="18" customHeight="1">
      <c r="A48" s="711"/>
      <c r="B48" s="711"/>
      <c r="C48" s="865" t="s">
        <v>1492</v>
      </c>
      <c r="D48" s="866"/>
      <c r="E48" s="867"/>
      <c r="F48" s="650" t="s">
        <v>1488</v>
      </c>
      <c r="G48" s="877">
        <v>58750</v>
      </c>
      <c r="H48" s="868">
        <v>16500</v>
      </c>
      <c r="I48" s="729">
        <f>66000-H48</f>
        <v>49500</v>
      </c>
      <c r="J48" s="729">
        <f t="shared" si="0"/>
        <v>66000</v>
      </c>
      <c r="K48" s="868">
        <v>66000</v>
      </c>
    </row>
    <row r="49" spans="1:13" s="824" customFormat="1" ht="18" customHeight="1">
      <c r="A49" s="711"/>
      <c r="B49" s="711"/>
      <c r="C49" s="865" t="s">
        <v>1493</v>
      </c>
      <c r="D49" s="866"/>
      <c r="E49" s="867"/>
      <c r="F49" s="650" t="s">
        <v>1494</v>
      </c>
      <c r="G49" s="877">
        <f>240000+60000</f>
        <v>300000</v>
      </c>
      <c r="H49" s="868">
        <v>298000</v>
      </c>
      <c r="I49" s="729">
        <f>600000-H49</f>
        <v>302000</v>
      </c>
      <c r="J49" s="729">
        <f t="shared" si="0"/>
        <v>600000</v>
      </c>
      <c r="K49" s="868">
        <f>300000+300000</f>
        <v>600000</v>
      </c>
    </row>
    <row r="50" spans="1:13" s="824" customFormat="1" ht="18" customHeight="1">
      <c r="A50" s="711"/>
      <c r="B50" s="711"/>
      <c r="C50" s="865" t="s">
        <v>1643</v>
      </c>
      <c r="D50" s="866"/>
      <c r="E50" s="867"/>
      <c r="F50" s="650" t="s">
        <v>1644</v>
      </c>
      <c r="G50" s="877">
        <v>0</v>
      </c>
      <c r="H50" s="868">
        <v>0</v>
      </c>
      <c r="I50" s="729">
        <f>30000-H50</f>
        <v>30000</v>
      </c>
      <c r="J50" s="729">
        <f t="shared" si="0"/>
        <v>30000</v>
      </c>
      <c r="K50" s="868">
        <v>30000</v>
      </c>
    </row>
    <row r="51" spans="1:13" s="824" customFormat="1" ht="18" customHeight="1">
      <c r="A51" s="711"/>
      <c r="B51" s="711"/>
      <c r="C51" s="865" t="s">
        <v>1693</v>
      </c>
      <c r="D51" s="866"/>
      <c r="E51" s="867"/>
      <c r="F51" s="650" t="s">
        <v>1694</v>
      </c>
      <c r="G51" s="877">
        <v>0</v>
      </c>
      <c r="H51" s="868">
        <v>0</v>
      </c>
      <c r="I51" s="729">
        <v>0</v>
      </c>
      <c r="J51" s="729">
        <v>0</v>
      </c>
      <c r="K51" s="868">
        <v>100000</v>
      </c>
    </row>
    <row r="52" spans="1:13" s="825" customFormat="1" ht="18" customHeight="1" thickBot="1">
      <c r="A52" s="869" t="s">
        <v>625</v>
      </c>
      <c r="B52" s="870"/>
      <c r="C52" s="871"/>
      <c r="D52" s="872"/>
      <c r="E52" s="873"/>
      <c r="F52" s="874"/>
      <c r="G52" s="875">
        <f>SUM(G21:G51)</f>
        <v>5262350.0999999996</v>
      </c>
      <c r="H52" s="875">
        <f t="shared" ref="H52:K52" si="1">SUM(H21:H51)</f>
        <v>2637311.5300000003</v>
      </c>
      <c r="I52" s="875">
        <f t="shared" si="1"/>
        <v>4567394.47</v>
      </c>
      <c r="J52" s="875">
        <f t="shared" si="1"/>
        <v>7204706</v>
      </c>
      <c r="K52" s="875">
        <f t="shared" si="1"/>
        <v>8450651</v>
      </c>
    </row>
    <row r="53" spans="1:13" ht="18" customHeight="1">
      <c r="A53" s="619"/>
      <c r="B53" s="731"/>
      <c r="C53" s="731"/>
      <c r="D53" s="731"/>
      <c r="E53" s="731"/>
      <c r="F53" s="731"/>
      <c r="G53" s="731"/>
      <c r="H53" s="826"/>
      <c r="I53" s="826"/>
      <c r="J53" s="826"/>
      <c r="K53" s="826"/>
    </row>
    <row r="54" spans="1:13" ht="15.75">
      <c r="A54" s="1278" t="s">
        <v>1758</v>
      </c>
      <c r="B54" s="1278"/>
      <c r="C54" s="1278"/>
      <c r="D54" s="1278"/>
      <c r="E54" s="1278"/>
      <c r="F54" s="1278"/>
      <c r="G54" s="1278"/>
      <c r="H54" s="1278"/>
      <c r="I54" s="1278"/>
      <c r="J54" s="1278"/>
      <c r="K54" s="1278"/>
      <c r="L54" s="1219"/>
      <c r="M54" s="1219"/>
    </row>
    <row r="55" spans="1:13">
      <c r="A55" s="619"/>
      <c r="B55" s="731"/>
      <c r="C55" s="731"/>
      <c r="D55" s="731"/>
      <c r="E55" s="731"/>
      <c r="F55" s="731"/>
      <c r="G55" s="731"/>
      <c r="H55" s="826"/>
      <c r="I55" s="826"/>
      <c r="J55" s="826"/>
      <c r="K55" s="826"/>
    </row>
    <row r="56" spans="1:13">
      <c r="A56" s="619"/>
      <c r="B56" s="731"/>
      <c r="C56" s="731"/>
      <c r="D56" s="731"/>
      <c r="E56" s="731"/>
      <c r="F56" s="731"/>
      <c r="G56" s="731"/>
      <c r="H56" s="826"/>
      <c r="I56" s="826"/>
      <c r="J56" s="826"/>
      <c r="K56" s="826"/>
    </row>
    <row r="57" spans="1:13">
      <c r="A57" s="619"/>
      <c r="B57" s="731"/>
      <c r="C57" s="731"/>
      <c r="D57" s="731"/>
      <c r="E57" s="731"/>
      <c r="F57" s="731"/>
      <c r="G57" s="731"/>
      <c r="H57" s="826"/>
      <c r="I57" s="826"/>
      <c r="J57" s="826"/>
      <c r="K57" s="826"/>
    </row>
    <row r="58" spans="1:13">
      <c r="A58" s="619"/>
      <c r="B58" s="731"/>
      <c r="C58" s="731"/>
      <c r="D58" s="731"/>
      <c r="E58" s="731"/>
      <c r="F58" s="731"/>
      <c r="G58" s="731"/>
      <c r="H58" s="826"/>
      <c r="I58" s="826"/>
      <c r="J58" s="826"/>
      <c r="K58" s="826"/>
    </row>
    <row r="59" spans="1:13">
      <c r="A59" s="619"/>
      <c r="B59" s="731"/>
      <c r="C59" s="731"/>
      <c r="D59" s="731"/>
      <c r="E59" s="731"/>
      <c r="F59" s="731"/>
      <c r="G59" s="731"/>
      <c r="H59" s="826"/>
      <c r="I59" s="826"/>
      <c r="J59" s="826"/>
      <c r="K59" s="826"/>
    </row>
    <row r="60" spans="1:13">
      <c r="A60" s="619"/>
      <c r="B60" s="731"/>
      <c r="C60" s="731"/>
      <c r="D60" s="731"/>
      <c r="E60" s="731"/>
      <c r="F60" s="731"/>
      <c r="G60" s="731"/>
      <c r="H60" s="826"/>
      <c r="I60" s="826"/>
      <c r="J60" s="826"/>
      <c r="K60" s="826"/>
    </row>
    <row r="61" spans="1:13">
      <c r="A61" s="619"/>
      <c r="B61" s="731"/>
      <c r="C61" s="731"/>
      <c r="D61" s="731"/>
      <c r="E61" s="731"/>
      <c r="F61" s="731"/>
      <c r="G61" s="731"/>
      <c r="H61" s="826"/>
      <c r="I61" s="826"/>
      <c r="J61" s="826"/>
      <c r="K61" s="826"/>
    </row>
    <row r="62" spans="1:13">
      <c r="A62" s="619"/>
      <c r="B62" s="731"/>
      <c r="C62" s="731"/>
      <c r="D62" s="731"/>
      <c r="E62" s="731"/>
      <c r="F62" s="731"/>
      <c r="G62" s="731"/>
      <c r="H62" s="826"/>
      <c r="I62" s="826"/>
      <c r="J62" s="826"/>
      <c r="K62" s="826"/>
    </row>
    <row r="63" spans="1:13">
      <c r="A63" s="619"/>
      <c r="B63" s="731"/>
      <c r="C63" s="731"/>
      <c r="D63" s="731"/>
      <c r="E63" s="731"/>
      <c r="F63" s="731"/>
      <c r="G63" s="731"/>
      <c r="H63" s="826"/>
      <c r="I63" s="826"/>
      <c r="J63" s="826"/>
      <c r="K63" s="826"/>
    </row>
    <row r="64" spans="1:13">
      <c r="A64" s="619"/>
      <c r="B64" s="731"/>
      <c r="C64" s="731"/>
      <c r="D64" s="731"/>
      <c r="E64" s="731"/>
      <c r="F64" s="731"/>
      <c r="G64" s="731"/>
      <c r="H64" s="826"/>
      <c r="I64" s="826"/>
      <c r="J64" s="826"/>
      <c r="K64" s="826"/>
    </row>
    <row r="65" spans="1:14">
      <c r="A65" s="619"/>
      <c r="B65" s="731"/>
      <c r="C65" s="731"/>
      <c r="D65" s="731"/>
      <c r="E65" s="731"/>
      <c r="F65" s="731"/>
      <c r="G65" s="731"/>
      <c r="H65" s="826"/>
      <c r="I65" s="826"/>
      <c r="J65" s="826"/>
      <c r="K65" s="826"/>
    </row>
    <row r="66" spans="1:14">
      <c r="A66" s="619"/>
      <c r="B66" s="731"/>
      <c r="C66" s="731"/>
      <c r="D66" s="731"/>
      <c r="E66" s="731"/>
      <c r="F66" s="731"/>
      <c r="G66" s="731"/>
      <c r="H66" s="826"/>
      <c r="I66" s="826"/>
      <c r="J66" s="826"/>
      <c r="K66" s="826"/>
    </row>
    <row r="67" spans="1:14">
      <c r="A67" s="619"/>
      <c r="B67" s="731"/>
      <c r="C67" s="731"/>
      <c r="D67" s="731"/>
      <c r="E67" s="731"/>
      <c r="F67" s="731"/>
      <c r="G67" s="731"/>
      <c r="H67" s="826"/>
      <c r="I67" s="826"/>
      <c r="J67" s="826"/>
      <c r="K67" s="826"/>
    </row>
    <row r="68" spans="1:14">
      <c r="A68" s="619"/>
      <c r="B68" s="731"/>
      <c r="C68" s="731"/>
      <c r="D68" s="731"/>
      <c r="E68" s="731"/>
      <c r="F68" s="731"/>
      <c r="G68" s="731"/>
      <c r="H68" s="826"/>
      <c r="I68" s="826"/>
      <c r="J68" s="826"/>
      <c r="K68" s="826"/>
    </row>
    <row r="69" spans="1:14">
      <c r="A69" s="619"/>
      <c r="B69" s="731"/>
      <c r="C69" s="731"/>
      <c r="D69" s="731"/>
      <c r="E69" s="731"/>
      <c r="F69" s="731"/>
      <c r="G69" s="731"/>
      <c r="H69" s="826"/>
      <c r="I69" s="826"/>
      <c r="J69" s="826"/>
      <c r="K69" s="826"/>
    </row>
    <row r="70" spans="1:14">
      <c r="A70" s="619"/>
      <c r="B70" s="731"/>
      <c r="C70" s="731"/>
      <c r="D70" s="731"/>
      <c r="E70" s="731"/>
      <c r="F70" s="731"/>
      <c r="G70" s="731"/>
      <c r="H70" s="826"/>
      <c r="I70" s="826"/>
      <c r="J70" s="826"/>
      <c r="K70" s="826"/>
    </row>
    <row r="71" spans="1:14">
      <c r="A71" s="619"/>
      <c r="B71" s="731"/>
      <c r="C71" s="731"/>
      <c r="D71" s="731"/>
      <c r="E71" s="731"/>
      <c r="F71" s="731"/>
      <c r="G71" s="731"/>
      <c r="H71" s="826"/>
      <c r="I71" s="826"/>
      <c r="J71" s="826"/>
      <c r="K71" s="826"/>
    </row>
    <row r="72" spans="1:14">
      <c r="A72" s="619"/>
      <c r="B72" s="731"/>
      <c r="C72" s="731"/>
      <c r="D72" s="731"/>
      <c r="E72" s="731"/>
      <c r="F72" s="731"/>
      <c r="G72" s="731"/>
      <c r="H72" s="826"/>
      <c r="I72" s="826"/>
      <c r="J72" s="826"/>
      <c r="K72" s="826"/>
    </row>
    <row r="73" spans="1:14">
      <c r="A73" s="619"/>
      <c r="B73" s="731"/>
      <c r="C73" s="731"/>
      <c r="D73" s="731"/>
      <c r="E73" s="731"/>
      <c r="F73" s="731"/>
      <c r="G73" s="731"/>
      <c r="H73" s="826"/>
      <c r="I73" s="826"/>
      <c r="J73" s="826"/>
      <c r="K73" s="826"/>
    </row>
    <row r="74" spans="1:14">
      <c r="A74" s="619"/>
      <c r="B74" s="731"/>
      <c r="C74" s="731"/>
      <c r="D74" s="731"/>
      <c r="E74" s="731"/>
      <c r="F74" s="731"/>
      <c r="G74" s="731"/>
      <c r="H74" s="826"/>
      <c r="I74" s="826"/>
      <c r="J74" s="826"/>
      <c r="K74" s="826"/>
    </row>
    <row r="75" spans="1:14">
      <c r="A75" s="619"/>
      <c r="B75" s="731"/>
      <c r="C75" s="731"/>
      <c r="D75" s="731"/>
      <c r="E75" s="731"/>
      <c r="F75" s="731"/>
      <c r="G75" s="731"/>
      <c r="H75" s="826"/>
      <c r="I75" s="826"/>
      <c r="J75" s="826"/>
      <c r="K75" s="826"/>
    </row>
    <row r="76" spans="1:14" ht="20.100000000000001" customHeight="1">
      <c r="A76" s="1244" t="s">
        <v>1877</v>
      </c>
      <c r="B76" s="1244"/>
      <c r="C76" s="1244"/>
      <c r="D76" s="1244"/>
      <c r="E76" s="1244"/>
      <c r="F76" s="1244"/>
      <c r="G76" s="1244"/>
      <c r="H76" s="1244"/>
      <c r="I76" s="1244"/>
      <c r="J76" s="1244"/>
      <c r="K76" s="1244"/>
      <c r="L76" s="827"/>
      <c r="M76" s="827"/>
    </row>
    <row r="77" spans="1:14" ht="15.75">
      <c r="A77" s="794"/>
      <c r="B77" s="795"/>
      <c r="C77" s="795"/>
      <c r="D77" s="795"/>
      <c r="E77" s="795"/>
      <c r="F77" s="795"/>
      <c r="G77" s="795"/>
      <c r="H77" s="795"/>
      <c r="I77" s="795"/>
      <c r="J77" s="795"/>
      <c r="K77" s="796"/>
    </row>
    <row r="78" spans="1:14" s="1113" customFormat="1" ht="15">
      <c r="A78" s="1259" t="s">
        <v>883</v>
      </c>
      <c r="B78" s="1259"/>
      <c r="C78" s="1259"/>
      <c r="D78" s="1259"/>
      <c r="E78" s="1259"/>
      <c r="F78" s="1259"/>
      <c r="G78" s="1259"/>
      <c r="H78" s="1259"/>
      <c r="I78" s="1259"/>
      <c r="J78" s="1259"/>
      <c r="K78" s="1259"/>
      <c r="L78" s="1165"/>
      <c r="M78" s="1165"/>
      <c r="N78" s="1165"/>
    </row>
    <row r="79" spans="1:14" s="1113" customFormat="1" ht="15">
      <c r="A79" s="1259" t="s">
        <v>178</v>
      </c>
      <c r="B79" s="1259"/>
      <c r="C79" s="1259"/>
      <c r="D79" s="1259"/>
      <c r="E79" s="1259"/>
      <c r="F79" s="1259"/>
      <c r="G79" s="1259"/>
      <c r="H79" s="1259"/>
      <c r="I79" s="1259"/>
      <c r="J79" s="1259"/>
      <c r="K79" s="1259"/>
      <c r="L79" s="1165"/>
      <c r="M79" s="1165"/>
      <c r="N79" s="1165"/>
    </row>
    <row r="80" spans="1:14" s="1113" customFormat="1" ht="15">
      <c r="A80" s="1259" t="s">
        <v>1742</v>
      </c>
      <c r="B80" s="1259"/>
      <c r="C80" s="1259"/>
      <c r="D80" s="1259"/>
      <c r="E80" s="1259"/>
      <c r="F80" s="1259"/>
      <c r="G80" s="1259"/>
      <c r="H80" s="1259"/>
      <c r="I80" s="1259"/>
      <c r="J80" s="1259"/>
      <c r="K80" s="1259"/>
      <c r="L80" s="1165"/>
      <c r="M80" s="1165"/>
      <c r="N80" s="1165"/>
    </row>
    <row r="81" spans="1:14" s="1113" customFormat="1" ht="15">
      <c r="A81" s="1259"/>
      <c r="B81" s="1259"/>
      <c r="C81" s="1259"/>
      <c r="D81" s="1259"/>
      <c r="E81" s="1259"/>
      <c r="F81" s="1259"/>
      <c r="G81" s="1259"/>
      <c r="H81" s="1259"/>
      <c r="I81" s="1259"/>
      <c r="J81" s="1259"/>
      <c r="K81" s="1259"/>
      <c r="L81" s="1165"/>
      <c r="M81" s="1165"/>
      <c r="N81" s="1165"/>
    </row>
    <row r="82" spans="1:14" s="1113" customFormat="1" ht="15">
      <c r="A82" s="1145"/>
      <c r="B82" s="1145"/>
      <c r="C82" s="1145"/>
      <c r="D82" s="1145"/>
      <c r="E82" s="1145"/>
      <c r="F82" s="1145"/>
      <c r="G82" s="1145"/>
      <c r="H82" s="1145"/>
      <c r="I82" s="1145"/>
      <c r="J82" s="1145"/>
      <c r="K82" s="1145"/>
      <c r="L82" s="1145"/>
      <c r="M82" s="1145"/>
      <c r="N82" s="1165"/>
    </row>
    <row r="83" spans="1:14" s="1113" customFormat="1" ht="15">
      <c r="A83" s="1145"/>
      <c r="B83" s="1145"/>
      <c r="C83" s="1145"/>
      <c r="D83" s="1145"/>
      <c r="E83" s="1145"/>
      <c r="F83" s="1145"/>
      <c r="G83" s="1145"/>
      <c r="H83" s="1145"/>
      <c r="I83" s="1145"/>
      <c r="J83" s="1145"/>
      <c r="K83" s="1145"/>
      <c r="L83" s="1145"/>
      <c r="M83" s="1145"/>
      <c r="N83" s="1165"/>
    </row>
    <row r="84" spans="1:14" s="1113" customFormat="1" ht="18">
      <c r="A84" s="1232" t="s">
        <v>1743</v>
      </c>
      <c r="B84" s="1232"/>
      <c r="C84" s="1232"/>
      <c r="D84" s="1232"/>
      <c r="E84" s="1232"/>
      <c r="F84" s="1232"/>
      <c r="G84" s="1232"/>
      <c r="H84" s="1232"/>
      <c r="I84" s="1232"/>
      <c r="J84" s="1232"/>
      <c r="K84" s="1232"/>
      <c r="L84" s="1166"/>
      <c r="M84" s="1166"/>
      <c r="N84" s="1166"/>
    </row>
    <row r="85" spans="1:14" s="1113" customFormat="1" ht="15">
      <c r="A85" s="1234" t="s">
        <v>1820</v>
      </c>
      <c r="B85" s="1234"/>
      <c r="C85" s="1234"/>
      <c r="D85" s="1234"/>
      <c r="E85" s="1234"/>
      <c r="F85" s="1234"/>
      <c r="G85" s="1234"/>
      <c r="H85" s="1234"/>
      <c r="I85" s="1234"/>
      <c r="J85" s="1234"/>
      <c r="K85" s="1234"/>
      <c r="L85" s="1167"/>
      <c r="M85" s="1167"/>
      <c r="N85" s="1167"/>
    </row>
    <row r="86" spans="1:14" s="1113" customFormat="1" ht="15.75">
      <c r="A86" s="1113" t="s">
        <v>1823</v>
      </c>
      <c r="G86" s="1145"/>
      <c r="I86" s="1160"/>
      <c r="L86" s="1146"/>
      <c r="M86" s="1146"/>
    </row>
    <row r="87" spans="1:14" s="1113" customFormat="1" ht="15.75">
      <c r="A87" s="1113" t="s">
        <v>1776</v>
      </c>
      <c r="G87" s="1145"/>
      <c r="I87" s="1160"/>
      <c r="L87" s="1146"/>
      <c r="M87" s="1146"/>
    </row>
    <row r="88" spans="1:14" s="1113" customFormat="1" ht="9" customHeight="1" thickBot="1">
      <c r="G88" s="1145"/>
      <c r="I88" s="1160"/>
      <c r="L88" s="1146"/>
      <c r="M88" s="1146"/>
    </row>
    <row r="89" spans="1:14">
      <c r="A89" s="804"/>
      <c r="B89" s="626"/>
      <c r="C89" s="1100"/>
      <c r="D89" s="1101"/>
      <c r="E89" s="1102"/>
      <c r="F89" s="626"/>
      <c r="G89" s="626" t="s">
        <v>6</v>
      </c>
      <c r="H89" s="1246" t="s">
        <v>630</v>
      </c>
      <c r="I89" s="1247"/>
      <c r="J89" s="1248"/>
      <c r="K89" s="797" t="s">
        <v>7</v>
      </c>
    </row>
    <row r="90" spans="1:14">
      <c r="A90" s="805" t="s">
        <v>837</v>
      </c>
      <c r="B90" s="628"/>
      <c r="C90" s="1109"/>
      <c r="D90" s="1099"/>
      <c r="E90" s="1110"/>
      <c r="F90" s="628"/>
      <c r="G90" s="633" t="s">
        <v>1878</v>
      </c>
      <c r="H90" s="628" t="s">
        <v>572</v>
      </c>
      <c r="I90" s="628" t="s">
        <v>573</v>
      </c>
      <c r="J90" s="633" t="s">
        <v>1629</v>
      </c>
      <c r="K90" s="635" t="s">
        <v>1674</v>
      </c>
    </row>
    <row r="91" spans="1:14">
      <c r="A91" s="805" t="s">
        <v>838</v>
      </c>
      <c r="B91" s="628" t="s">
        <v>628</v>
      </c>
      <c r="C91" s="1237" t="s">
        <v>629</v>
      </c>
      <c r="D91" s="1238"/>
      <c r="E91" s="1239"/>
      <c r="F91" s="628"/>
      <c r="G91" s="628" t="s">
        <v>933</v>
      </c>
      <c r="H91" s="628" t="s">
        <v>571</v>
      </c>
      <c r="I91" s="628" t="s">
        <v>574</v>
      </c>
      <c r="J91" s="628" t="s">
        <v>933</v>
      </c>
      <c r="K91" s="630" t="s">
        <v>933</v>
      </c>
    </row>
    <row r="92" spans="1:14">
      <c r="A92" s="805" t="s">
        <v>4</v>
      </c>
      <c r="B92" s="628"/>
      <c r="C92" s="1109"/>
      <c r="D92" s="1099"/>
      <c r="E92" s="1110"/>
      <c r="F92" s="628"/>
      <c r="G92" s="628" t="s">
        <v>571</v>
      </c>
      <c r="H92" s="628">
        <v>2021</v>
      </c>
      <c r="I92" s="628">
        <v>2021</v>
      </c>
      <c r="J92" s="628" t="s">
        <v>934</v>
      </c>
      <c r="K92" s="630" t="s">
        <v>576</v>
      </c>
    </row>
    <row r="93" spans="1:14" ht="13.5" thickBot="1">
      <c r="A93" s="806"/>
      <c r="B93" s="636"/>
      <c r="C93" s="1285"/>
      <c r="D93" s="1251"/>
      <c r="E93" s="1286"/>
      <c r="F93" s="636"/>
      <c r="G93" s="636"/>
      <c r="H93" s="636"/>
      <c r="I93" s="636"/>
      <c r="J93" s="636"/>
      <c r="K93" s="638"/>
    </row>
    <row r="94" spans="1:14" ht="5.0999999999999996" customHeight="1">
      <c r="A94" s="740"/>
      <c r="B94" s="740"/>
      <c r="C94" s="807"/>
      <c r="D94" s="808"/>
      <c r="E94" s="809"/>
      <c r="F94" s="810"/>
      <c r="G94" s="811"/>
      <c r="H94" s="812"/>
      <c r="I94" s="812"/>
      <c r="J94" s="812"/>
      <c r="K94" s="812"/>
    </row>
    <row r="95" spans="1:14" ht="18" customHeight="1">
      <c r="A95" s="813"/>
      <c r="B95" s="650"/>
      <c r="C95" s="814" t="s">
        <v>567</v>
      </c>
      <c r="D95" s="815"/>
      <c r="E95" s="816"/>
      <c r="F95" s="650">
        <v>6911</v>
      </c>
      <c r="G95" s="817">
        <f>2522087.62+19916+24052149.86+1371993.4</f>
        <v>27966146.879999999</v>
      </c>
      <c r="H95" s="729">
        <f>1254323.27+13852929.45</f>
        <v>15107252.719999999</v>
      </c>
      <c r="I95" s="729">
        <f>33259942.75-H95</f>
        <v>18152690.030000001</v>
      </c>
      <c r="J95" s="729">
        <f>I95+H95</f>
        <v>33259942.75</v>
      </c>
      <c r="K95" s="729">
        <v>43848762.799999997</v>
      </c>
    </row>
    <row r="96" spans="1:14" ht="18" customHeight="1">
      <c r="A96" s="813"/>
      <c r="B96" s="650"/>
      <c r="C96" s="814" t="s">
        <v>271</v>
      </c>
      <c r="D96" s="815"/>
      <c r="E96" s="816"/>
      <c r="F96" s="650">
        <v>9998</v>
      </c>
      <c r="G96" s="817">
        <v>7756345.6299999999</v>
      </c>
      <c r="H96" s="729">
        <f>3429939.5+1585134.44</f>
        <v>5015073.9399999995</v>
      </c>
      <c r="I96" s="729">
        <f>8763834.8-H96</f>
        <v>3748760.8600000013</v>
      </c>
      <c r="J96" s="729">
        <f t="shared" ref="J96:J134" si="2">I96+H96</f>
        <v>8763834.8000000007</v>
      </c>
      <c r="K96" s="729">
        <v>11580690.699999999</v>
      </c>
    </row>
    <row r="97" spans="1:12" s="803" customFormat="1" ht="18" customHeight="1">
      <c r="A97" s="813"/>
      <c r="B97" s="650"/>
      <c r="C97" s="814" t="s">
        <v>568</v>
      </c>
      <c r="D97" s="815"/>
      <c r="E97" s="816"/>
      <c r="F97" s="650">
        <v>9995</v>
      </c>
      <c r="G97" s="817">
        <v>21000</v>
      </c>
      <c r="H97" s="729">
        <v>21000</v>
      </c>
      <c r="I97" s="729">
        <f>21000-H97</f>
        <v>0</v>
      </c>
      <c r="J97" s="729">
        <f t="shared" si="2"/>
        <v>21000</v>
      </c>
      <c r="K97" s="729">
        <v>21000</v>
      </c>
    </row>
    <row r="98" spans="1:12" ht="18" customHeight="1">
      <c r="A98" s="813"/>
      <c r="B98" s="650"/>
      <c r="C98" s="814" t="s">
        <v>821</v>
      </c>
      <c r="D98" s="815"/>
      <c r="E98" s="816"/>
      <c r="F98" s="650" t="s">
        <v>410</v>
      </c>
      <c r="G98" s="817">
        <f>370748.11+680+368550</f>
        <v>739978.11</v>
      </c>
      <c r="H98" s="729">
        <f>111605+138240</f>
        <v>249845</v>
      </c>
      <c r="I98" s="729">
        <f>5526000-H98</f>
        <v>5276155</v>
      </c>
      <c r="J98" s="729">
        <f t="shared" si="2"/>
        <v>5526000</v>
      </c>
      <c r="K98" s="729">
        <v>3500000</v>
      </c>
    </row>
    <row r="99" spans="1:12" ht="18" customHeight="1">
      <c r="A99" s="813"/>
      <c r="B99" s="650"/>
      <c r="C99" s="814" t="s">
        <v>830</v>
      </c>
      <c r="D99" s="815"/>
      <c r="E99" s="816"/>
      <c r="F99" s="650" t="s">
        <v>409</v>
      </c>
      <c r="G99" s="817"/>
      <c r="H99" s="729"/>
      <c r="I99" s="729"/>
      <c r="J99" s="729"/>
      <c r="K99" s="729"/>
    </row>
    <row r="100" spans="1:12" ht="18" customHeight="1">
      <c r="A100" s="813"/>
      <c r="B100" s="650"/>
      <c r="C100" s="814" t="s">
        <v>831</v>
      </c>
      <c r="D100" s="815"/>
      <c r="E100" s="816"/>
      <c r="F100" s="650" t="s">
        <v>411</v>
      </c>
      <c r="G100" s="817">
        <v>284008</v>
      </c>
      <c r="H100" s="729">
        <v>198378</v>
      </c>
      <c r="I100" s="729">
        <f>455000-H100</f>
        <v>256622</v>
      </c>
      <c r="J100" s="729">
        <f t="shared" si="2"/>
        <v>455000</v>
      </c>
      <c r="K100" s="729">
        <v>612400</v>
      </c>
      <c r="L100" s="828"/>
    </row>
    <row r="101" spans="1:12" ht="18" customHeight="1">
      <c r="A101" s="813"/>
      <c r="B101" s="650"/>
      <c r="C101" s="814" t="s">
        <v>832</v>
      </c>
      <c r="D101" s="815"/>
      <c r="E101" s="816"/>
      <c r="F101" s="650" t="s">
        <v>412</v>
      </c>
      <c r="G101" s="817">
        <v>128917.64</v>
      </c>
      <c r="H101" s="729">
        <v>54000</v>
      </c>
      <c r="I101" s="729">
        <f>130000-H101</f>
        <v>76000</v>
      </c>
      <c r="J101" s="729">
        <f t="shared" si="2"/>
        <v>130000</v>
      </c>
      <c r="K101" s="729">
        <v>423000</v>
      </c>
    </row>
    <row r="102" spans="1:12" ht="18" customHeight="1">
      <c r="A102" s="813"/>
      <c r="B102" s="650"/>
      <c r="C102" s="814" t="s">
        <v>833</v>
      </c>
      <c r="D102" s="815"/>
      <c r="E102" s="816"/>
      <c r="F102" s="650" t="s">
        <v>413</v>
      </c>
      <c r="G102" s="817">
        <v>284467</v>
      </c>
      <c r="H102" s="729">
        <v>108000</v>
      </c>
      <c r="I102" s="729">
        <f>300000-H102</f>
        <v>192000</v>
      </c>
      <c r="J102" s="729">
        <f t="shared" si="2"/>
        <v>300000</v>
      </c>
      <c r="K102" s="729">
        <v>486000</v>
      </c>
    </row>
    <row r="103" spans="1:12" ht="18" customHeight="1">
      <c r="A103" s="813"/>
      <c r="B103" s="650"/>
      <c r="C103" s="814" t="s">
        <v>834</v>
      </c>
      <c r="D103" s="815"/>
      <c r="E103" s="816"/>
      <c r="F103" s="650" t="s">
        <v>414</v>
      </c>
      <c r="G103" s="817">
        <f>160645.42+33900</f>
        <v>194545.42</v>
      </c>
      <c r="H103" s="729">
        <v>74915</v>
      </c>
      <c r="I103" s="729">
        <f>902200-H103</f>
        <v>827285</v>
      </c>
      <c r="J103" s="729">
        <f t="shared" si="2"/>
        <v>902200</v>
      </c>
      <c r="K103" s="729">
        <v>671038.14</v>
      </c>
      <c r="L103" s="828"/>
    </row>
    <row r="104" spans="1:12" ht="18" customHeight="1">
      <c r="A104" s="813"/>
      <c r="B104" s="650"/>
      <c r="C104" s="814" t="s">
        <v>881</v>
      </c>
      <c r="D104" s="815"/>
      <c r="E104" s="816"/>
      <c r="F104" s="650" t="s">
        <v>415</v>
      </c>
      <c r="G104" s="817">
        <f>242510.64+99645+393443.33</f>
        <v>735598.97</v>
      </c>
      <c r="H104" s="729">
        <v>183267</v>
      </c>
      <c r="I104" s="729">
        <f>1650000-H104</f>
        <v>1466733</v>
      </c>
      <c r="J104" s="729">
        <f t="shared" si="2"/>
        <v>1650000</v>
      </c>
      <c r="K104" s="729">
        <v>2192438.14</v>
      </c>
    </row>
    <row r="105" spans="1:12" ht="18" customHeight="1">
      <c r="A105" s="813"/>
      <c r="B105" s="650"/>
      <c r="C105" s="814" t="s">
        <v>835</v>
      </c>
      <c r="D105" s="815"/>
      <c r="E105" s="816"/>
      <c r="F105" s="650" t="s">
        <v>33</v>
      </c>
      <c r="G105" s="817">
        <f>5692059+6385</f>
        <v>5698444</v>
      </c>
      <c r="H105" s="729">
        <v>3010960</v>
      </c>
      <c r="I105" s="729">
        <f>5000000-H105</f>
        <v>1989040</v>
      </c>
      <c r="J105" s="729">
        <f t="shared" si="2"/>
        <v>5000000</v>
      </c>
      <c r="K105" s="729">
        <v>5500000</v>
      </c>
    </row>
    <row r="106" spans="1:12" ht="18" customHeight="1">
      <c r="A106" s="813"/>
      <c r="B106" s="650"/>
      <c r="C106" s="814" t="s">
        <v>817</v>
      </c>
      <c r="D106" s="815"/>
      <c r="E106" s="816"/>
      <c r="F106" s="650">
        <v>6544</v>
      </c>
      <c r="G106" s="817">
        <v>5859678</v>
      </c>
      <c r="H106" s="729">
        <v>2998083</v>
      </c>
      <c r="I106" s="729">
        <f>6000000-H106</f>
        <v>3001917</v>
      </c>
      <c r="J106" s="729">
        <f t="shared" si="2"/>
        <v>6000000</v>
      </c>
      <c r="K106" s="729">
        <v>6000000</v>
      </c>
    </row>
    <row r="107" spans="1:12" ht="18" customHeight="1">
      <c r="A107" s="813"/>
      <c r="B107" s="650"/>
      <c r="C107" s="814" t="s">
        <v>942</v>
      </c>
      <c r="D107" s="815"/>
      <c r="E107" s="816"/>
      <c r="F107" s="650">
        <v>8821</v>
      </c>
      <c r="G107" s="817">
        <f>2794946.58+81443.41</f>
        <v>2876389.99</v>
      </c>
      <c r="H107" s="729">
        <v>1378826.81</v>
      </c>
      <c r="I107" s="729">
        <f>3500000-H107</f>
        <v>2121173.19</v>
      </c>
      <c r="J107" s="729">
        <f t="shared" si="2"/>
        <v>3500000</v>
      </c>
      <c r="K107" s="729">
        <v>3500000</v>
      </c>
    </row>
    <row r="108" spans="1:12" ht="18" customHeight="1">
      <c r="A108" s="813"/>
      <c r="B108" s="650"/>
      <c r="C108" s="814" t="s">
        <v>818</v>
      </c>
      <c r="D108" s="815"/>
      <c r="E108" s="816"/>
      <c r="F108" s="650">
        <v>8801</v>
      </c>
      <c r="G108" s="817">
        <v>56307.48</v>
      </c>
      <c r="H108" s="729">
        <v>47950</v>
      </c>
      <c r="I108" s="729">
        <f>500000-H108</f>
        <v>452050</v>
      </c>
      <c r="J108" s="729">
        <f t="shared" si="2"/>
        <v>500000</v>
      </c>
      <c r="K108" s="729">
        <v>1000000</v>
      </c>
    </row>
    <row r="109" spans="1:12" ht="18" customHeight="1">
      <c r="A109" s="813"/>
      <c r="B109" s="650"/>
      <c r="C109" s="814" t="s">
        <v>839</v>
      </c>
      <c r="D109" s="815"/>
      <c r="E109" s="816"/>
      <c r="F109" s="650">
        <v>8771</v>
      </c>
      <c r="G109" s="817">
        <v>558119.94999999995</v>
      </c>
      <c r="H109" s="729">
        <v>354472.82</v>
      </c>
      <c r="I109" s="729">
        <f>1050000-H109</f>
        <v>695527.17999999993</v>
      </c>
      <c r="J109" s="729">
        <f t="shared" si="2"/>
        <v>1050000</v>
      </c>
      <c r="K109" s="729">
        <v>1050000</v>
      </c>
    </row>
    <row r="110" spans="1:12" ht="18" customHeight="1">
      <c r="A110" s="813"/>
      <c r="B110" s="650"/>
      <c r="C110" s="814" t="s">
        <v>377</v>
      </c>
      <c r="D110" s="815"/>
      <c r="E110" s="816"/>
      <c r="F110" s="650">
        <v>8781</v>
      </c>
      <c r="G110" s="817">
        <f>3596208.2+2233</f>
        <v>3598441.2</v>
      </c>
      <c r="H110" s="729">
        <v>1515216.34</v>
      </c>
      <c r="I110" s="729">
        <f>3800000-H110</f>
        <v>2284783.66</v>
      </c>
      <c r="J110" s="729">
        <f t="shared" si="2"/>
        <v>3800000</v>
      </c>
      <c r="K110" s="729">
        <v>5700000</v>
      </c>
    </row>
    <row r="111" spans="1:12" ht="18" customHeight="1">
      <c r="A111" s="813"/>
      <c r="B111" s="650"/>
      <c r="C111" s="814" t="s">
        <v>840</v>
      </c>
      <c r="D111" s="815"/>
      <c r="E111" s="816"/>
      <c r="F111" s="650">
        <v>8791</v>
      </c>
      <c r="G111" s="817">
        <v>591927.32999999996</v>
      </c>
      <c r="H111" s="729">
        <v>266629.99</v>
      </c>
      <c r="I111" s="729">
        <f>700000-H111</f>
        <v>433370.01</v>
      </c>
      <c r="J111" s="729">
        <f t="shared" si="2"/>
        <v>700000</v>
      </c>
      <c r="K111" s="729">
        <v>700000</v>
      </c>
    </row>
    <row r="112" spans="1:12" ht="18" customHeight="1">
      <c r="A112" s="813"/>
      <c r="B112" s="650"/>
      <c r="C112" s="814" t="s">
        <v>819</v>
      </c>
      <c r="D112" s="815"/>
      <c r="E112" s="816"/>
      <c r="F112" s="650" t="s">
        <v>34</v>
      </c>
      <c r="G112" s="817">
        <v>464503.45</v>
      </c>
      <c r="H112" s="729">
        <v>69067.990000000005</v>
      </c>
      <c r="I112" s="729">
        <f>500000-H112</f>
        <v>430932.01</v>
      </c>
      <c r="J112" s="729">
        <f t="shared" si="2"/>
        <v>500000</v>
      </c>
      <c r="K112" s="729">
        <v>500000</v>
      </c>
    </row>
    <row r="113" spans="1:11" ht="18" customHeight="1">
      <c r="A113" s="813"/>
      <c r="B113" s="650"/>
      <c r="C113" s="814" t="s">
        <v>820</v>
      </c>
      <c r="D113" s="815"/>
      <c r="E113" s="816"/>
      <c r="F113" s="650" t="s">
        <v>35</v>
      </c>
      <c r="G113" s="817">
        <v>0</v>
      </c>
      <c r="H113" s="729">
        <v>0</v>
      </c>
      <c r="I113" s="729">
        <f>600000-H113</f>
        <v>600000</v>
      </c>
      <c r="J113" s="729">
        <f t="shared" si="2"/>
        <v>600000</v>
      </c>
      <c r="K113" s="729">
        <v>600000</v>
      </c>
    </row>
    <row r="114" spans="1:11" ht="18" customHeight="1">
      <c r="A114" s="813"/>
      <c r="B114" s="650"/>
      <c r="C114" s="814" t="s">
        <v>885</v>
      </c>
      <c r="D114" s="815"/>
      <c r="E114" s="816"/>
      <c r="F114" s="650" t="s">
        <v>886</v>
      </c>
      <c r="G114" s="817">
        <v>0</v>
      </c>
      <c r="H114" s="729">
        <v>0</v>
      </c>
      <c r="I114" s="729">
        <f>120000-H114</f>
        <v>120000</v>
      </c>
      <c r="J114" s="729">
        <f t="shared" si="2"/>
        <v>120000</v>
      </c>
      <c r="K114" s="729">
        <v>120000</v>
      </c>
    </row>
    <row r="115" spans="1:11" ht="18" customHeight="1">
      <c r="A115" s="813"/>
      <c r="B115" s="650"/>
      <c r="C115" s="814" t="s">
        <v>826</v>
      </c>
      <c r="D115" s="815"/>
      <c r="E115" s="816"/>
      <c r="F115" s="650" t="s">
        <v>416</v>
      </c>
      <c r="G115" s="817">
        <v>0</v>
      </c>
      <c r="H115" s="729">
        <v>0</v>
      </c>
      <c r="I115" s="729">
        <f>800000-H115</f>
        <v>800000</v>
      </c>
      <c r="J115" s="729">
        <f t="shared" si="2"/>
        <v>800000</v>
      </c>
      <c r="K115" s="729">
        <v>800000</v>
      </c>
    </row>
    <row r="116" spans="1:11" ht="18" customHeight="1">
      <c r="A116" s="813"/>
      <c r="B116" s="650"/>
      <c r="C116" s="814" t="s">
        <v>836</v>
      </c>
      <c r="D116" s="815"/>
      <c r="E116" s="816"/>
      <c r="F116" s="650" t="s">
        <v>36</v>
      </c>
      <c r="G116" s="817">
        <f>336683+58877</f>
        <v>395560</v>
      </c>
      <c r="H116" s="729">
        <v>14990</v>
      </c>
      <c r="I116" s="729">
        <f>400000-H116</f>
        <v>385010</v>
      </c>
      <c r="J116" s="729">
        <f t="shared" si="2"/>
        <v>400000</v>
      </c>
      <c r="K116" s="729">
        <v>400000</v>
      </c>
    </row>
    <row r="117" spans="1:11" ht="18" customHeight="1">
      <c r="A117" s="813"/>
      <c r="B117" s="650"/>
      <c r="C117" s="814" t="s">
        <v>827</v>
      </c>
      <c r="D117" s="815"/>
      <c r="E117" s="816"/>
      <c r="F117" s="650" t="s">
        <v>37</v>
      </c>
      <c r="G117" s="817">
        <v>0</v>
      </c>
      <c r="H117" s="729">
        <v>0</v>
      </c>
      <c r="I117" s="729">
        <f>120000-H117</f>
        <v>120000</v>
      </c>
      <c r="J117" s="729">
        <f t="shared" si="2"/>
        <v>120000</v>
      </c>
      <c r="K117" s="729">
        <v>120000</v>
      </c>
    </row>
    <row r="118" spans="1:11" ht="18" customHeight="1">
      <c r="A118" s="813"/>
      <c r="B118" s="650"/>
      <c r="C118" s="814" t="s">
        <v>828</v>
      </c>
      <c r="D118" s="815"/>
      <c r="E118" s="816"/>
      <c r="F118" s="650" t="s">
        <v>38</v>
      </c>
      <c r="G118" s="817">
        <f>168498+123930</f>
        <v>292428</v>
      </c>
      <c r="H118" s="729">
        <v>0</v>
      </c>
      <c r="I118" s="729">
        <f>300000-H118</f>
        <v>300000</v>
      </c>
      <c r="J118" s="729">
        <f t="shared" si="2"/>
        <v>300000</v>
      </c>
      <c r="K118" s="729">
        <v>300000</v>
      </c>
    </row>
    <row r="119" spans="1:11" ht="18" customHeight="1">
      <c r="A119" s="813"/>
      <c r="B119" s="650"/>
      <c r="C119" s="814" t="s">
        <v>829</v>
      </c>
      <c r="D119" s="815"/>
      <c r="E119" s="816"/>
      <c r="F119" s="650" t="s">
        <v>39</v>
      </c>
      <c r="G119" s="817">
        <f>332970+61364+119725</f>
        <v>514059</v>
      </c>
      <c r="H119" s="729">
        <f>162950+46490</f>
        <v>209440</v>
      </c>
      <c r="I119" s="729">
        <f>550000-H119</f>
        <v>340560</v>
      </c>
      <c r="J119" s="729">
        <f t="shared" si="2"/>
        <v>550000</v>
      </c>
      <c r="K119" s="729">
        <v>550000</v>
      </c>
    </row>
    <row r="120" spans="1:11" ht="18" customHeight="1">
      <c r="A120" s="813"/>
      <c r="B120" s="650"/>
      <c r="C120" s="814" t="s">
        <v>825</v>
      </c>
      <c r="D120" s="815"/>
      <c r="E120" s="816"/>
      <c r="F120" s="650" t="s">
        <v>40</v>
      </c>
      <c r="G120" s="817">
        <v>24000</v>
      </c>
      <c r="H120" s="729">
        <v>12000</v>
      </c>
      <c r="I120" s="729">
        <f>24000-H120</f>
        <v>12000</v>
      </c>
      <c r="J120" s="729">
        <f t="shared" si="2"/>
        <v>24000</v>
      </c>
      <c r="K120" s="729">
        <v>24000</v>
      </c>
    </row>
    <row r="121" spans="1:11" ht="18" customHeight="1">
      <c r="A121" s="813"/>
      <c r="B121" s="650"/>
      <c r="C121" s="814" t="s">
        <v>822</v>
      </c>
      <c r="D121" s="815"/>
      <c r="E121" s="816"/>
      <c r="F121" s="650" t="s">
        <v>41</v>
      </c>
      <c r="G121" s="817">
        <v>306966</v>
      </c>
      <c r="H121" s="729">
        <v>0</v>
      </c>
      <c r="I121" s="729">
        <f>400000-H121</f>
        <v>400000</v>
      </c>
      <c r="J121" s="729">
        <f t="shared" si="2"/>
        <v>400000</v>
      </c>
      <c r="K121" s="729">
        <v>500000</v>
      </c>
    </row>
    <row r="122" spans="1:11" ht="18" customHeight="1">
      <c r="A122" s="813"/>
      <c r="B122" s="650"/>
      <c r="C122" s="814" t="s">
        <v>823</v>
      </c>
      <c r="D122" s="815"/>
      <c r="E122" s="816"/>
      <c r="F122" s="650" t="s">
        <v>223</v>
      </c>
      <c r="G122" s="817">
        <f>132793+2400</f>
        <v>135193</v>
      </c>
      <c r="H122" s="729">
        <v>34746</v>
      </c>
      <c r="I122" s="729">
        <f>250000-H122</f>
        <v>215254</v>
      </c>
      <c r="J122" s="729">
        <f t="shared" si="2"/>
        <v>250000</v>
      </c>
      <c r="K122" s="729">
        <v>250000</v>
      </c>
    </row>
    <row r="123" spans="1:11" ht="18" customHeight="1">
      <c r="A123" s="813"/>
      <c r="B123" s="650"/>
      <c r="C123" s="814" t="s">
        <v>824</v>
      </c>
      <c r="D123" s="815"/>
      <c r="E123" s="816"/>
      <c r="F123" s="650" t="s">
        <v>224</v>
      </c>
      <c r="G123" s="817">
        <v>206694</v>
      </c>
      <c r="H123" s="729">
        <v>0</v>
      </c>
      <c r="I123" s="729">
        <f>250000-H123</f>
        <v>250000</v>
      </c>
      <c r="J123" s="729">
        <f t="shared" si="2"/>
        <v>250000</v>
      </c>
      <c r="K123" s="729">
        <v>250000</v>
      </c>
    </row>
    <row r="124" spans="1:11" ht="18" customHeight="1">
      <c r="A124" s="813"/>
      <c r="B124" s="650"/>
      <c r="C124" s="814" t="s">
        <v>876</v>
      </c>
      <c r="D124" s="815"/>
      <c r="E124" s="816"/>
      <c r="F124" s="650" t="s">
        <v>417</v>
      </c>
      <c r="G124" s="817">
        <f>1804635.98+175607</f>
        <v>1980242.98</v>
      </c>
      <c r="H124" s="729">
        <f>1708869.74</f>
        <v>1708869.74</v>
      </c>
      <c r="I124" s="729">
        <f>3250000-H124</f>
        <v>1541130.26</v>
      </c>
      <c r="J124" s="729">
        <f t="shared" si="2"/>
        <v>3250000</v>
      </c>
      <c r="K124" s="729">
        <v>2450000</v>
      </c>
    </row>
    <row r="125" spans="1:11" ht="18" customHeight="1">
      <c r="A125" s="813"/>
      <c r="B125" s="650"/>
      <c r="C125" s="814" t="s">
        <v>375</v>
      </c>
      <c r="D125" s="815"/>
      <c r="E125" s="816"/>
      <c r="F125" s="650" t="s">
        <v>418</v>
      </c>
      <c r="G125" s="817">
        <v>0</v>
      </c>
      <c r="H125" s="729">
        <v>110000</v>
      </c>
      <c r="I125" s="729">
        <f>110000-H125</f>
        <v>0</v>
      </c>
      <c r="J125" s="729">
        <f t="shared" si="2"/>
        <v>110000</v>
      </c>
      <c r="K125" s="729">
        <v>200000</v>
      </c>
    </row>
    <row r="126" spans="1:11" ht="18" customHeight="1">
      <c r="A126" s="813"/>
      <c r="B126" s="650"/>
      <c r="C126" s="814" t="s">
        <v>1645</v>
      </c>
      <c r="D126" s="815"/>
      <c r="E126" s="816"/>
      <c r="F126" s="650" t="s">
        <v>225</v>
      </c>
      <c r="G126" s="817">
        <v>0</v>
      </c>
      <c r="H126" s="729">
        <v>0</v>
      </c>
      <c r="I126" s="729">
        <f>1000000-H126</f>
        <v>1000000</v>
      </c>
      <c r="J126" s="729">
        <f t="shared" si="2"/>
        <v>1000000</v>
      </c>
      <c r="K126" s="729">
        <v>0</v>
      </c>
    </row>
    <row r="127" spans="1:11" ht="18" customHeight="1">
      <c r="A127" s="813"/>
      <c r="B127" s="650"/>
      <c r="C127" s="814" t="s">
        <v>1646</v>
      </c>
      <c r="D127" s="815"/>
      <c r="E127" s="816"/>
      <c r="F127" s="650" t="s">
        <v>261</v>
      </c>
      <c r="G127" s="817">
        <v>0</v>
      </c>
      <c r="H127" s="729">
        <v>0</v>
      </c>
      <c r="I127" s="729">
        <f>1000000-H127</f>
        <v>1000000</v>
      </c>
      <c r="J127" s="729">
        <f t="shared" si="2"/>
        <v>1000000</v>
      </c>
      <c r="K127" s="729">
        <v>0</v>
      </c>
    </row>
    <row r="128" spans="1:11" s="1024" customFormat="1" ht="32.25" customHeight="1">
      <c r="A128" s="1020"/>
      <c r="B128" s="1021"/>
      <c r="C128" s="1282" t="s">
        <v>1647</v>
      </c>
      <c r="D128" s="1283"/>
      <c r="E128" s="1284"/>
      <c r="F128" s="1021" t="s">
        <v>262</v>
      </c>
      <c r="G128" s="1022">
        <v>0</v>
      </c>
      <c r="H128" s="1023">
        <v>0</v>
      </c>
      <c r="I128" s="1023">
        <f>245000</f>
        <v>245000</v>
      </c>
      <c r="J128" s="1023">
        <f t="shared" si="2"/>
        <v>245000</v>
      </c>
      <c r="K128" s="1023">
        <v>0</v>
      </c>
    </row>
    <row r="129" spans="1:11" ht="18" customHeight="1">
      <c r="A129" s="813"/>
      <c r="B129" s="650"/>
      <c r="C129" s="814" t="s">
        <v>1648</v>
      </c>
      <c r="D129" s="814"/>
      <c r="E129" s="814"/>
      <c r="F129" s="650" t="s">
        <v>266</v>
      </c>
      <c r="G129" s="817">
        <v>0</v>
      </c>
      <c r="H129" s="729">
        <v>240622.75</v>
      </c>
      <c r="I129" s="729">
        <f>300000-H129</f>
        <v>59377.25</v>
      </c>
      <c r="J129" s="729">
        <f t="shared" si="2"/>
        <v>300000</v>
      </c>
      <c r="K129" s="729">
        <v>0</v>
      </c>
    </row>
    <row r="130" spans="1:11" s="1024" customFormat="1" ht="32.25" customHeight="1">
      <c r="A130" s="1020"/>
      <c r="B130" s="1021"/>
      <c r="C130" s="1282" t="s">
        <v>1649</v>
      </c>
      <c r="D130" s="1283"/>
      <c r="E130" s="1284"/>
      <c r="F130" s="1021" t="s">
        <v>962</v>
      </c>
      <c r="G130" s="1022">
        <v>0</v>
      </c>
      <c r="H130" s="1023">
        <v>199830</v>
      </c>
      <c r="I130" s="1023">
        <f>200000-H130</f>
        <v>170</v>
      </c>
      <c r="J130" s="1023">
        <f t="shared" si="2"/>
        <v>200000</v>
      </c>
      <c r="K130" s="1023">
        <v>0</v>
      </c>
    </row>
    <row r="131" spans="1:11" s="1024" customFormat="1" ht="32.25" customHeight="1">
      <c r="A131" s="1020"/>
      <c r="B131" s="1021"/>
      <c r="C131" s="1282" t="s">
        <v>1650</v>
      </c>
      <c r="D131" s="1283"/>
      <c r="E131" s="1284"/>
      <c r="F131" s="1021" t="s">
        <v>668</v>
      </c>
      <c r="G131" s="1022">
        <v>0</v>
      </c>
      <c r="H131" s="1023">
        <v>0</v>
      </c>
      <c r="I131" s="1023">
        <f>200000-H131</f>
        <v>200000</v>
      </c>
      <c r="J131" s="1023">
        <f t="shared" si="2"/>
        <v>200000</v>
      </c>
      <c r="K131" s="1023">
        <v>0</v>
      </c>
    </row>
    <row r="132" spans="1:11" ht="18" customHeight="1">
      <c r="A132" s="813"/>
      <c r="B132" s="650"/>
      <c r="C132" s="814" t="s">
        <v>1651</v>
      </c>
      <c r="D132" s="814"/>
      <c r="E132" s="814"/>
      <c r="F132" s="650" t="s">
        <v>669</v>
      </c>
      <c r="G132" s="817">
        <v>0</v>
      </c>
      <c r="H132" s="729">
        <v>199832</v>
      </c>
      <c r="I132" s="729">
        <f>200000-H132</f>
        <v>168</v>
      </c>
      <c r="J132" s="729">
        <f t="shared" si="2"/>
        <v>200000</v>
      </c>
      <c r="K132" s="729">
        <v>0</v>
      </c>
    </row>
    <row r="133" spans="1:11" s="1024" customFormat="1" ht="32.25" customHeight="1">
      <c r="A133" s="1020"/>
      <c r="B133" s="1021"/>
      <c r="C133" s="1282" t="s">
        <v>1652</v>
      </c>
      <c r="D133" s="1283"/>
      <c r="E133" s="1284"/>
      <c r="F133" s="1021" t="s">
        <v>670</v>
      </c>
      <c r="G133" s="1022">
        <v>0</v>
      </c>
      <c r="H133" s="1023">
        <v>199960</v>
      </c>
      <c r="I133" s="1023">
        <f>200000-H133</f>
        <v>40</v>
      </c>
      <c r="J133" s="1023">
        <f t="shared" si="2"/>
        <v>200000</v>
      </c>
      <c r="K133" s="1023">
        <v>0</v>
      </c>
    </row>
    <row r="134" spans="1:11" ht="18" customHeight="1">
      <c r="A134" s="813"/>
      <c r="B134" s="650"/>
      <c r="C134" s="814" t="s">
        <v>1653</v>
      </c>
      <c r="D134" s="814"/>
      <c r="E134" s="814"/>
      <c r="F134" s="650" t="s">
        <v>963</v>
      </c>
      <c r="G134" s="817">
        <v>0</v>
      </c>
      <c r="H134" s="729">
        <v>199748</v>
      </c>
      <c r="I134" s="729">
        <f>200000-H134</f>
        <v>252</v>
      </c>
      <c r="J134" s="729">
        <f t="shared" si="2"/>
        <v>200000</v>
      </c>
      <c r="K134" s="729">
        <v>0</v>
      </c>
    </row>
    <row r="135" spans="1:11" s="825" customFormat="1" ht="18" customHeight="1" thickBot="1">
      <c r="A135" s="869" t="s">
        <v>625</v>
      </c>
      <c r="B135" s="870"/>
      <c r="C135" s="871"/>
      <c r="D135" s="872"/>
      <c r="E135" s="873"/>
      <c r="F135" s="874"/>
      <c r="G135" s="875">
        <f>SUM(G95:G134)</f>
        <v>61669962.030000001</v>
      </c>
      <c r="H135" s="875">
        <f t="shared" ref="H135:I135" si="3">SUM(H104:H134)</f>
        <v>12954512.440000001</v>
      </c>
      <c r="I135" s="875">
        <f t="shared" si="3"/>
        <v>20464487.559999999</v>
      </c>
      <c r="J135" s="875">
        <f t="shared" ref="J135:K135" si="4">SUM(J95:J134)</f>
        <v>82776977.549999997</v>
      </c>
      <c r="K135" s="875">
        <f t="shared" si="4"/>
        <v>93849329.780000001</v>
      </c>
    </row>
    <row r="138" spans="1:11" ht="15.75">
      <c r="A138" s="1278" t="s">
        <v>1758</v>
      </c>
      <c r="B138" s="1278"/>
      <c r="C138" s="1278"/>
      <c r="D138" s="1278"/>
      <c r="E138" s="1278"/>
      <c r="F138" s="1278"/>
      <c r="G138" s="1278"/>
      <c r="H138" s="1278"/>
      <c r="I138" s="1278"/>
      <c r="J138" s="1278"/>
      <c r="K138" s="1278"/>
    </row>
    <row r="139" spans="1:11" ht="15.75">
      <c r="A139" s="1218"/>
      <c r="B139" s="1218"/>
      <c r="C139" s="1218"/>
      <c r="D139" s="1218"/>
      <c r="E139" s="1218"/>
      <c r="F139" s="1218"/>
      <c r="G139" s="1218"/>
      <c r="H139" s="1218"/>
      <c r="I139" s="1218"/>
      <c r="J139" s="1218"/>
      <c r="K139" s="1218"/>
    </row>
    <row r="140" spans="1:11" ht="15.75">
      <c r="A140" s="1218"/>
      <c r="B140" s="1218"/>
      <c r="C140" s="1218"/>
      <c r="D140" s="1218"/>
      <c r="E140" s="1218"/>
      <c r="F140" s="1218"/>
      <c r="G140" s="1218"/>
      <c r="H140" s="1218"/>
      <c r="I140" s="1218"/>
      <c r="J140" s="1218"/>
      <c r="K140" s="1218"/>
    </row>
    <row r="141" spans="1:11" ht="15.75">
      <c r="A141" s="1218"/>
      <c r="B141" s="1218"/>
      <c r="C141" s="1218"/>
      <c r="D141" s="1218"/>
      <c r="E141" s="1218"/>
      <c r="F141" s="1218"/>
      <c r="G141" s="1218"/>
      <c r="H141" s="1218"/>
      <c r="I141" s="1218"/>
      <c r="J141" s="1218"/>
      <c r="K141" s="1218"/>
    </row>
    <row r="142" spans="1:11" ht="15.75">
      <c r="A142" s="1218"/>
      <c r="B142" s="1218"/>
      <c r="C142" s="1218"/>
      <c r="D142" s="1218"/>
      <c r="E142" s="1218"/>
      <c r="F142" s="1218"/>
      <c r="G142" s="1218"/>
      <c r="H142" s="1218"/>
      <c r="I142" s="1218"/>
      <c r="J142" s="1218"/>
      <c r="K142" s="1218"/>
    </row>
    <row r="143" spans="1:11" ht="15.75">
      <c r="A143" s="1218"/>
      <c r="B143" s="1218"/>
      <c r="C143" s="1218"/>
      <c r="D143" s="1218"/>
      <c r="E143" s="1218"/>
      <c r="F143" s="1218"/>
      <c r="G143" s="1218"/>
      <c r="H143" s="1218"/>
      <c r="I143" s="1218"/>
      <c r="J143" s="1218"/>
      <c r="K143" s="1218"/>
    </row>
    <row r="145" spans="1:14" ht="18" customHeight="1">
      <c r="A145" s="1244" t="s">
        <v>1861</v>
      </c>
      <c r="B145" s="1244"/>
      <c r="C145" s="1244"/>
      <c r="D145" s="1244"/>
      <c r="E145" s="1244"/>
      <c r="F145" s="1244"/>
      <c r="G145" s="1244"/>
      <c r="H145" s="1244"/>
      <c r="I145" s="1244"/>
      <c r="J145" s="1244"/>
      <c r="K145" s="1244"/>
    </row>
    <row r="146" spans="1:14" ht="18" customHeight="1">
      <c r="A146" s="1108"/>
      <c r="B146" s="1108"/>
      <c r="C146" s="838"/>
      <c r="D146" s="838"/>
      <c r="E146" s="838"/>
      <c r="F146" s="1108"/>
      <c r="G146" s="1173"/>
      <c r="H146" s="1174"/>
      <c r="I146" s="1174"/>
      <c r="J146" s="1174"/>
      <c r="K146" s="1174"/>
    </row>
    <row r="147" spans="1:14" ht="18" customHeight="1">
      <c r="A147" s="1108"/>
      <c r="B147" s="1108"/>
      <c r="C147" s="838"/>
      <c r="D147" s="838"/>
      <c r="E147" s="838"/>
      <c r="F147" s="1108"/>
      <c r="G147" s="1173"/>
      <c r="H147" s="1174"/>
      <c r="I147" s="1174"/>
      <c r="J147" s="1174"/>
      <c r="K147" s="1174"/>
    </row>
    <row r="148" spans="1:14" ht="18" customHeight="1">
      <c r="A148" s="1108"/>
      <c r="B148" s="1108"/>
      <c r="C148" s="838"/>
      <c r="D148" s="838"/>
      <c r="E148" s="838"/>
      <c r="F148" s="1108"/>
      <c r="G148" s="1173"/>
      <c r="H148" s="1174"/>
      <c r="I148" s="1174"/>
      <c r="J148" s="1174"/>
      <c r="K148" s="1174"/>
    </row>
    <row r="149" spans="1:14" ht="18" customHeight="1">
      <c r="A149" s="1108"/>
      <c r="B149" s="1108"/>
      <c r="C149" s="838"/>
      <c r="D149" s="838"/>
      <c r="E149" s="838"/>
      <c r="F149" s="1108"/>
      <c r="G149" s="1173"/>
      <c r="H149" s="1174"/>
      <c r="I149" s="1174"/>
      <c r="J149" s="1174"/>
      <c r="K149" s="1174"/>
    </row>
    <row r="150" spans="1:14" ht="18" customHeight="1">
      <c r="A150" s="1108"/>
      <c r="B150" s="1108"/>
      <c r="C150" s="838"/>
      <c r="D150" s="838"/>
      <c r="E150" s="838"/>
      <c r="F150" s="1108"/>
      <c r="G150" s="1173"/>
      <c r="H150" s="1174"/>
      <c r="I150" s="1174"/>
      <c r="J150" s="1174"/>
      <c r="K150" s="1174"/>
    </row>
    <row r="151" spans="1:14" ht="18" customHeight="1">
      <c r="A151" s="1108"/>
      <c r="B151" s="1108"/>
      <c r="C151" s="838"/>
      <c r="D151" s="838"/>
      <c r="E151" s="838"/>
      <c r="F151" s="1108"/>
      <c r="G151" s="1173"/>
      <c r="H151" s="1174"/>
      <c r="I151" s="1174"/>
      <c r="J151" s="1174"/>
      <c r="K151" s="1174"/>
    </row>
    <row r="152" spans="1:14" s="1113" customFormat="1" ht="15">
      <c r="A152" s="1259" t="s">
        <v>883</v>
      </c>
      <c r="B152" s="1259"/>
      <c r="C152" s="1259"/>
      <c r="D152" s="1259"/>
      <c r="E152" s="1259"/>
      <c r="F152" s="1259"/>
      <c r="G152" s="1259"/>
      <c r="H152" s="1259"/>
      <c r="I152" s="1259"/>
      <c r="J152" s="1259"/>
      <c r="K152" s="1259"/>
      <c r="L152" s="1165"/>
      <c r="M152" s="1165"/>
      <c r="N152" s="1165"/>
    </row>
    <row r="153" spans="1:14" s="1113" customFormat="1" ht="15">
      <c r="A153" s="1259" t="s">
        <v>178</v>
      </c>
      <c r="B153" s="1259"/>
      <c r="C153" s="1259"/>
      <c r="D153" s="1259"/>
      <c r="E153" s="1259"/>
      <c r="F153" s="1259"/>
      <c r="G153" s="1259"/>
      <c r="H153" s="1259"/>
      <c r="I153" s="1259"/>
      <c r="J153" s="1259"/>
      <c r="K153" s="1259"/>
      <c r="L153" s="1165"/>
      <c r="M153" s="1165"/>
      <c r="N153" s="1165"/>
    </row>
    <row r="154" spans="1:14" s="1113" customFormat="1" ht="15">
      <c r="A154" s="1259" t="s">
        <v>1742</v>
      </c>
      <c r="B154" s="1259"/>
      <c r="C154" s="1259"/>
      <c r="D154" s="1259"/>
      <c r="E154" s="1259"/>
      <c r="F154" s="1259"/>
      <c r="G154" s="1259"/>
      <c r="H154" s="1259"/>
      <c r="I154" s="1259"/>
      <c r="J154" s="1259"/>
      <c r="K154" s="1259"/>
      <c r="L154" s="1165"/>
      <c r="M154" s="1165"/>
      <c r="N154" s="1165"/>
    </row>
    <row r="155" spans="1:14" s="1113" customFormat="1" ht="15">
      <c r="A155" s="1259"/>
      <c r="B155" s="1259"/>
      <c r="C155" s="1259"/>
      <c r="D155" s="1259"/>
      <c r="E155" s="1259"/>
      <c r="F155" s="1259"/>
      <c r="G155" s="1259"/>
      <c r="H155" s="1259"/>
      <c r="I155" s="1259"/>
      <c r="J155" s="1259"/>
      <c r="K155" s="1259"/>
      <c r="L155" s="1165"/>
      <c r="M155" s="1165"/>
      <c r="N155" s="1165"/>
    </row>
    <row r="156" spans="1:14" s="1113" customFormat="1" ht="15">
      <c r="A156" s="1145"/>
      <c r="B156" s="1145"/>
      <c r="C156" s="1145"/>
      <c r="D156" s="1145"/>
      <c r="E156" s="1145"/>
      <c r="F156" s="1145"/>
      <c r="G156" s="1145"/>
      <c r="H156" s="1145"/>
      <c r="I156" s="1145"/>
      <c r="J156" s="1145"/>
      <c r="K156" s="1145"/>
      <c r="L156" s="1145"/>
      <c r="M156" s="1145"/>
      <c r="N156" s="1165"/>
    </row>
    <row r="157" spans="1:14" s="1113" customFormat="1" ht="15">
      <c r="A157" s="1145"/>
      <c r="B157" s="1145"/>
      <c r="C157" s="1145"/>
      <c r="D157" s="1145"/>
      <c r="E157" s="1145"/>
      <c r="F157" s="1145"/>
      <c r="G157" s="1145"/>
      <c r="H157" s="1145"/>
      <c r="I157" s="1145"/>
      <c r="J157" s="1145"/>
      <c r="K157" s="1145"/>
      <c r="L157" s="1145"/>
      <c r="M157" s="1145"/>
      <c r="N157" s="1165"/>
    </row>
    <row r="158" spans="1:14" s="1113" customFormat="1" ht="18">
      <c r="A158" s="1232" t="s">
        <v>1743</v>
      </c>
      <c r="B158" s="1232"/>
      <c r="C158" s="1232"/>
      <c r="D158" s="1232"/>
      <c r="E158" s="1232"/>
      <c r="F158" s="1232"/>
      <c r="G158" s="1232"/>
      <c r="H158" s="1232"/>
      <c r="I158" s="1232"/>
      <c r="J158" s="1232"/>
      <c r="K158" s="1232"/>
      <c r="L158" s="1166"/>
      <c r="M158" s="1166"/>
      <c r="N158" s="1166"/>
    </row>
    <row r="159" spans="1:14" s="1113" customFormat="1" ht="15">
      <c r="A159" s="1234" t="s">
        <v>1820</v>
      </c>
      <c r="B159" s="1234"/>
      <c r="C159" s="1234"/>
      <c r="D159" s="1234"/>
      <c r="E159" s="1234"/>
      <c r="F159" s="1234"/>
      <c r="G159" s="1234"/>
      <c r="H159" s="1234"/>
      <c r="I159" s="1234"/>
      <c r="J159" s="1234"/>
      <c r="K159" s="1234"/>
      <c r="L159" s="1167"/>
      <c r="M159" s="1167"/>
      <c r="N159" s="1167"/>
    </row>
    <row r="160" spans="1:14" s="1113" customFormat="1" ht="15.75">
      <c r="A160" s="1113" t="s">
        <v>1824</v>
      </c>
      <c r="G160" s="1145"/>
      <c r="I160" s="1160"/>
      <c r="L160" s="1146"/>
      <c r="M160" s="1146"/>
    </row>
    <row r="161" spans="1:13" s="1113" customFormat="1" ht="15.75">
      <c r="A161" s="1113" t="s">
        <v>1776</v>
      </c>
      <c r="G161" s="1145"/>
      <c r="I161" s="1160"/>
      <c r="L161" s="1146"/>
      <c r="M161" s="1146"/>
    </row>
    <row r="162" spans="1:13" s="1113" customFormat="1" ht="16.5" thickBot="1">
      <c r="G162" s="1145"/>
      <c r="I162" s="1160"/>
      <c r="L162" s="1146"/>
      <c r="M162" s="1146"/>
    </row>
    <row r="163" spans="1:13" s="1113" customFormat="1" ht="15">
      <c r="A163" s="804"/>
      <c r="B163" s="626"/>
      <c r="C163" s="1100"/>
      <c r="D163" s="1101"/>
      <c r="E163" s="1102"/>
      <c r="F163" s="626"/>
      <c r="G163" s="626" t="s">
        <v>6</v>
      </c>
      <c r="H163" s="1246" t="s">
        <v>630</v>
      </c>
      <c r="I163" s="1247"/>
      <c r="J163" s="1248"/>
      <c r="K163" s="797" t="s">
        <v>7</v>
      </c>
      <c r="L163" s="1146"/>
      <c r="M163" s="1146"/>
    </row>
    <row r="164" spans="1:13" s="1113" customFormat="1" ht="15">
      <c r="A164" s="805" t="s">
        <v>837</v>
      </c>
      <c r="B164" s="628"/>
      <c r="C164" s="1109"/>
      <c r="D164" s="1099"/>
      <c r="E164" s="1110"/>
      <c r="F164" s="628"/>
      <c r="G164" s="633" t="s">
        <v>1878</v>
      </c>
      <c r="H164" s="628" t="s">
        <v>572</v>
      </c>
      <c r="I164" s="628" t="s">
        <v>573</v>
      </c>
      <c r="J164" s="633" t="s">
        <v>1629</v>
      </c>
      <c r="K164" s="635" t="s">
        <v>1674</v>
      </c>
      <c r="L164" s="1146"/>
      <c r="M164" s="1146"/>
    </row>
    <row r="165" spans="1:13" s="1113" customFormat="1" ht="15">
      <c r="A165" s="805" t="s">
        <v>838</v>
      </c>
      <c r="B165" s="628" t="s">
        <v>628</v>
      </c>
      <c r="C165" s="1237" t="s">
        <v>629</v>
      </c>
      <c r="D165" s="1238"/>
      <c r="E165" s="1239"/>
      <c r="F165" s="628"/>
      <c r="G165" s="628" t="s">
        <v>933</v>
      </c>
      <c r="H165" s="628" t="s">
        <v>571</v>
      </c>
      <c r="I165" s="628" t="s">
        <v>574</v>
      </c>
      <c r="J165" s="628" t="s">
        <v>933</v>
      </c>
      <c r="K165" s="630" t="s">
        <v>933</v>
      </c>
      <c r="L165" s="1146"/>
      <c r="M165" s="1146"/>
    </row>
    <row r="166" spans="1:13" s="1113" customFormat="1" ht="15">
      <c r="A166" s="805" t="s">
        <v>4</v>
      </c>
      <c r="B166" s="628"/>
      <c r="C166" s="1109"/>
      <c r="D166" s="1099"/>
      <c r="E166" s="1110"/>
      <c r="F166" s="628"/>
      <c r="G166" s="628" t="s">
        <v>571</v>
      </c>
      <c r="H166" s="628">
        <v>2021</v>
      </c>
      <c r="I166" s="628">
        <v>2021</v>
      </c>
      <c r="J166" s="628" t="s">
        <v>934</v>
      </c>
      <c r="K166" s="630" t="s">
        <v>576</v>
      </c>
      <c r="L166" s="1146"/>
      <c r="M166" s="1146"/>
    </row>
    <row r="167" spans="1:13" s="1113" customFormat="1" ht="15.75" thickBot="1">
      <c r="A167" s="806"/>
      <c r="B167" s="636"/>
      <c r="C167" s="1285"/>
      <c r="D167" s="1251"/>
      <c r="E167" s="1286"/>
      <c r="F167" s="636"/>
      <c r="G167" s="636"/>
      <c r="H167" s="636"/>
      <c r="I167" s="636"/>
      <c r="J167" s="636"/>
      <c r="K167" s="638"/>
      <c r="L167" s="1146"/>
      <c r="M167" s="1146"/>
    </row>
    <row r="168" spans="1:13" s="1024" customFormat="1" ht="32.25" customHeight="1">
      <c r="A168" s="1020"/>
      <c r="B168" s="1021"/>
      <c r="C168" s="1282" t="s">
        <v>1654</v>
      </c>
      <c r="D168" s="1283"/>
      <c r="E168" s="1284"/>
      <c r="F168" s="1021" t="s">
        <v>1496</v>
      </c>
      <c r="G168" s="1022">
        <v>0</v>
      </c>
      <c r="H168" s="1023">
        <v>0</v>
      </c>
      <c r="I168" s="1023">
        <f>100000-H168</f>
        <v>100000</v>
      </c>
      <c r="J168" s="1023">
        <f>I168+H168</f>
        <v>100000</v>
      </c>
      <c r="K168" s="1023">
        <v>0</v>
      </c>
    </row>
    <row r="169" spans="1:13" ht="32.25" customHeight="1">
      <c r="A169" s="813"/>
      <c r="B169" s="650"/>
      <c r="C169" s="1282" t="s">
        <v>1655</v>
      </c>
      <c r="D169" s="1283"/>
      <c r="E169" s="1284"/>
      <c r="F169" s="650" t="s">
        <v>1497</v>
      </c>
      <c r="G169" s="817">
        <v>0</v>
      </c>
      <c r="H169" s="729">
        <v>0</v>
      </c>
      <c r="I169" s="729">
        <f>200000-H169</f>
        <v>200000</v>
      </c>
      <c r="J169" s="729">
        <f>I169+H169</f>
        <v>200000</v>
      </c>
      <c r="K169" s="729">
        <v>0</v>
      </c>
    </row>
    <row r="170" spans="1:13" ht="32.25" customHeight="1">
      <c r="A170" s="813"/>
      <c r="B170" s="650"/>
      <c r="C170" s="1282" t="s">
        <v>1656</v>
      </c>
      <c r="D170" s="1283"/>
      <c r="E170" s="1284"/>
      <c r="F170" s="650" t="s">
        <v>1498</v>
      </c>
      <c r="G170" s="817">
        <v>0</v>
      </c>
      <c r="H170" s="729">
        <v>199960</v>
      </c>
      <c r="I170" s="729">
        <f>200000-H170</f>
        <v>40</v>
      </c>
      <c r="J170" s="729">
        <f>I170+H170</f>
        <v>200000</v>
      </c>
      <c r="K170" s="729">
        <v>0</v>
      </c>
    </row>
    <row r="171" spans="1:13" ht="18" customHeight="1">
      <c r="A171" s="650"/>
      <c r="B171" s="650"/>
      <c r="C171" s="1175" t="s">
        <v>1657</v>
      </c>
      <c r="D171" s="1175"/>
      <c r="E171" s="1175"/>
      <c r="F171" s="650" t="s">
        <v>1499</v>
      </c>
      <c r="G171" s="1176">
        <v>0</v>
      </c>
      <c r="H171" s="729">
        <v>0</v>
      </c>
      <c r="I171" s="729">
        <f>200000-H171</f>
        <v>200000</v>
      </c>
      <c r="J171" s="729">
        <f>I171+H171</f>
        <v>200000</v>
      </c>
      <c r="K171" s="729">
        <v>0</v>
      </c>
    </row>
    <row r="172" spans="1:13" ht="18" customHeight="1">
      <c r="A172" s="813"/>
      <c r="B172" s="650"/>
      <c r="C172" s="814" t="s">
        <v>1658</v>
      </c>
      <c r="D172" s="814"/>
      <c r="E172" s="814"/>
      <c r="F172" s="650" t="s">
        <v>1500</v>
      </c>
      <c r="G172" s="817">
        <v>0</v>
      </c>
      <c r="H172" s="729">
        <v>49000</v>
      </c>
      <c r="I172" s="729">
        <f>50000-H172</f>
        <v>1000</v>
      </c>
      <c r="J172" s="729">
        <f t="shared" ref="J172:J197" si="5">I172+H172</f>
        <v>50000</v>
      </c>
      <c r="K172" s="729">
        <v>0</v>
      </c>
    </row>
    <row r="173" spans="1:13" ht="36" customHeight="1">
      <c r="A173" s="813"/>
      <c r="B173" s="650"/>
      <c r="C173" s="1282" t="s">
        <v>1659</v>
      </c>
      <c r="D173" s="1283"/>
      <c r="E173" s="1284"/>
      <c r="F173" s="650" t="s">
        <v>1531</v>
      </c>
      <c r="G173" s="817">
        <v>0</v>
      </c>
      <c r="H173" s="729">
        <v>48972</v>
      </c>
      <c r="I173" s="729">
        <f>50000-H173</f>
        <v>1028</v>
      </c>
      <c r="J173" s="729">
        <f t="shared" si="5"/>
        <v>50000</v>
      </c>
      <c r="K173" s="729">
        <v>0</v>
      </c>
    </row>
    <row r="174" spans="1:13" ht="18" customHeight="1">
      <c r="A174" s="813"/>
      <c r="B174" s="650"/>
      <c r="C174" s="814" t="s">
        <v>1660</v>
      </c>
      <c r="D174" s="814"/>
      <c r="E174" s="814"/>
      <c r="F174" s="650" t="s">
        <v>1501</v>
      </c>
      <c r="G174" s="817">
        <v>0</v>
      </c>
      <c r="H174" s="729">
        <v>99500</v>
      </c>
      <c r="I174" s="729">
        <f>100000-H174</f>
        <v>500</v>
      </c>
      <c r="J174" s="729">
        <f t="shared" si="5"/>
        <v>100000</v>
      </c>
      <c r="K174" s="729">
        <v>0</v>
      </c>
    </row>
    <row r="175" spans="1:13" s="1024" customFormat="1" ht="32.25" customHeight="1">
      <c r="A175" s="1020"/>
      <c r="B175" s="1021"/>
      <c r="C175" s="1282" t="s">
        <v>1661</v>
      </c>
      <c r="D175" s="1283"/>
      <c r="E175" s="1284"/>
      <c r="F175" s="1021" t="s">
        <v>1532</v>
      </c>
      <c r="G175" s="1022">
        <v>0</v>
      </c>
      <c r="H175" s="1023">
        <v>0</v>
      </c>
      <c r="I175" s="1023">
        <f>600000-H175</f>
        <v>600000</v>
      </c>
      <c r="J175" s="1023">
        <f t="shared" si="5"/>
        <v>600000</v>
      </c>
      <c r="K175" s="1023">
        <v>0</v>
      </c>
    </row>
    <row r="176" spans="1:13" ht="24" customHeight="1">
      <c r="A176" s="818"/>
      <c r="B176" s="658"/>
      <c r="C176" s="814" t="s">
        <v>1516</v>
      </c>
      <c r="D176" s="815"/>
      <c r="E176" s="816"/>
      <c r="F176" s="650" t="s">
        <v>225</v>
      </c>
      <c r="G176" s="817">
        <v>0</v>
      </c>
      <c r="H176" s="823">
        <v>0</v>
      </c>
      <c r="I176" s="729">
        <v>0</v>
      </c>
      <c r="J176" s="1023">
        <f t="shared" si="5"/>
        <v>0</v>
      </c>
      <c r="K176" s="823">
        <v>0</v>
      </c>
    </row>
    <row r="177" spans="1:11" ht="24" customHeight="1">
      <c r="A177" s="818"/>
      <c r="B177" s="658"/>
      <c r="C177" s="814" t="s">
        <v>1517</v>
      </c>
      <c r="D177" s="815"/>
      <c r="E177" s="816"/>
      <c r="F177" s="650" t="s">
        <v>261</v>
      </c>
      <c r="G177" s="817">
        <v>999405.96</v>
      </c>
      <c r="H177" s="823">
        <v>0</v>
      </c>
      <c r="I177" s="729">
        <v>0</v>
      </c>
      <c r="J177" s="1023">
        <f t="shared" si="5"/>
        <v>0</v>
      </c>
      <c r="K177" s="823">
        <v>0</v>
      </c>
    </row>
    <row r="178" spans="1:11" ht="34.5" customHeight="1">
      <c r="A178" s="818"/>
      <c r="B178" s="658"/>
      <c r="C178" s="1282" t="s">
        <v>1518</v>
      </c>
      <c r="D178" s="1283"/>
      <c r="E178" s="1284"/>
      <c r="F178" s="1021" t="s">
        <v>262</v>
      </c>
      <c r="G178" s="1022">
        <v>89920</v>
      </c>
      <c r="H178" s="823">
        <v>0</v>
      </c>
      <c r="I178" s="729">
        <v>0</v>
      </c>
      <c r="J178" s="1023">
        <f t="shared" si="5"/>
        <v>0</v>
      </c>
      <c r="K178" s="823">
        <v>0</v>
      </c>
    </row>
    <row r="179" spans="1:11" ht="24" customHeight="1">
      <c r="A179" s="818"/>
      <c r="B179" s="658"/>
      <c r="C179" s="814" t="s">
        <v>1519</v>
      </c>
      <c r="D179" s="814"/>
      <c r="E179" s="814"/>
      <c r="F179" s="650" t="s">
        <v>266</v>
      </c>
      <c r="G179" s="817">
        <v>89920</v>
      </c>
      <c r="H179" s="823">
        <v>0</v>
      </c>
      <c r="I179" s="729">
        <v>0</v>
      </c>
      <c r="J179" s="1023">
        <f t="shared" si="5"/>
        <v>0</v>
      </c>
      <c r="K179" s="823">
        <v>0</v>
      </c>
    </row>
    <row r="180" spans="1:11" ht="24" customHeight="1">
      <c r="A180" s="818"/>
      <c r="B180" s="658"/>
      <c r="C180" s="1282" t="s">
        <v>1520</v>
      </c>
      <c r="D180" s="1283"/>
      <c r="E180" s="1284"/>
      <c r="F180" s="1021" t="s">
        <v>962</v>
      </c>
      <c r="G180" s="1022">
        <v>349506.46</v>
      </c>
      <c r="H180" s="823">
        <v>0</v>
      </c>
      <c r="I180" s="729">
        <v>0</v>
      </c>
      <c r="J180" s="1023">
        <f t="shared" si="5"/>
        <v>0</v>
      </c>
      <c r="K180" s="823">
        <v>0</v>
      </c>
    </row>
    <row r="181" spans="1:11" ht="32.25" customHeight="1">
      <c r="A181" s="818"/>
      <c r="B181" s="658"/>
      <c r="C181" s="1282" t="s">
        <v>1521</v>
      </c>
      <c r="D181" s="1283"/>
      <c r="E181" s="1284"/>
      <c r="F181" s="1021" t="s">
        <v>668</v>
      </c>
      <c r="G181" s="1022">
        <v>149830</v>
      </c>
      <c r="H181" s="823">
        <v>0</v>
      </c>
      <c r="I181" s="729">
        <v>0</v>
      </c>
      <c r="J181" s="1023">
        <f t="shared" si="5"/>
        <v>0</v>
      </c>
      <c r="K181" s="823">
        <v>0</v>
      </c>
    </row>
    <row r="182" spans="1:11" ht="18" customHeight="1">
      <c r="A182" s="818"/>
      <c r="B182" s="658"/>
      <c r="C182" s="814" t="s">
        <v>1522</v>
      </c>
      <c r="D182" s="814"/>
      <c r="E182" s="814"/>
      <c r="F182" s="650" t="s">
        <v>669</v>
      </c>
      <c r="G182" s="817">
        <v>199880</v>
      </c>
      <c r="H182" s="823">
        <v>0</v>
      </c>
      <c r="I182" s="729">
        <v>0</v>
      </c>
      <c r="J182" s="1023">
        <f t="shared" si="5"/>
        <v>0</v>
      </c>
      <c r="K182" s="823">
        <v>0</v>
      </c>
    </row>
    <row r="183" spans="1:11" ht="30" customHeight="1">
      <c r="A183" s="818"/>
      <c r="B183" s="658"/>
      <c r="C183" s="1282" t="s">
        <v>1523</v>
      </c>
      <c r="D183" s="1283"/>
      <c r="E183" s="1284"/>
      <c r="F183" s="1021" t="s">
        <v>670</v>
      </c>
      <c r="G183" s="1022">
        <v>399594.46</v>
      </c>
      <c r="H183" s="823">
        <v>0</v>
      </c>
      <c r="I183" s="729">
        <v>0</v>
      </c>
      <c r="J183" s="1023">
        <f t="shared" si="5"/>
        <v>0</v>
      </c>
      <c r="K183" s="823">
        <v>0</v>
      </c>
    </row>
    <row r="184" spans="1:11" ht="18" customHeight="1">
      <c r="A184" s="818"/>
      <c r="B184" s="658"/>
      <c r="C184" s="814" t="s">
        <v>1524</v>
      </c>
      <c r="D184" s="814"/>
      <c r="E184" s="814"/>
      <c r="F184" s="650" t="s">
        <v>963</v>
      </c>
      <c r="G184" s="817">
        <v>129890</v>
      </c>
      <c r="H184" s="823">
        <v>0</v>
      </c>
      <c r="I184" s="729">
        <v>0</v>
      </c>
      <c r="J184" s="1023">
        <f t="shared" si="5"/>
        <v>0</v>
      </c>
      <c r="K184" s="823">
        <v>0</v>
      </c>
    </row>
    <row r="185" spans="1:11" ht="34.5" customHeight="1">
      <c r="A185" s="818"/>
      <c r="B185" s="658"/>
      <c r="C185" s="1282" t="s">
        <v>1525</v>
      </c>
      <c r="D185" s="1283"/>
      <c r="E185" s="1284"/>
      <c r="F185" s="1021" t="s">
        <v>1496</v>
      </c>
      <c r="G185" s="1022">
        <v>149950</v>
      </c>
      <c r="H185" s="823">
        <v>0</v>
      </c>
      <c r="I185" s="729">
        <v>0</v>
      </c>
      <c r="J185" s="1023">
        <f t="shared" si="5"/>
        <v>0</v>
      </c>
      <c r="K185" s="823">
        <v>0</v>
      </c>
    </row>
    <row r="186" spans="1:11" ht="18" customHeight="1">
      <c r="A186" s="818"/>
      <c r="B186" s="658"/>
      <c r="C186" s="814" t="s">
        <v>1526</v>
      </c>
      <c r="D186" s="814"/>
      <c r="E186" s="814"/>
      <c r="F186" s="650" t="s">
        <v>1497</v>
      </c>
      <c r="G186" s="817">
        <v>199630</v>
      </c>
      <c r="H186" s="823">
        <v>0</v>
      </c>
      <c r="I186" s="729">
        <v>0</v>
      </c>
      <c r="J186" s="1023">
        <f t="shared" si="5"/>
        <v>0</v>
      </c>
      <c r="K186" s="823">
        <v>0</v>
      </c>
    </row>
    <row r="187" spans="1:11" ht="18" customHeight="1">
      <c r="A187" s="818"/>
      <c r="B187" s="658"/>
      <c r="C187" s="814" t="s">
        <v>1527</v>
      </c>
      <c r="D187" s="814"/>
      <c r="E187" s="814"/>
      <c r="F187" s="650" t="s">
        <v>1498</v>
      </c>
      <c r="G187" s="817">
        <v>299577.48</v>
      </c>
      <c r="H187" s="823">
        <v>0</v>
      </c>
      <c r="I187" s="729">
        <v>0</v>
      </c>
      <c r="J187" s="1023">
        <f t="shared" si="5"/>
        <v>0</v>
      </c>
      <c r="K187" s="823">
        <v>0</v>
      </c>
    </row>
    <row r="188" spans="1:11" ht="18" customHeight="1">
      <c r="A188" s="818"/>
      <c r="B188" s="658"/>
      <c r="C188" s="814" t="s">
        <v>1528</v>
      </c>
      <c r="D188" s="814"/>
      <c r="E188" s="814"/>
      <c r="F188" s="650" t="s">
        <v>1499</v>
      </c>
      <c r="G188" s="817">
        <v>199889</v>
      </c>
      <c r="H188" s="823">
        <v>0</v>
      </c>
      <c r="I188" s="729">
        <v>0</v>
      </c>
      <c r="J188" s="1023">
        <f t="shared" si="5"/>
        <v>0</v>
      </c>
      <c r="K188" s="823">
        <v>0</v>
      </c>
    </row>
    <row r="189" spans="1:11" ht="18" customHeight="1">
      <c r="A189" s="818"/>
      <c r="B189" s="658"/>
      <c r="C189" s="814" t="s">
        <v>1529</v>
      </c>
      <c r="D189" s="814"/>
      <c r="E189" s="814"/>
      <c r="F189" s="650" t="s">
        <v>1500</v>
      </c>
      <c r="G189" s="817">
        <v>199985.28</v>
      </c>
      <c r="H189" s="823">
        <v>0</v>
      </c>
      <c r="I189" s="729">
        <v>0</v>
      </c>
      <c r="J189" s="1023">
        <f t="shared" si="5"/>
        <v>0</v>
      </c>
      <c r="K189" s="823">
        <v>0</v>
      </c>
    </row>
    <row r="190" spans="1:11" ht="18" customHeight="1">
      <c r="A190" s="818"/>
      <c r="B190" s="658"/>
      <c r="C190" s="814" t="s">
        <v>1632</v>
      </c>
      <c r="D190" s="814"/>
      <c r="E190" s="814"/>
      <c r="F190" s="650" t="s">
        <v>1531</v>
      </c>
      <c r="G190" s="817">
        <v>49964</v>
      </c>
      <c r="H190" s="823">
        <v>0</v>
      </c>
      <c r="I190" s="729">
        <v>0</v>
      </c>
      <c r="J190" s="1023">
        <f t="shared" si="5"/>
        <v>0</v>
      </c>
      <c r="K190" s="823">
        <v>0</v>
      </c>
    </row>
    <row r="191" spans="1:11" ht="18" customHeight="1">
      <c r="A191" s="818"/>
      <c r="B191" s="658"/>
      <c r="C191" s="814" t="s">
        <v>1633</v>
      </c>
      <c r="D191" s="814"/>
      <c r="E191" s="814"/>
      <c r="F191" s="650" t="s">
        <v>1501</v>
      </c>
      <c r="G191" s="817">
        <v>149800</v>
      </c>
      <c r="H191" s="823">
        <v>0</v>
      </c>
      <c r="I191" s="729">
        <v>0</v>
      </c>
      <c r="J191" s="1023">
        <f t="shared" si="5"/>
        <v>0</v>
      </c>
      <c r="K191" s="823">
        <v>0</v>
      </c>
    </row>
    <row r="192" spans="1:11" ht="29.25" customHeight="1">
      <c r="A192" s="818"/>
      <c r="B192" s="658"/>
      <c r="C192" s="1282" t="s">
        <v>1634</v>
      </c>
      <c r="D192" s="1283"/>
      <c r="E192" s="1284"/>
      <c r="F192" s="1021" t="s">
        <v>1532</v>
      </c>
      <c r="G192" s="1022">
        <v>49950</v>
      </c>
      <c r="H192" s="823">
        <v>0</v>
      </c>
      <c r="I192" s="729">
        <v>0</v>
      </c>
      <c r="J192" s="1023">
        <f t="shared" si="5"/>
        <v>0</v>
      </c>
      <c r="K192" s="823">
        <v>0</v>
      </c>
    </row>
    <row r="193" spans="1:11" ht="18" customHeight="1">
      <c r="A193" s="818"/>
      <c r="B193" s="658"/>
      <c r="C193" s="814" t="s">
        <v>1635</v>
      </c>
      <c r="D193" s="814"/>
      <c r="E193" s="814"/>
      <c r="F193" s="650" t="s">
        <v>1533</v>
      </c>
      <c r="G193" s="817">
        <v>98000</v>
      </c>
      <c r="H193" s="823">
        <v>0</v>
      </c>
      <c r="I193" s="729">
        <v>0</v>
      </c>
      <c r="J193" s="1023">
        <f t="shared" si="5"/>
        <v>0</v>
      </c>
      <c r="K193" s="823">
        <v>0</v>
      </c>
    </row>
    <row r="194" spans="1:11" ht="18" customHeight="1">
      <c r="A194" s="818"/>
      <c r="B194" s="658"/>
      <c r="C194" s="814" t="s">
        <v>1636</v>
      </c>
      <c r="D194" s="814"/>
      <c r="E194" s="814"/>
      <c r="F194" s="650" t="s">
        <v>1534</v>
      </c>
      <c r="G194" s="817">
        <v>99890</v>
      </c>
      <c r="H194" s="823">
        <v>0</v>
      </c>
      <c r="I194" s="729">
        <v>0</v>
      </c>
      <c r="J194" s="1023">
        <f t="shared" si="5"/>
        <v>0</v>
      </c>
      <c r="K194" s="823">
        <v>0</v>
      </c>
    </row>
    <row r="195" spans="1:11" ht="18" customHeight="1">
      <c r="A195" s="818"/>
      <c r="B195" s="658"/>
      <c r="C195" s="814" t="s">
        <v>1637</v>
      </c>
      <c r="D195" s="814"/>
      <c r="E195" s="814"/>
      <c r="F195" s="650" t="s">
        <v>1535</v>
      </c>
      <c r="G195" s="817">
        <v>0</v>
      </c>
      <c r="H195" s="823">
        <v>0</v>
      </c>
      <c r="I195" s="729">
        <v>0</v>
      </c>
      <c r="J195" s="1023">
        <f t="shared" si="5"/>
        <v>0</v>
      </c>
      <c r="K195" s="823">
        <v>0</v>
      </c>
    </row>
    <row r="196" spans="1:11" ht="18" customHeight="1">
      <c r="A196" s="818"/>
      <c r="B196" s="658"/>
      <c r="C196" s="814" t="s">
        <v>1638</v>
      </c>
      <c r="D196" s="814"/>
      <c r="E196" s="814"/>
      <c r="F196" s="650" t="s">
        <v>1536</v>
      </c>
      <c r="G196" s="822">
        <v>199851</v>
      </c>
      <c r="H196" s="823">
        <v>0</v>
      </c>
      <c r="I196" s="729">
        <v>0</v>
      </c>
      <c r="J196" s="1023">
        <f t="shared" si="5"/>
        <v>0</v>
      </c>
      <c r="K196" s="823">
        <v>0</v>
      </c>
    </row>
    <row r="197" spans="1:11" ht="35.25" customHeight="1">
      <c r="A197" s="818"/>
      <c r="B197" s="658"/>
      <c r="C197" s="1282" t="s">
        <v>1639</v>
      </c>
      <c r="D197" s="1283"/>
      <c r="E197" s="1284"/>
      <c r="F197" s="1021" t="s">
        <v>1537</v>
      </c>
      <c r="G197" s="1022">
        <v>274756.45</v>
      </c>
      <c r="H197" s="823">
        <v>0</v>
      </c>
      <c r="I197" s="729">
        <v>0</v>
      </c>
      <c r="J197" s="1023">
        <f t="shared" si="5"/>
        <v>0</v>
      </c>
      <c r="K197" s="823">
        <v>0</v>
      </c>
    </row>
    <row r="198" spans="1:11" ht="18" customHeight="1" thickBot="1">
      <c r="A198" s="818"/>
      <c r="B198" s="658"/>
      <c r="C198" s="819"/>
      <c r="D198" s="820"/>
      <c r="E198" s="821"/>
      <c r="F198" s="658"/>
      <c r="G198" s="822"/>
      <c r="H198" s="823"/>
      <c r="I198" s="823"/>
      <c r="J198" s="823"/>
      <c r="K198" s="823"/>
    </row>
    <row r="199" spans="1:11" s="834" customFormat="1" ht="18" customHeight="1" thickBot="1">
      <c r="A199" s="829" t="s">
        <v>625</v>
      </c>
      <c r="B199" s="725"/>
      <c r="C199" s="830"/>
      <c r="D199" s="831"/>
      <c r="E199" s="832"/>
      <c r="F199" s="725"/>
      <c r="G199" s="833">
        <f>SUM(G168:G198)</f>
        <v>4379190.09</v>
      </c>
      <c r="H199" s="833">
        <f>SUM(H94:H198)</f>
        <v>47136942.539999992</v>
      </c>
      <c r="I199" s="833">
        <f>SUM(I94:I198)</f>
        <v>70563077.00999999</v>
      </c>
      <c r="J199" s="833">
        <f t="shared" ref="J199:K199" si="6">SUM(J168:J198)</f>
        <v>1500000</v>
      </c>
      <c r="K199" s="833">
        <f t="shared" si="6"/>
        <v>0</v>
      </c>
    </row>
    <row r="200" spans="1:11" ht="18" customHeight="1" thickBot="1">
      <c r="A200" s="835"/>
      <c r="B200" s="836"/>
      <c r="C200" s="837"/>
      <c r="D200" s="838"/>
      <c r="E200" s="839"/>
      <c r="F200" s="836"/>
      <c r="G200" s="1028"/>
      <c r="H200" s="1029"/>
      <c r="I200" s="1029"/>
      <c r="J200" s="1029"/>
      <c r="K200" s="1029"/>
    </row>
    <row r="201" spans="1:11" s="834" customFormat="1" ht="18" customHeight="1" thickBot="1">
      <c r="A201" s="840"/>
      <c r="B201" s="725"/>
      <c r="C201" s="841" t="s">
        <v>42</v>
      </c>
      <c r="D201" s="842"/>
      <c r="E201" s="843"/>
      <c r="F201" s="668"/>
      <c r="G201" s="844">
        <f>SUM(G199+G52+'LBP NO. 2'!I954+'LBP NO. 2'!I888+'LBP NO. 2'!I827+'LBP NO. 2'!I758+'LBP NO. 2'!I691+'LBP NO. 2'!I619+'LBP NO. 2'!I550+'LBP NO. 2'!I485+'LBP NO. 2'!I414+'LBP NO. 2'!I344+'LBP NO. 2'!I277+'LBP NO. 2'!I207+'LBP NO. 2'!I142+'LBP NO. 2'!I69+G135)</f>
        <v>162512901.66</v>
      </c>
      <c r="H201" s="844">
        <f>SUM(H199+H52+'LBP NO. 2'!J954+'LBP NO. 2'!J888+'LBP NO. 2'!J827+'LBP NO. 2'!J758+'LBP NO. 2'!J691+'LBP NO. 2'!J619+'LBP NO. 2'!J550+'LBP NO. 2'!J485+'LBP NO. 2'!J414+'LBP NO. 2'!J344+'LBP NO. 2'!J277+'LBP NO. 2'!J207+'LBP NO. 2'!J142+'LBP NO. 2'!J69)</f>
        <v>89932730.289999992</v>
      </c>
      <c r="I201" s="844">
        <f>SUM(I199+I52+'LBP NO. 2'!K954+'LBP NO. 2'!K888+'LBP NO. 2'!K827+'LBP NO. 2'!K758+'LBP NO. 2'!K691+'LBP NO. 2'!K619+'LBP NO. 2'!K550+'LBP NO. 2'!K485+'LBP NO. 2'!K414+'LBP NO. 2'!K344+'LBP NO. 2'!K277+'LBP NO. 2'!K207+'LBP NO. 2'!K142+'LBP NO. 2'!K69)</f>
        <v>130041121.36999999</v>
      </c>
      <c r="J201" s="844">
        <f>SUM(J199+J52+'LBP NO. 2'!L954+'LBP NO. 2'!L888+'LBP NO. 2'!L827+'LBP NO. 2'!L758+'LBP NO. 2'!L691+'LBP NO. 2'!L619+'LBP NO. 2'!L550+'LBP NO. 2'!L485+'LBP NO. 2'!L414+'LBP NO. 2'!L344+'LBP NO. 2'!L277+'LBP NO. 2'!L207+'LBP NO. 2'!L142+'LBP NO. 2'!L69+J135)</f>
        <v>186550809.66000003</v>
      </c>
      <c r="K201" s="844">
        <f>SUM(K199+K52+'LBP NO. 2'!M954+'LBP NO. 2'!M888+'LBP NO. 2'!M827+'LBP NO. 2'!M758+'LBP NO. 2'!M691+'LBP NO. 2'!M619+'LBP NO. 2'!M550+'LBP NO. 2'!M485+'LBP NO. 2'!M414+'LBP NO. 2'!M344+'LBP NO. 2'!M277+'LBP NO. 2'!M207+'LBP NO. 2'!M142+'LBP NO. 2'!M69+K135)</f>
        <v>231534335.78</v>
      </c>
    </row>
    <row r="202" spans="1:11" ht="18" customHeight="1">
      <c r="A202" s="619"/>
      <c r="B202" s="731"/>
      <c r="C202" s="731"/>
      <c r="D202" s="731"/>
      <c r="E202" s="731"/>
      <c r="F202" s="731"/>
      <c r="G202" s="731"/>
      <c r="H202" s="826"/>
      <c r="I202" s="826"/>
      <c r="J202" s="826"/>
      <c r="K202" s="826"/>
    </row>
    <row r="203" spans="1:11" ht="18" customHeight="1">
      <c r="A203" s="619"/>
      <c r="B203" s="731"/>
      <c r="C203" s="731"/>
      <c r="D203" s="731"/>
      <c r="E203" s="731"/>
      <c r="F203" s="731"/>
      <c r="G203" s="731"/>
      <c r="H203" s="826"/>
      <c r="I203" s="826"/>
      <c r="J203" s="826"/>
      <c r="K203" s="826"/>
    </row>
    <row r="204" spans="1:11" ht="18" customHeight="1">
      <c r="A204" s="619"/>
      <c r="B204" s="731"/>
      <c r="C204" s="731"/>
      <c r="D204" s="731"/>
      <c r="E204" s="731"/>
      <c r="F204" s="731"/>
      <c r="G204" s="731"/>
      <c r="H204" s="826"/>
      <c r="I204" s="826"/>
      <c r="J204" s="826"/>
      <c r="K204" s="826"/>
    </row>
    <row r="205" spans="1:11" ht="18" customHeight="1">
      <c r="A205" s="1278" t="s">
        <v>1758</v>
      </c>
      <c r="B205" s="1278"/>
      <c r="C205" s="1278"/>
      <c r="D205" s="1278"/>
      <c r="E205" s="1278"/>
      <c r="F205" s="1278"/>
      <c r="G205" s="1278"/>
      <c r="H205" s="1278"/>
      <c r="I205" s="1278"/>
      <c r="J205" s="1278"/>
      <c r="K205" s="1278"/>
    </row>
    <row r="206" spans="1:11" ht="18" customHeight="1">
      <c r="A206" s="1218"/>
      <c r="B206" s="1218"/>
      <c r="C206" s="1218"/>
      <c r="D206" s="1218"/>
      <c r="E206" s="1218"/>
      <c r="F206" s="1218"/>
      <c r="G206" s="1218"/>
      <c r="H206" s="1218"/>
      <c r="I206" s="1218"/>
      <c r="J206" s="1218"/>
      <c r="K206" s="1218"/>
    </row>
    <row r="207" spans="1:11" ht="18" customHeight="1">
      <c r="A207" s="619"/>
      <c r="B207" s="731"/>
      <c r="C207" s="731"/>
      <c r="D207" s="731"/>
      <c r="E207" s="731"/>
      <c r="F207" s="731"/>
      <c r="G207" s="731"/>
      <c r="H207" s="826"/>
      <c r="I207" s="826"/>
      <c r="J207" s="826"/>
      <c r="K207" s="826"/>
    </row>
    <row r="208" spans="1:11" ht="20.100000000000001" customHeight="1">
      <c r="A208" s="1244" t="s">
        <v>980</v>
      </c>
      <c r="B208" s="1244"/>
      <c r="C208" s="1244"/>
      <c r="D208" s="1244"/>
      <c r="E208" s="1244"/>
      <c r="F208" s="1244"/>
      <c r="G208" s="1244"/>
      <c r="H208" s="1244"/>
      <c r="I208" s="1244"/>
      <c r="J208" s="1244"/>
      <c r="K208" s="1244"/>
    </row>
    <row r="209" spans="1:13" ht="18" customHeight="1">
      <c r="A209" s="883"/>
      <c r="B209" s="883"/>
      <c r="C209" s="883"/>
      <c r="D209" s="800"/>
      <c r="E209" s="882"/>
      <c r="F209" s="882"/>
      <c r="G209" s="1026"/>
      <c r="H209" s="845"/>
      <c r="I209" s="883"/>
      <c r="J209" s="883"/>
      <c r="K209" s="883"/>
    </row>
    <row r="210" spans="1:13" ht="18" customHeight="1">
      <c r="A210" s="883"/>
      <c r="B210" s="883"/>
      <c r="C210" s="883"/>
      <c r="D210" s="800"/>
      <c r="E210" s="882"/>
      <c r="F210" s="882"/>
      <c r="G210" s="799"/>
      <c r="H210" s="799"/>
      <c r="I210" s="799"/>
      <c r="J210" s="799"/>
      <c r="K210" s="799"/>
    </row>
    <row r="211" spans="1:13" ht="18" customHeight="1">
      <c r="A211" s="883"/>
      <c r="B211" s="883"/>
      <c r="C211" s="883"/>
      <c r="D211" s="800"/>
      <c r="E211" s="882"/>
      <c r="F211" s="882"/>
      <c r="G211" s="1026"/>
      <c r="H211" s="845"/>
      <c r="I211" s="883"/>
      <c r="J211" s="883"/>
      <c r="K211" s="883"/>
    </row>
    <row r="212" spans="1:13" ht="18" customHeight="1">
      <c r="A212" s="883"/>
      <c r="B212" s="883"/>
      <c r="C212" s="883"/>
      <c r="D212" s="800"/>
      <c r="E212" s="882"/>
      <c r="F212" s="882"/>
      <c r="G212" s="1026"/>
      <c r="H212" s="845"/>
      <c r="I212" s="883"/>
      <c r="J212" s="883"/>
      <c r="K212" s="883"/>
    </row>
    <row r="213" spans="1:13" ht="18" customHeight="1">
      <c r="A213" s="883"/>
      <c r="B213" s="883"/>
      <c r="C213" s="883"/>
      <c r="D213" s="800"/>
      <c r="E213" s="882"/>
      <c r="F213" s="882"/>
      <c r="G213" s="1026"/>
      <c r="H213" s="845"/>
      <c r="I213" s="883"/>
      <c r="J213" s="883"/>
      <c r="K213" s="883"/>
    </row>
    <row r="214" spans="1:13" ht="18" customHeight="1">
      <c r="A214" s="883"/>
      <c r="B214" s="883"/>
      <c r="C214" s="883"/>
      <c r="D214" s="800"/>
      <c r="E214" s="882"/>
      <c r="F214" s="882"/>
      <c r="G214" s="1026"/>
      <c r="H214" s="845"/>
      <c r="I214" s="883"/>
      <c r="J214" s="883"/>
      <c r="K214" s="883"/>
    </row>
    <row r="215" spans="1:13" ht="18" customHeight="1">
      <c r="A215" s="883"/>
      <c r="B215" s="883"/>
      <c r="C215" s="883"/>
      <c r="D215" s="800"/>
      <c r="E215" s="882"/>
      <c r="F215" s="882"/>
      <c r="G215" s="1026"/>
      <c r="H215" s="845"/>
      <c r="I215" s="883"/>
      <c r="J215" s="883"/>
      <c r="K215" s="883"/>
    </row>
    <row r="216" spans="1:13" ht="18" customHeight="1">
      <c r="A216" s="883"/>
      <c r="B216" s="883"/>
      <c r="C216" s="883"/>
      <c r="D216" s="800"/>
      <c r="E216" s="882"/>
      <c r="F216" s="882"/>
      <c r="G216" s="1026"/>
      <c r="H216" s="845"/>
      <c r="I216" s="883"/>
      <c r="J216" s="883"/>
      <c r="K216" s="883"/>
    </row>
    <row r="217" spans="1:13" ht="18" customHeight="1">
      <c r="A217" s="883"/>
      <c r="B217" s="883"/>
      <c r="C217" s="883"/>
      <c r="D217" s="800"/>
      <c r="E217" s="882"/>
      <c r="F217" s="882"/>
      <c r="G217" s="1026"/>
      <c r="H217" s="845"/>
      <c r="I217" s="883"/>
      <c r="J217" s="883"/>
      <c r="K217" s="883"/>
    </row>
    <row r="218" spans="1:13" ht="20.100000000000001" customHeight="1">
      <c r="L218" s="827"/>
      <c r="M218" s="827"/>
    </row>
    <row r="232" spans="3:12" ht="15" customHeight="1">
      <c r="C232" s="1" t="s">
        <v>943</v>
      </c>
      <c r="G232" s="846">
        <f>G199+G52</f>
        <v>9641540.1899999995</v>
      </c>
      <c r="H232" s="846">
        <f>H199+H52</f>
        <v>49774254.069999993</v>
      </c>
      <c r="I232" s="846">
        <f>I199+I52</f>
        <v>75130471.479999989</v>
      </c>
      <c r="J232" s="846">
        <f>J199+J52</f>
        <v>8704706</v>
      </c>
      <c r="K232" s="846">
        <f>K199+K52</f>
        <v>8450651</v>
      </c>
    </row>
    <row r="234" spans="3:12" ht="15" customHeight="1">
      <c r="C234" s="847" t="s">
        <v>255</v>
      </c>
      <c r="D234" s="847"/>
      <c r="E234" s="847"/>
      <c r="F234" s="847"/>
      <c r="G234" s="848">
        <f>SUM(G199+G52+'LBP NO. 2'!I1034+'LBP NO. 2'!I954+'LBP NO. 2'!I888+'LBP NO. 2'!I827+'LBP NO. 2'!I758+'LBP NO. 2'!I691+'LBP NO. 2'!I619+'LBP NO. 2'!I550+'LBP NO. 2'!I485+'LBP NO. 2'!I414+'LBP NO. 2'!I344+'LBP NO. 2'!I277+'LBP NO. 2'!I207+'LBP NO. 2'!I142+'LBP NO. 2'!I69)</f>
        <v>112798838.53</v>
      </c>
      <c r="H234" s="848">
        <f>SUM(H199+H52+'LBP NO. 2'!J1034+'LBP NO. 2'!J954+'LBP NO. 2'!J888+'LBP NO. 2'!J827+'LBP NO. 2'!J758+'LBP NO. 2'!J691+'LBP NO. 2'!J619+'LBP NO. 2'!J550+'LBP NO. 2'!J485+'LBP NO. 2'!J414+'LBP NO. 2'!J344+'LBP NO. 2'!J277+'LBP NO. 2'!J207+'LBP NO. 2'!J142+'LBP NO. 2'!J69)</f>
        <v>95629549.99000001</v>
      </c>
      <c r="I234" s="848">
        <f>SUM(I199+I52+'LBP NO. 2'!K1034+'LBP NO. 2'!K954+'LBP NO. 2'!K888+'LBP NO. 2'!K827+'LBP NO. 2'!K758+'LBP NO. 2'!K691+'LBP NO. 2'!K619+'LBP NO. 2'!K550+'LBP NO. 2'!K485+'LBP NO. 2'!K414+'LBP NO. 2'!K344+'LBP NO. 2'!K277+'LBP NO. 2'!K207+'LBP NO. 2'!K142+'LBP NO. 2'!K69)</f>
        <v>136889841.55999997</v>
      </c>
      <c r="J234" s="848">
        <f>SUM(J199+J52+'LBP NO. 2'!L1034+'LBP NO. 2'!L954+'LBP NO. 2'!L888+'LBP NO. 2'!L827+'LBP NO. 2'!L758+'LBP NO. 2'!L691+'LBP NO. 2'!L619+'LBP NO. 2'!L550+'LBP NO. 2'!L485+'LBP NO. 2'!L414+'LBP NO. 2'!L344+'LBP NO. 2'!L277+'LBP NO. 2'!L207+'LBP NO. 2'!L142+'LBP NO. 2'!L69)</f>
        <v>116319372.00000003</v>
      </c>
      <c r="K234" s="848">
        <f>SUM(K199+K52+'LBP NO. 2'!M1034+'LBP NO. 2'!M954+'LBP NO. 2'!M888+'LBP NO. 2'!M827+'LBP NO. 2'!M758+'LBP NO. 2'!M691+'LBP NO. 2'!M619+'LBP NO. 2'!M550+'LBP NO. 2'!M485+'LBP NO. 2'!M414+'LBP NO. 2'!M344+'LBP NO. 2'!M277+'LBP NO. 2'!M207+'LBP NO. 2'!M142+'LBP NO. 2'!M69)</f>
        <v>146310006</v>
      </c>
      <c r="L234" s="828"/>
    </row>
    <row r="235" spans="3:12" ht="15" customHeight="1">
      <c r="G235" s="828">
        <f>G234-G201</f>
        <v>-49714063.129999995</v>
      </c>
      <c r="H235" s="828">
        <f>H234-H201</f>
        <v>5696819.7000000179</v>
      </c>
      <c r="I235" s="828">
        <f>I234-I201</f>
        <v>6848720.1899999827</v>
      </c>
      <c r="J235" s="828">
        <f>J234-J201</f>
        <v>-70231437.659999996</v>
      </c>
      <c r="K235" s="828">
        <f>K234-K201</f>
        <v>-85224329.780000001</v>
      </c>
    </row>
    <row r="236" spans="3:12">
      <c r="G236" s="1" t="s">
        <v>915</v>
      </c>
      <c r="H236" s="1" t="s">
        <v>915</v>
      </c>
      <c r="J236" s="1" t="s">
        <v>915</v>
      </c>
      <c r="K236" s="1" t="s">
        <v>915</v>
      </c>
    </row>
    <row r="237" spans="3:12">
      <c r="C237" s="1" t="s">
        <v>272</v>
      </c>
      <c r="G237" s="849">
        <f>'LBP NO. 2'!I1034</f>
        <v>11955898.9</v>
      </c>
      <c r="H237" s="849">
        <f>'[1]LBP NO. 2'!J1014</f>
        <v>5352438.5600000005</v>
      </c>
      <c r="I237" s="849">
        <f>'[1]LBP NO. 2'!K1014</f>
        <v>7381938.1799999997</v>
      </c>
      <c r="J237" s="849">
        <f>'[1]LBP NO. 2'!L1014</f>
        <v>12734376.74</v>
      </c>
      <c r="K237" s="849">
        <f>'[1]LBP NO. 2'!M1014</f>
        <v>12089057</v>
      </c>
    </row>
    <row r="238" spans="3:12" ht="15" customHeight="1">
      <c r="G238" s="828"/>
    </row>
    <row r="239" spans="3:12" ht="15" customHeight="1">
      <c r="G239" s="828">
        <f>G237+G234</f>
        <v>124754737.43000001</v>
      </c>
      <c r="I239" s="828"/>
      <c r="K239" s="828">
        <f>K234+11136316</f>
        <v>157446322</v>
      </c>
    </row>
    <row r="240" spans="3:12" ht="15" customHeight="1"/>
    <row r="241" spans="7:11" ht="15" customHeight="1">
      <c r="G241" s="850"/>
    </row>
    <row r="242" spans="7:11" s="850" customFormat="1" ht="15" customHeight="1">
      <c r="G242" s="850">
        <f>123395619.78+10210922.66</f>
        <v>133606542.44</v>
      </c>
      <c r="H242" s="850">
        <f>51581180.59+4965293.34</f>
        <v>56546473.930000007</v>
      </c>
      <c r="J242" s="850">
        <f>146336929.48+11484951</f>
        <v>157821880.47999999</v>
      </c>
      <c r="K242" s="850">
        <f>164303975.25+12544271</f>
        <v>176848246.25</v>
      </c>
    </row>
    <row r="243" spans="7:11" ht="15" customHeight="1">
      <c r="G243" s="828">
        <f>G234-G242</f>
        <v>-20807703.909999996</v>
      </c>
      <c r="H243" s="828">
        <f t="shared" ref="H243:J243" si="7">H234-H242</f>
        <v>39083076.060000002</v>
      </c>
      <c r="I243" s="828">
        <f t="shared" si="7"/>
        <v>136889841.55999997</v>
      </c>
      <c r="J243" s="828">
        <f t="shared" si="7"/>
        <v>-41502508.479999959</v>
      </c>
      <c r="K243" s="828">
        <f>K234-K242</f>
        <v>-30538240.25</v>
      </c>
    </row>
    <row r="244" spans="7:11" ht="15" customHeight="1">
      <c r="K244" s="828"/>
    </row>
    <row r="245" spans="7:11" ht="15" customHeight="1">
      <c r="H245" s="1" t="s">
        <v>915</v>
      </c>
    </row>
    <row r="246" spans="7:11" ht="15" customHeight="1">
      <c r="G246" s="850">
        <v>145366136.61000001</v>
      </c>
      <c r="H246" s="850">
        <v>67622960.769999996</v>
      </c>
      <c r="I246" s="850">
        <f>191561271.2-H246</f>
        <v>123938310.42999999</v>
      </c>
      <c r="J246" s="850">
        <v>191561271.19999999</v>
      </c>
      <c r="K246" s="850">
        <v>185905498</v>
      </c>
    </row>
    <row r="247" spans="7:11" ht="15" customHeight="1">
      <c r="G247" s="828">
        <f>G234-G246</f>
        <v>-32567298.080000013</v>
      </c>
      <c r="H247" s="828">
        <f t="shared" ref="H247:J247" si="8">H234-H246</f>
        <v>28006589.220000014</v>
      </c>
      <c r="I247" s="828">
        <f t="shared" si="8"/>
        <v>12951531.12999998</v>
      </c>
      <c r="J247" s="828">
        <f t="shared" si="8"/>
        <v>-75241899.199999958</v>
      </c>
      <c r="K247" s="828">
        <f>K234-K246</f>
        <v>-39595492</v>
      </c>
    </row>
    <row r="248" spans="7:11" ht="15" customHeight="1"/>
    <row r="249" spans="7:11" ht="15" customHeight="1">
      <c r="I249" s="828"/>
    </row>
    <row r="250" spans="7:11" ht="15" customHeight="1"/>
    <row r="251" spans="7:11" ht="15" customHeight="1"/>
    <row r="252" spans="7:11" ht="15" customHeight="1"/>
    <row r="253" spans="7:11" ht="15" customHeight="1"/>
    <row r="254" spans="7:11" ht="15" customHeight="1"/>
    <row r="255" spans="7:11" ht="15" customHeight="1"/>
    <row r="256" spans="7:11" ht="15" customHeight="1"/>
    <row r="257" ht="15" customHeight="1"/>
    <row r="258" ht="15" customHeight="1"/>
    <row r="259" ht="15" customHeight="1"/>
    <row r="260" ht="15" customHeight="1"/>
    <row r="261" ht="15" customHeight="1"/>
    <row r="262" ht="15" customHeight="1"/>
    <row r="263" ht="15" customHeight="1"/>
    <row r="264" ht="15" customHeight="1"/>
    <row r="265" ht="15" customHeight="1"/>
  </sheetData>
  <sheetProtection password="C1B6" sheet="1" objects="1" scenarios="1"/>
  <mergeCells count="50">
    <mergeCell ref="A205:K205"/>
    <mergeCell ref="A85:K85"/>
    <mergeCell ref="A152:K152"/>
    <mergeCell ref="A153:K153"/>
    <mergeCell ref="A154:K154"/>
    <mergeCell ref="A155:K155"/>
    <mergeCell ref="A145:K145"/>
    <mergeCell ref="A138:K138"/>
    <mergeCell ref="C133:E133"/>
    <mergeCell ref="C175:E175"/>
    <mergeCell ref="C128:E128"/>
    <mergeCell ref="C130:E130"/>
    <mergeCell ref="C131:E131"/>
    <mergeCell ref="C168:E168"/>
    <mergeCell ref="H163:J163"/>
    <mergeCell ref="C165:E165"/>
    <mergeCell ref="A9:K9"/>
    <mergeCell ref="A79:K79"/>
    <mergeCell ref="A80:K80"/>
    <mergeCell ref="A81:K81"/>
    <mergeCell ref="A84:K84"/>
    <mergeCell ref="A54:K54"/>
    <mergeCell ref="A76:K76"/>
    <mergeCell ref="A2:K2"/>
    <mergeCell ref="A3:K3"/>
    <mergeCell ref="A4:K4"/>
    <mergeCell ref="A5:K5"/>
    <mergeCell ref="A8:K8"/>
    <mergeCell ref="A208:K208"/>
    <mergeCell ref="A15:K15"/>
    <mergeCell ref="H16:J16"/>
    <mergeCell ref="H89:J89"/>
    <mergeCell ref="A78:K78"/>
    <mergeCell ref="C18:E18"/>
    <mergeCell ref="C20:E20"/>
    <mergeCell ref="C91:E91"/>
    <mergeCell ref="C93:E93"/>
    <mergeCell ref="C178:E178"/>
    <mergeCell ref="C180:E180"/>
    <mergeCell ref="C169:E169"/>
    <mergeCell ref="C170:E170"/>
    <mergeCell ref="C173:E173"/>
    <mergeCell ref="A158:K158"/>
    <mergeCell ref="A159:K159"/>
    <mergeCell ref="C197:E197"/>
    <mergeCell ref="C167:E167"/>
    <mergeCell ref="C181:E181"/>
    <mergeCell ref="C183:E183"/>
    <mergeCell ref="C185:E185"/>
    <mergeCell ref="C192:E192"/>
  </mergeCells>
  <printOptions horizontalCentered="1"/>
  <pageMargins left="0.5" right="0" top="0.5" bottom="0" header="0.5" footer="0"/>
  <pageSetup paperSize="256" scale="75" orientation="portrait" r:id="rId1"/>
  <headerFooter alignWithMargins="0">
    <oddFooter xml:space="preserve">&amp;C&amp;"Times New Roman,Bold"&amp;14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4" workbookViewId="0">
      <selection activeCell="M17" sqref="M17"/>
    </sheetView>
  </sheetViews>
  <sheetFormatPr defaultRowHeight="15.75"/>
  <cols>
    <col min="1" max="1" width="2.28515625" style="272" customWidth="1"/>
    <col min="2" max="2" width="1.140625" style="272" customWidth="1"/>
    <col min="3" max="3" width="15.85546875" style="272" customWidth="1"/>
    <col min="4" max="4" width="12.85546875" style="272" customWidth="1"/>
    <col min="5" max="5" width="17.28515625" style="272" customWidth="1"/>
    <col min="6" max="6" width="15.28515625" style="272" customWidth="1"/>
    <col min="7" max="7" width="15.7109375" style="272" customWidth="1"/>
    <col min="8" max="8" width="10.140625" style="272" customWidth="1"/>
    <col min="9" max="9" width="13.7109375" style="272" customWidth="1"/>
    <col min="10" max="10" width="14.7109375" style="272" customWidth="1"/>
    <col min="11" max="16384" width="9.140625" style="272"/>
  </cols>
  <sheetData>
    <row r="1" spans="1:16" s="174" customFormat="1">
      <c r="A1" s="1294" t="s">
        <v>883</v>
      </c>
      <c r="B1" s="1294"/>
      <c r="C1" s="1294"/>
      <c r="D1" s="1294"/>
      <c r="E1" s="1294"/>
      <c r="F1" s="1294"/>
      <c r="G1" s="1294"/>
      <c r="H1" s="1294"/>
      <c r="I1" s="1294"/>
      <c r="J1" s="1294"/>
      <c r="K1" s="1177"/>
      <c r="L1" s="1177"/>
      <c r="M1" s="1177"/>
      <c r="N1" s="1177"/>
      <c r="O1" s="1177"/>
      <c r="P1" s="1177"/>
    </row>
    <row r="2" spans="1:16" s="174" customFormat="1">
      <c r="A2" s="1294" t="s">
        <v>178</v>
      </c>
      <c r="B2" s="1294"/>
      <c r="C2" s="1294"/>
      <c r="D2" s="1294"/>
      <c r="E2" s="1294"/>
      <c r="F2" s="1294"/>
      <c r="G2" s="1294"/>
      <c r="H2" s="1294"/>
      <c r="I2" s="1294"/>
      <c r="J2" s="1294"/>
      <c r="K2" s="1177"/>
      <c r="L2" s="1177"/>
      <c r="M2" s="1177"/>
      <c r="N2" s="1177"/>
      <c r="O2" s="1177"/>
      <c r="P2" s="1177"/>
    </row>
    <row r="3" spans="1:16" s="174" customFormat="1">
      <c r="A3" s="1294" t="s">
        <v>1742</v>
      </c>
      <c r="B3" s="1294"/>
      <c r="C3" s="1294"/>
      <c r="D3" s="1294"/>
      <c r="E3" s="1294"/>
      <c r="F3" s="1294"/>
      <c r="G3" s="1294"/>
      <c r="H3" s="1294"/>
      <c r="I3" s="1294"/>
      <c r="J3" s="1294"/>
      <c r="K3" s="1177"/>
      <c r="L3" s="1177"/>
      <c r="M3" s="1177"/>
      <c r="N3" s="1177"/>
      <c r="O3" s="1177"/>
      <c r="P3" s="1177"/>
    </row>
    <row r="4" spans="1:16" s="174" customFormat="1">
      <c r="A4" s="1294"/>
      <c r="B4" s="1294"/>
      <c r="C4" s="1294"/>
      <c r="D4" s="1294"/>
      <c r="E4" s="1294"/>
      <c r="F4" s="1294"/>
      <c r="G4" s="1294"/>
      <c r="H4" s="1294"/>
      <c r="I4" s="1294"/>
      <c r="J4" s="1294"/>
      <c r="K4" s="1177"/>
      <c r="L4" s="1177"/>
      <c r="M4" s="1177"/>
      <c r="N4" s="1177"/>
      <c r="O4" s="1177"/>
      <c r="P4" s="1177"/>
    </row>
    <row r="5" spans="1:16" s="174" customFormat="1">
      <c r="A5" s="1111"/>
      <c r="B5" s="1111"/>
      <c r="C5" s="1111"/>
      <c r="D5" s="1111"/>
      <c r="E5" s="1111"/>
      <c r="F5" s="1111"/>
      <c r="G5" s="1111"/>
      <c r="H5" s="1111"/>
      <c r="I5" s="1111"/>
      <c r="J5" s="1111"/>
      <c r="K5" s="1111"/>
      <c r="L5" s="1111"/>
      <c r="M5" s="1111"/>
      <c r="N5" s="1111"/>
      <c r="O5" s="1111"/>
      <c r="P5" s="1177"/>
    </row>
    <row r="6" spans="1:16" s="174" customFormat="1">
      <c r="A6" s="1111"/>
      <c r="B6" s="1111"/>
      <c r="C6" s="1111"/>
      <c r="D6" s="1111"/>
      <c r="E6" s="1111"/>
      <c r="F6" s="1111"/>
      <c r="G6" s="1111"/>
      <c r="H6" s="1111"/>
      <c r="I6" s="1111"/>
      <c r="J6" s="1111"/>
      <c r="K6" s="1111"/>
      <c r="L6" s="1111"/>
      <c r="M6" s="1111"/>
      <c r="N6" s="1111"/>
      <c r="O6" s="1111"/>
      <c r="P6" s="1177"/>
    </row>
    <row r="7" spans="1:16" s="174" customFormat="1">
      <c r="A7" s="1111"/>
      <c r="B7" s="1111"/>
      <c r="C7" s="1111"/>
      <c r="D7" s="1111"/>
      <c r="E7" s="1111"/>
      <c r="F7" s="1111"/>
      <c r="G7" s="1111"/>
      <c r="H7" s="1111"/>
      <c r="I7" s="1111"/>
      <c r="J7" s="1111"/>
      <c r="K7" s="1111"/>
      <c r="L7" s="1111"/>
      <c r="M7" s="1111"/>
      <c r="N7" s="1111"/>
      <c r="O7" s="1111"/>
      <c r="P7" s="1177"/>
    </row>
    <row r="8" spans="1:16" s="174" customFormat="1" ht="18">
      <c r="A8" s="1295" t="s">
        <v>1743</v>
      </c>
      <c r="B8" s="1295"/>
      <c r="C8" s="1295"/>
      <c r="D8" s="1295"/>
      <c r="E8" s="1295"/>
      <c r="F8" s="1295"/>
      <c r="G8" s="1295"/>
      <c r="H8" s="1295"/>
      <c r="I8" s="1295"/>
      <c r="J8" s="1295"/>
      <c r="K8" s="177"/>
      <c r="L8" s="177"/>
      <c r="M8" s="177"/>
      <c r="N8" s="177"/>
      <c r="O8" s="177"/>
      <c r="P8" s="177"/>
    </row>
    <row r="9" spans="1:16" s="174" customFormat="1">
      <c r="A9" s="1178" t="s">
        <v>1828</v>
      </c>
      <c r="B9" s="1178"/>
      <c r="C9" s="1178"/>
      <c r="D9" s="1178"/>
      <c r="E9" s="1178"/>
      <c r="F9" s="1178"/>
      <c r="G9" s="1178"/>
      <c r="H9" s="1178"/>
      <c r="I9" s="1178"/>
      <c r="J9" s="1178"/>
      <c r="K9" s="1178"/>
      <c r="L9" s="1178"/>
      <c r="M9" s="1178"/>
      <c r="N9" s="1178"/>
      <c r="O9" s="1178"/>
      <c r="P9" s="1178"/>
    </row>
    <row r="10" spans="1:16" s="174" customFormat="1">
      <c r="A10" s="174" t="s">
        <v>1862</v>
      </c>
      <c r="I10" s="1111"/>
      <c r="N10" s="1179"/>
      <c r="O10" s="1179"/>
    </row>
    <row r="11" spans="1:16" s="174" customFormat="1">
      <c r="A11" s="174" t="s">
        <v>1776</v>
      </c>
      <c r="I11" s="1111"/>
      <c r="N11" s="1179"/>
      <c r="O11" s="1179"/>
    </row>
    <row r="12" spans="1:16" s="174" customFormat="1" ht="9.9499999999999993" customHeight="1">
      <c r="A12" s="1180" t="s">
        <v>1829</v>
      </c>
      <c r="I12" s="1111"/>
      <c r="N12" s="1179"/>
      <c r="O12" s="1179"/>
    </row>
    <row r="14" spans="1:16" s="174" customFormat="1" ht="15.75" customHeight="1">
      <c r="A14" s="1181" t="s">
        <v>1863</v>
      </c>
      <c r="B14" s="1182"/>
      <c r="C14" s="1182"/>
      <c r="D14" s="1182"/>
      <c r="E14" s="1182"/>
      <c r="F14" s="1182"/>
      <c r="G14" s="1182"/>
      <c r="H14" s="1183"/>
      <c r="I14" s="1183"/>
      <c r="J14" s="1183"/>
      <c r="K14" s="1183"/>
      <c r="L14" s="1183"/>
      <c r="M14" s="1183"/>
      <c r="N14" s="1183"/>
      <c r="O14" s="1183"/>
      <c r="P14" s="1183"/>
    </row>
    <row r="16" spans="1:16">
      <c r="A16" s="1288" t="s">
        <v>1830</v>
      </c>
      <c r="B16" s="1289"/>
      <c r="C16" s="1289"/>
      <c r="D16" s="1184"/>
      <c r="E16" s="1184"/>
      <c r="F16" s="1185" t="s">
        <v>1831</v>
      </c>
      <c r="G16" s="1292" t="s">
        <v>278</v>
      </c>
      <c r="H16" s="1186" t="s">
        <v>1832</v>
      </c>
      <c r="I16" s="1289" t="s">
        <v>279</v>
      </c>
      <c r="J16" s="1292" t="s">
        <v>15</v>
      </c>
    </row>
    <row r="17" spans="1:10">
      <c r="A17" s="1290"/>
      <c r="B17" s="1291"/>
      <c r="C17" s="1291"/>
      <c r="D17" s="1187"/>
      <c r="E17" s="1187"/>
      <c r="F17" s="1188" t="s">
        <v>1833</v>
      </c>
      <c r="G17" s="1293"/>
      <c r="H17" s="1189" t="s">
        <v>1834</v>
      </c>
      <c r="I17" s="1291"/>
      <c r="J17" s="1293"/>
    </row>
    <row r="18" spans="1:10">
      <c r="A18" s="1190" t="s">
        <v>1835</v>
      </c>
      <c r="B18" s="318" t="s">
        <v>1836</v>
      </c>
      <c r="C18" s="318" t="s">
        <v>293</v>
      </c>
      <c r="D18" s="318"/>
      <c r="E18" s="318"/>
      <c r="F18" s="1191">
        <f>'LBP NO. 2'!M46</f>
        <v>12206941</v>
      </c>
      <c r="G18" s="1192">
        <f>'LBP NO. 2'!M57</f>
        <v>3137755</v>
      </c>
      <c r="H18" s="1191">
        <v>0</v>
      </c>
      <c r="I18" s="1192">
        <f>'LBP NO. 2'!M67</f>
        <v>9500000</v>
      </c>
      <c r="J18" s="1191">
        <f>SUM(F18:I18)</f>
        <v>24844696</v>
      </c>
    </row>
    <row r="19" spans="1:10">
      <c r="A19" s="1190" t="s">
        <v>1837</v>
      </c>
      <c r="B19" s="318" t="s">
        <v>1836</v>
      </c>
      <c r="C19" s="318" t="s">
        <v>299</v>
      </c>
      <c r="D19" s="318"/>
      <c r="E19" s="318"/>
      <c r="F19" s="1191">
        <f>'LBP NO. 2'!M117</f>
        <v>20249168</v>
      </c>
      <c r="G19" s="1192">
        <f>'LBP NO. 2'!M132</f>
        <v>6806400</v>
      </c>
      <c r="H19" s="1191">
        <v>0</v>
      </c>
      <c r="I19" s="1192">
        <f>'LBP NO. 2'!M140</f>
        <v>750000</v>
      </c>
      <c r="J19" s="1191">
        <f t="shared" ref="J19:J34" si="0">SUM(F19:I19)</f>
        <v>27805568</v>
      </c>
    </row>
    <row r="20" spans="1:10">
      <c r="A20" s="1190" t="s">
        <v>1838</v>
      </c>
      <c r="B20" s="318" t="s">
        <v>1836</v>
      </c>
      <c r="C20" s="318" t="s">
        <v>300</v>
      </c>
      <c r="D20" s="318"/>
      <c r="E20" s="318"/>
      <c r="F20" s="1191">
        <f>'LBP NO. 2'!M192</f>
        <v>2040732</v>
      </c>
      <c r="G20" s="1192">
        <f>'LBP NO. 2'!M200</f>
        <v>526587</v>
      </c>
      <c r="H20" s="1191">
        <v>0</v>
      </c>
      <c r="I20" s="1192">
        <f>'LBP NO. 2'!M205</f>
        <v>55000</v>
      </c>
      <c r="J20" s="1191">
        <f t="shared" si="0"/>
        <v>2622319</v>
      </c>
    </row>
    <row r="21" spans="1:10">
      <c r="A21" s="1190" t="s">
        <v>1839</v>
      </c>
      <c r="B21" s="318" t="s">
        <v>1836</v>
      </c>
      <c r="C21" s="318" t="s">
        <v>312</v>
      </c>
      <c r="D21" s="318"/>
      <c r="E21" s="318"/>
      <c r="F21" s="1191">
        <f>'LBP NO. 2'!M261</f>
        <v>2060770</v>
      </c>
      <c r="G21" s="1192">
        <f>'LBP NO. 2'!M270</f>
        <v>219250</v>
      </c>
      <c r="H21" s="1191">
        <v>0</v>
      </c>
      <c r="I21" s="1192">
        <f>'LBP NO. 2'!M275</f>
        <v>70000</v>
      </c>
      <c r="J21" s="1191">
        <f t="shared" si="0"/>
        <v>2350020</v>
      </c>
    </row>
    <row r="22" spans="1:10">
      <c r="A22" s="1190" t="s">
        <v>1840</v>
      </c>
      <c r="B22" s="318" t="s">
        <v>1836</v>
      </c>
      <c r="C22" s="318" t="s">
        <v>313</v>
      </c>
      <c r="D22" s="318"/>
      <c r="E22" s="318"/>
      <c r="F22" s="1191">
        <f>'LBP NO. 2'!M329</f>
        <v>2214520</v>
      </c>
      <c r="G22" s="1192">
        <f>'LBP NO. 2'!M337</f>
        <v>328000</v>
      </c>
      <c r="H22" s="1191">
        <v>0</v>
      </c>
      <c r="I22" s="1192">
        <f>'LBP NO. 2'!M342</f>
        <v>0</v>
      </c>
      <c r="J22" s="1191">
        <f t="shared" si="0"/>
        <v>2542520</v>
      </c>
    </row>
    <row r="23" spans="1:10">
      <c r="A23" s="1190" t="s">
        <v>1841</v>
      </c>
      <c r="B23" s="318" t="s">
        <v>1836</v>
      </c>
      <c r="C23" s="318" t="s">
        <v>314</v>
      </c>
      <c r="D23" s="318"/>
      <c r="E23" s="318"/>
      <c r="F23" s="1191">
        <f>'LBP NO. 2'!M398</f>
        <v>3252594</v>
      </c>
      <c r="G23" s="1192">
        <f>'LBP NO. 2'!M406</f>
        <v>573815</v>
      </c>
      <c r="H23" s="1191">
        <v>0</v>
      </c>
      <c r="I23" s="1192">
        <f>'LBP NO. 2'!M412</f>
        <v>180000</v>
      </c>
      <c r="J23" s="1191">
        <f t="shared" si="0"/>
        <v>4006409</v>
      </c>
    </row>
    <row r="24" spans="1:10">
      <c r="A24" s="1190" t="s">
        <v>1842</v>
      </c>
      <c r="B24" s="318" t="s">
        <v>1836</v>
      </c>
      <c r="C24" s="318" t="s">
        <v>315</v>
      </c>
      <c r="D24" s="318"/>
      <c r="E24" s="318"/>
      <c r="F24" s="1191">
        <f>'LBP NO. 2'!M466</f>
        <v>5135657</v>
      </c>
      <c r="G24" s="1192">
        <f>'LBP NO. 2'!M477</f>
        <v>1076000</v>
      </c>
      <c r="H24" s="1191">
        <v>0</v>
      </c>
      <c r="I24" s="1192">
        <f>'LBP NO. 2'!M483</f>
        <v>430000</v>
      </c>
      <c r="J24" s="1191">
        <f t="shared" si="0"/>
        <v>6641657</v>
      </c>
    </row>
    <row r="25" spans="1:10">
      <c r="A25" s="1190" t="s">
        <v>1843</v>
      </c>
      <c r="B25" s="318" t="s">
        <v>1836</v>
      </c>
      <c r="C25" s="318" t="s">
        <v>316</v>
      </c>
      <c r="D25" s="318"/>
      <c r="E25" s="318"/>
      <c r="F25" s="1191">
        <f>'LBP NO. 2'!M533</f>
        <v>2883492</v>
      </c>
      <c r="G25" s="1192">
        <f>'LBP NO. 2'!M542</f>
        <v>443500</v>
      </c>
      <c r="H25" s="1191">
        <v>0</v>
      </c>
      <c r="I25" s="1192">
        <f>'LBP NO. 2'!M548</f>
        <v>65000</v>
      </c>
      <c r="J25" s="1191">
        <f t="shared" si="0"/>
        <v>3391992</v>
      </c>
    </row>
    <row r="26" spans="1:10">
      <c r="A26" s="1190" t="s">
        <v>1844</v>
      </c>
      <c r="B26" s="318" t="s">
        <v>1836</v>
      </c>
      <c r="C26" s="318" t="s">
        <v>317</v>
      </c>
      <c r="D26" s="318"/>
      <c r="E26" s="318"/>
      <c r="F26" s="1191">
        <f>'LBP NO. 2'!M602</f>
        <v>2220700</v>
      </c>
      <c r="G26" s="1192">
        <f>'LBP NO. 2'!M611</f>
        <v>234000</v>
      </c>
      <c r="H26" s="1191">
        <v>0</v>
      </c>
      <c r="I26" s="1192">
        <f>'LBP NO. 2'!M617</f>
        <v>220000</v>
      </c>
      <c r="J26" s="1191">
        <f t="shared" si="0"/>
        <v>2674700</v>
      </c>
    </row>
    <row r="27" spans="1:10">
      <c r="A27" s="1190" t="s">
        <v>1845</v>
      </c>
      <c r="B27" s="318" t="s">
        <v>1836</v>
      </c>
      <c r="C27" s="318" t="s">
        <v>318</v>
      </c>
      <c r="D27" s="318"/>
      <c r="E27" s="318"/>
      <c r="F27" s="1191">
        <f>'LBP NO. 2'!M672</f>
        <v>4633994.8</v>
      </c>
      <c r="G27" s="1192">
        <f>'LBP NO. 2'!M683</f>
        <v>8503040</v>
      </c>
      <c r="H27" s="1191">
        <v>0</v>
      </c>
      <c r="I27" s="1192">
        <f>'LBP NO. 2'!M689</f>
        <v>675000</v>
      </c>
      <c r="J27" s="1191">
        <f t="shared" si="0"/>
        <v>13812034.800000001</v>
      </c>
    </row>
    <row r="28" spans="1:10">
      <c r="A28" s="1190" t="s">
        <v>1846</v>
      </c>
      <c r="B28" s="318" t="s">
        <v>1836</v>
      </c>
      <c r="C28" s="318" t="s">
        <v>319</v>
      </c>
      <c r="D28" s="318"/>
      <c r="E28" s="318"/>
      <c r="F28" s="1191">
        <f>'LBP NO. 2'!M739</f>
        <v>5666060</v>
      </c>
      <c r="G28" s="1192">
        <f>'LBP NO. 2'!M750</f>
        <v>6276932.2000000002</v>
      </c>
      <c r="H28" s="1191">
        <v>0</v>
      </c>
      <c r="I28" s="1192">
        <f>'LBP NO. 2'!M756</f>
        <v>120000</v>
      </c>
      <c r="J28" s="1191">
        <f t="shared" si="0"/>
        <v>12062992.199999999</v>
      </c>
    </row>
    <row r="29" spans="1:10">
      <c r="A29" s="1190" t="s">
        <v>1847</v>
      </c>
      <c r="B29" s="318" t="s">
        <v>1836</v>
      </c>
      <c r="C29" s="318" t="s">
        <v>320</v>
      </c>
      <c r="D29" s="318"/>
      <c r="E29" s="318"/>
      <c r="F29" s="1191">
        <f>'LBP NO. 2'!M809</f>
        <v>10228228</v>
      </c>
      <c r="G29" s="1192">
        <f>'LBP NO. 2'!M820</f>
        <v>9181557</v>
      </c>
      <c r="H29" s="1191">
        <v>0</v>
      </c>
      <c r="I29" s="1192">
        <f>'LBP NO. 2'!M825</f>
        <v>500000</v>
      </c>
      <c r="J29" s="1191">
        <f t="shared" si="0"/>
        <v>19909785</v>
      </c>
    </row>
    <row r="30" spans="1:10">
      <c r="A30" s="1190" t="s">
        <v>1848</v>
      </c>
      <c r="B30" s="318" t="s">
        <v>1836</v>
      </c>
      <c r="C30" s="318" t="s">
        <v>321</v>
      </c>
      <c r="D30" s="318"/>
      <c r="E30" s="318"/>
      <c r="F30" s="1191">
        <f>'LBP NO. 2'!M873</f>
        <v>3104717</v>
      </c>
      <c r="G30" s="1192">
        <f>'LBP NO. 2'!M881</f>
        <v>1747889</v>
      </c>
      <c r="H30" s="1191">
        <v>0</v>
      </c>
      <c r="I30" s="1192">
        <f>'LBP NO. 2'!M886</f>
        <v>90000</v>
      </c>
      <c r="J30" s="1191">
        <f t="shared" si="0"/>
        <v>4942606</v>
      </c>
    </row>
    <row r="31" spans="1:10">
      <c r="A31" s="1190" t="s">
        <v>1849</v>
      </c>
      <c r="B31" s="318" t="s">
        <v>1836</v>
      </c>
      <c r="C31" s="318" t="s">
        <v>323</v>
      </c>
      <c r="D31" s="318"/>
      <c r="E31" s="318"/>
      <c r="F31" s="1191">
        <f>'LBP NO. 2'!M939</f>
        <v>1038056</v>
      </c>
      <c r="G31" s="1192">
        <f>'LBP NO. 2'!M947</f>
        <v>339000</v>
      </c>
      <c r="H31" s="1191">
        <v>0</v>
      </c>
      <c r="I31" s="1192">
        <f>'LBP NO. 2'!M952</f>
        <v>250000</v>
      </c>
      <c r="J31" s="1191">
        <f t="shared" si="0"/>
        <v>1627056</v>
      </c>
    </row>
    <row r="32" spans="1:10">
      <c r="A32" s="1190" t="s">
        <v>1850</v>
      </c>
      <c r="B32" s="318" t="s">
        <v>1836</v>
      </c>
      <c r="C32" s="318" t="s">
        <v>1851</v>
      </c>
      <c r="D32" s="318"/>
      <c r="E32" s="318"/>
      <c r="F32" s="1191">
        <v>0</v>
      </c>
      <c r="G32" s="1191">
        <f>SUM('LBP NO. 2a'!K52+'LBP NO. 2a'!K135+'LBP NO. 2a'!K199)-G34</f>
        <v>90719290.079999998</v>
      </c>
      <c r="H32" s="1191">
        <v>0</v>
      </c>
      <c r="I32" s="1192">
        <v>0</v>
      </c>
      <c r="J32" s="1191">
        <f>SUM(G32:I32)</f>
        <v>90719290.079999998</v>
      </c>
    </row>
    <row r="33" spans="1:10">
      <c r="A33" s="1190" t="s">
        <v>1852</v>
      </c>
      <c r="B33" s="318" t="s">
        <v>1836</v>
      </c>
      <c r="C33" s="318" t="s">
        <v>1853</v>
      </c>
      <c r="D33" s="318"/>
      <c r="E33" s="318"/>
      <c r="F33" s="1191">
        <f>'LBP NO. 2'!M1012</f>
        <v>7209000</v>
      </c>
      <c r="G33" s="1192">
        <f>'LBP NO. 2'!M1024</f>
        <v>1156000</v>
      </c>
      <c r="H33" s="1191">
        <v>0</v>
      </c>
      <c r="I33" s="1192">
        <f>'LBP NO. 2'!M1031</f>
        <v>260000</v>
      </c>
      <c r="J33" s="1191">
        <f t="shared" si="0"/>
        <v>8625000</v>
      </c>
    </row>
    <row r="34" spans="1:10">
      <c r="A34" s="1190" t="s">
        <v>1854</v>
      </c>
      <c r="B34" s="318" t="s">
        <v>1836</v>
      </c>
      <c r="C34" s="318" t="s">
        <v>1855</v>
      </c>
      <c r="D34" s="318"/>
      <c r="E34" s="318"/>
      <c r="F34" s="1191">
        <v>0</v>
      </c>
      <c r="G34" s="1193">
        <f>'LBP NO. 2a'!K96</f>
        <v>11580690.699999999</v>
      </c>
      <c r="H34" s="1191">
        <v>0</v>
      </c>
      <c r="I34" s="1192">
        <v>0</v>
      </c>
      <c r="J34" s="1191">
        <f t="shared" si="0"/>
        <v>11580690.699999999</v>
      </c>
    </row>
    <row r="35" spans="1:10">
      <c r="A35" s="1190"/>
      <c r="B35" s="318"/>
      <c r="C35" s="318"/>
      <c r="D35" s="318"/>
      <c r="E35" s="318"/>
      <c r="F35" s="1191"/>
      <c r="G35" s="1192"/>
      <c r="H35" s="1191"/>
      <c r="I35" s="1192"/>
      <c r="J35" s="1191"/>
    </row>
    <row r="36" spans="1:10" s="282" customFormat="1">
      <c r="A36" s="1194" t="s">
        <v>380</v>
      </c>
      <c r="B36" s="1195"/>
      <c r="C36" s="1196"/>
      <c r="D36" s="1194"/>
      <c r="E36" s="1196"/>
      <c r="F36" s="1197">
        <f>SUM(F18:F35)</f>
        <v>84144629.799999997</v>
      </c>
      <c r="G36" s="1197">
        <f>SUM(G18:G35)</f>
        <v>142849705.97999999</v>
      </c>
      <c r="H36" s="1197">
        <f>SUM(H18:H35)</f>
        <v>0</v>
      </c>
      <c r="I36" s="1197">
        <f>SUM(I18:I35)</f>
        <v>13165000</v>
      </c>
      <c r="J36" s="1197">
        <f>SUM(J18:J35)</f>
        <v>240159335.77999997</v>
      </c>
    </row>
    <row r="37" spans="1:10">
      <c r="F37" s="329"/>
      <c r="G37" s="329"/>
      <c r="H37" s="329"/>
      <c r="I37" s="329"/>
      <c r="J37" s="329"/>
    </row>
    <row r="38" spans="1:10" ht="15.75" customHeight="1">
      <c r="A38" s="1298" t="s">
        <v>1864</v>
      </c>
      <c r="B38" s="1298"/>
      <c r="C38" s="1298"/>
      <c r="D38" s="1298"/>
      <c r="E38" s="1298"/>
      <c r="F38" s="1298"/>
      <c r="G38" s="1298"/>
      <c r="H38" s="1298"/>
      <c r="I38" s="1298"/>
      <c r="J38" s="1298"/>
    </row>
    <row r="39" spans="1:10">
      <c r="A39" s="1298"/>
      <c r="B39" s="1298"/>
      <c r="C39" s="1298"/>
      <c r="D39" s="1298"/>
      <c r="E39" s="1298"/>
      <c r="F39" s="1298"/>
      <c r="G39" s="1298"/>
      <c r="H39" s="1298"/>
      <c r="I39" s="1298"/>
      <c r="J39" s="1298"/>
    </row>
    <row r="40" spans="1:10">
      <c r="A40" s="1298"/>
      <c r="B40" s="1298"/>
      <c r="C40" s="1298"/>
      <c r="D40" s="1298"/>
      <c r="E40" s="1298"/>
      <c r="F40" s="1298"/>
      <c r="G40" s="1298"/>
      <c r="H40" s="1298"/>
      <c r="I40" s="1298"/>
      <c r="J40" s="1298"/>
    </row>
    <row r="41" spans="1:10">
      <c r="A41" s="1298"/>
      <c r="B41" s="1298"/>
      <c r="C41" s="1298"/>
      <c r="D41" s="1298"/>
      <c r="E41" s="1298"/>
      <c r="F41" s="1298"/>
      <c r="G41" s="1298"/>
      <c r="H41" s="1298"/>
      <c r="I41" s="1298"/>
      <c r="J41" s="1298"/>
    </row>
    <row r="42" spans="1:10">
      <c r="A42" s="1198"/>
      <c r="B42" s="1198"/>
      <c r="C42" s="1198"/>
      <c r="D42" s="1198"/>
      <c r="E42" s="1198"/>
      <c r="F42" s="1198"/>
      <c r="G42" s="1198"/>
      <c r="H42" s="1198"/>
      <c r="I42" s="1198"/>
      <c r="J42" s="1198"/>
    </row>
    <row r="43" spans="1:10" ht="15.75" customHeight="1">
      <c r="A43" s="1298" t="s">
        <v>1856</v>
      </c>
      <c r="B43" s="1298"/>
      <c r="C43" s="1298"/>
      <c r="D43" s="1298"/>
      <c r="E43" s="1298"/>
      <c r="F43" s="1298"/>
      <c r="G43" s="1298"/>
      <c r="H43" s="1298"/>
      <c r="I43" s="1298"/>
      <c r="J43" s="1298"/>
    </row>
    <row r="44" spans="1:10">
      <c r="A44" s="1298"/>
      <c r="B44" s="1298"/>
      <c r="C44" s="1298"/>
      <c r="D44" s="1298"/>
      <c r="E44" s="1298"/>
      <c r="F44" s="1298"/>
      <c r="G44" s="1298"/>
      <c r="H44" s="1298"/>
      <c r="I44" s="1298"/>
      <c r="J44" s="1298"/>
    </row>
    <row r="45" spans="1:10">
      <c r="A45" s="1298"/>
      <c r="B45" s="1298"/>
      <c r="C45" s="1298"/>
      <c r="D45" s="1298"/>
      <c r="E45" s="1298"/>
      <c r="F45" s="1298"/>
      <c r="G45" s="1298"/>
      <c r="H45" s="1298"/>
      <c r="I45" s="1298"/>
      <c r="J45" s="1298"/>
    </row>
    <row r="46" spans="1:10">
      <c r="A46" s="1199"/>
      <c r="B46" s="1199"/>
      <c r="C46" s="1199"/>
      <c r="D46" s="1199"/>
      <c r="E46" s="1199"/>
      <c r="F46" s="1199"/>
      <c r="G46" s="1199"/>
      <c r="H46" s="1199"/>
      <c r="I46" s="1199"/>
      <c r="J46" s="1199"/>
    </row>
    <row r="47" spans="1:10">
      <c r="A47" s="1298" t="s">
        <v>1857</v>
      </c>
      <c r="B47" s="1298"/>
      <c r="C47" s="1298"/>
      <c r="D47" s="1298"/>
      <c r="E47" s="1298"/>
      <c r="F47" s="1298"/>
      <c r="G47" s="1298"/>
      <c r="H47" s="1298"/>
      <c r="I47" s="1298"/>
      <c r="J47" s="1298"/>
    </row>
    <row r="48" spans="1:10">
      <c r="A48" s="1298"/>
      <c r="B48" s="1298"/>
      <c r="C48" s="1298"/>
      <c r="D48" s="1298"/>
      <c r="E48" s="1298"/>
      <c r="F48" s="1298"/>
      <c r="G48" s="1298"/>
      <c r="H48" s="1298"/>
      <c r="I48" s="1298"/>
      <c r="J48" s="1298"/>
    </row>
    <row r="49" spans="1:10">
      <c r="A49" s="1199"/>
      <c r="B49" s="1199"/>
      <c r="C49" s="1199"/>
      <c r="D49" s="1199"/>
      <c r="E49" s="1199"/>
      <c r="F49" s="1199"/>
      <c r="G49" s="1199"/>
      <c r="H49" s="1199"/>
      <c r="I49" s="1199"/>
      <c r="J49" s="1199"/>
    </row>
    <row r="50" spans="1:10">
      <c r="A50" s="1298" t="s">
        <v>1858</v>
      </c>
      <c r="B50" s="1298"/>
      <c r="C50" s="1298"/>
      <c r="D50" s="1298"/>
      <c r="E50" s="1298"/>
      <c r="F50" s="1298"/>
      <c r="G50" s="1298"/>
      <c r="H50" s="1298"/>
      <c r="I50" s="1298"/>
      <c r="J50" s="1298"/>
    </row>
    <row r="51" spans="1:10">
      <c r="A51" s="1298"/>
      <c r="B51" s="1298"/>
      <c r="C51" s="1298"/>
      <c r="D51" s="1298"/>
      <c r="E51" s="1298"/>
      <c r="F51" s="1298"/>
      <c r="G51" s="1298"/>
      <c r="H51" s="1298"/>
      <c r="I51" s="1298"/>
      <c r="J51" s="1298"/>
    </row>
    <row r="52" spans="1:10">
      <c r="A52" s="1199"/>
      <c r="B52" s="1199"/>
      <c r="C52" s="1199"/>
      <c r="D52" s="1199"/>
      <c r="E52" s="1199"/>
      <c r="F52" s="1199"/>
      <c r="G52" s="1199"/>
      <c r="H52" s="1199"/>
      <c r="I52" s="1199"/>
      <c r="J52" s="1199"/>
    </row>
    <row r="53" spans="1:10" ht="15" customHeight="1">
      <c r="A53" s="1298" t="s">
        <v>1859</v>
      </c>
      <c r="B53" s="1298"/>
      <c r="C53" s="1298"/>
      <c r="D53" s="1298"/>
      <c r="E53" s="1298"/>
      <c r="F53" s="1298"/>
      <c r="G53" s="1298"/>
      <c r="H53" s="1298"/>
      <c r="I53" s="1298"/>
      <c r="J53" s="1298"/>
    </row>
    <row r="54" spans="1:10">
      <c r="A54" s="1298"/>
      <c r="B54" s="1298"/>
      <c r="C54" s="1298"/>
      <c r="D54" s="1298"/>
      <c r="E54" s="1298"/>
      <c r="F54" s="1298"/>
      <c r="G54" s="1298"/>
      <c r="H54" s="1298"/>
      <c r="I54" s="1298"/>
      <c r="J54" s="1298"/>
    </row>
    <row r="55" spans="1:10">
      <c r="A55" s="1298"/>
      <c r="B55" s="1298"/>
      <c r="C55" s="1298"/>
      <c r="D55" s="1298"/>
      <c r="E55" s="1298"/>
      <c r="F55" s="1298"/>
      <c r="G55" s="1298"/>
      <c r="H55" s="1298"/>
      <c r="I55" s="1298"/>
      <c r="J55" s="1298"/>
    </row>
    <row r="56" spans="1:10">
      <c r="A56" s="1198"/>
      <c r="B56" s="1198"/>
      <c r="C56" s="1198"/>
      <c r="D56" s="1198"/>
      <c r="E56" s="1198"/>
      <c r="F56" s="1198"/>
      <c r="G56" s="1198"/>
      <c r="H56" s="1198"/>
      <c r="I56" s="1198"/>
      <c r="J56" s="1198"/>
    </row>
    <row r="57" spans="1:10">
      <c r="A57" s="1298" t="s">
        <v>1860</v>
      </c>
      <c r="B57" s="1298"/>
      <c r="C57" s="1298"/>
      <c r="D57" s="1298"/>
      <c r="E57" s="1298"/>
      <c r="F57" s="1298"/>
      <c r="G57" s="1298"/>
      <c r="H57" s="1298"/>
      <c r="I57" s="1298"/>
      <c r="J57" s="1298"/>
    </row>
    <row r="58" spans="1:10">
      <c r="A58" s="1298"/>
      <c r="B58" s="1298"/>
      <c r="C58" s="1298"/>
      <c r="D58" s="1298"/>
      <c r="E58" s="1298"/>
      <c r="F58" s="1298"/>
      <c r="G58" s="1298"/>
      <c r="H58" s="1298"/>
      <c r="I58" s="1298"/>
      <c r="J58" s="1298"/>
    </row>
    <row r="59" spans="1:10">
      <c r="A59" s="1199"/>
      <c r="B59" s="1199"/>
      <c r="C59" s="1199"/>
      <c r="D59" s="1199"/>
      <c r="E59" s="1199"/>
      <c r="F59" s="1199"/>
      <c r="G59" s="1199"/>
      <c r="H59" s="1199"/>
      <c r="I59" s="1199"/>
      <c r="J59" s="1199"/>
    </row>
    <row r="60" spans="1:10" ht="16.5" customHeight="1">
      <c r="A60" s="1296" t="s">
        <v>1758</v>
      </c>
      <c r="B60" s="1296"/>
      <c r="C60" s="1296"/>
      <c r="D60" s="1296"/>
      <c r="E60" s="1296"/>
      <c r="F60" s="1296"/>
      <c r="G60" s="1296"/>
      <c r="H60" s="1296"/>
      <c r="I60" s="1296"/>
      <c r="J60" s="1296"/>
    </row>
    <row r="61" spans="1:10">
      <c r="A61" s="1200"/>
      <c r="B61" s="1200"/>
      <c r="C61" s="1200"/>
      <c r="D61" s="1200"/>
      <c r="E61" s="1200"/>
      <c r="F61" s="1200"/>
      <c r="G61" s="1200"/>
      <c r="H61" s="1200"/>
      <c r="I61" s="1200"/>
      <c r="J61" s="1200"/>
    </row>
    <row r="62" spans="1:10">
      <c r="A62" s="1200"/>
      <c r="B62" s="1200"/>
      <c r="C62" s="1200"/>
      <c r="D62" s="1200"/>
      <c r="E62" s="1200"/>
      <c r="F62" s="1200"/>
      <c r="G62" s="1200"/>
      <c r="H62" s="1200"/>
      <c r="I62" s="1200"/>
      <c r="J62" s="1200"/>
    </row>
    <row r="63" spans="1:10">
      <c r="A63" s="1200"/>
      <c r="B63" s="1200"/>
      <c r="C63" s="1200"/>
      <c r="D63" s="1200"/>
      <c r="E63" s="1200"/>
      <c r="F63" s="1200"/>
      <c r="G63" s="1200"/>
      <c r="H63" s="1200"/>
      <c r="I63" s="1200"/>
      <c r="J63" s="1200"/>
    </row>
    <row r="64" spans="1:10">
      <c r="A64" s="1200"/>
      <c r="B64" s="1200"/>
      <c r="C64" s="1200"/>
      <c r="D64" s="1200"/>
      <c r="E64" s="1200"/>
      <c r="F64" s="1200"/>
      <c r="G64" s="1200"/>
      <c r="H64" s="1200"/>
      <c r="I64" s="1200"/>
      <c r="J64" s="1200"/>
    </row>
    <row r="65" spans="1:10">
      <c r="A65" s="1200"/>
      <c r="B65" s="1200"/>
      <c r="C65" s="1200"/>
      <c r="D65" s="1200"/>
      <c r="E65" s="1200"/>
      <c r="F65" s="1200"/>
      <c r="G65" s="1200"/>
      <c r="H65" s="1200"/>
      <c r="I65" s="1200"/>
      <c r="J65" s="1200"/>
    </row>
    <row r="66" spans="1:10">
      <c r="A66" s="1200"/>
      <c r="B66" s="1200"/>
      <c r="C66" s="1200"/>
      <c r="D66" s="1200"/>
      <c r="E66" s="1200"/>
      <c r="F66" s="1200"/>
      <c r="G66" s="1200"/>
      <c r="H66" s="1200"/>
      <c r="I66" s="1200"/>
      <c r="J66" s="1200"/>
    </row>
    <row r="67" spans="1:10">
      <c r="A67" s="1201"/>
      <c r="B67" s="1201"/>
      <c r="C67" s="1201"/>
      <c r="D67" s="1201"/>
      <c r="E67" s="1201"/>
      <c r="F67" s="1201"/>
      <c r="G67" s="1201"/>
      <c r="H67" s="1201"/>
      <c r="I67" s="1201"/>
      <c r="J67" s="1201"/>
    </row>
    <row r="68" spans="1:10">
      <c r="A68" s="1201"/>
      <c r="B68" s="1201"/>
      <c r="C68" s="1201"/>
      <c r="D68" s="1201"/>
      <c r="E68" s="1201"/>
      <c r="F68" s="1201"/>
      <c r="G68" s="1201"/>
      <c r="H68" s="1201"/>
      <c r="I68" s="1201"/>
      <c r="J68" s="1201"/>
    </row>
    <row r="69" spans="1:10" ht="23.25">
      <c r="A69" s="1297" t="s">
        <v>982</v>
      </c>
      <c r="B69" s="1297"/>
      <c r="C69" s="1297"/>
      <c r="D69" s="1297"/>
      <c r="E69" s="1297"/>
      <c r="F69" s="1297"/>
      <c r="G69" s="1297"/>
      <c r="H69" s="1297"/>
      <c r="I69" s="1297"/>
      <c r="J69" s="1297"/>
    </row>
    <row r="70" spans="1:10">
      <c r="A70" s="1201"/>
      <c r="B70" s="1201"/>
      <c r="C70" s="1201"/>
      <c r="D70" s="1201"/>
      <c r="E70" s="1201"/>
      <c r="F70" s="1201"/>
      <c r="G70" s="1201"/>
      <c r="H70" s="1201"/>
      <c r="I70" s="1201"/>
      <c r="J70" s="1201"/>
    </row>
    <row r="71" spans="1:10">
      <c r="A71" s="1201"/>
      <c r="B71" s="1201"/>
      <c r="C71" s="1201"/>
      <c r="D71" s="1201"/>
      <c r="E71" s="1201"/>
      <c r="F71" s="1201"/>
      <c r="G71" s="1201"/>
      <c r="H71" s="1201"/>
      <c r="I71" s="1201"/>
      <c r="J71" s="1201"/>
    </row>
    <row r="72" spans="1:10">
      <c r="A72" s="1201"/>
      <c r="B72" s="1201"/>
      <c r="C72" s="1201"/>
      <c r="D72" s="1201"/>
      <c r="E72" s="1201"/>
      <c r="F72" s="1201"/>
      <c r="G72" s="1201"/>
      <c r="H72" s="1201"/>
      <c r="I72" s="1201"/>
      <c r="J72" s="1201"/>
    </row>
  </sheetData>
  <mergeCells count="17">
    <mergeCell ref="A60:J60"/>
    <mergeCell ref="A69:J69"/>
    <mergeCell ref="A38:J41"/>
    <mergeCell ref="A43:J45"/>
    <mergeCell ref="A47:J48"/>
    <mergeCell ref="A50:J51"/>
    <mergeCell ref="A53:J55"/>
    <mergeCell ref="A57:J58"/>
    <mergeCell ref="A16:C17"/>
    <mergeCell ref="G16:G17"/>
    <mergeCell ref="I16:I17"/>
    <mergeCell ref="J16:J17"/>
    <mergeCell ref="A1:J1"/>
    <mergeCell ref="A2:J2"/>
    <mergeCell ref="A3:J3"/>
    <mergeCell ref="A4:J4"/>
    <mergeCell ref="A8:J8"/>
  </mergeCells>
  <printOptions horizontalCentered="1"/>
  <pageMargins left="0" right="0" top="0.75" bottom="0" header="0.3" footer="0.3"/>
  <pageSetup paperSize="14"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workbookViewId="0">
      <selection activeCell="I75" sqref="I75"/>
    </sheetView>
  </sheetViews>
  <sheetFormatPr defaultRowHeight="15.75"/>
  <cols>
    <col min="1" max="1" width="2.28515625" style="272" customWidth="1"/>
    <col min="2" max="2" width="1.140625" style="272" customWidth="1"/>
    <col min="3" max="3" width="15.85546875" style="272" customWidth="1"/>
    <col min="4" max="4" width="12.85546875" style="272" customWidth="1"/>
    <col min="5" max="5" width="13.5703125" style="272" customWidth="1"/>
    <col min="6" max="6" width="17.5703125" style="272" customWidth="1"/>
    <col min="7" max="7" width="7.7109375" style="272" customWidth="1"/>
    <col min="8" max="8" width="15.140625" style="272" customWidth="1"/>
    <col min="9" max="9" width="11.140625" style="272" customWidth="1"/>
    <col min="10" max="10" width="13.7109375" style="272" customWidth="1"/>
    <col min="11" max="11" width="19.5703125" style="272" customWidth="1"/>
    <col min="12" max="16384" width="9.140625" style="272"/>
  </cols>
  <sheetData>
    <row r="1" spans="1:17" s="1203" customFormat="1" ht="15">
      <c r="A1" s="1300" t="s">
        <v>883</v>
      </c>
      <c r="B1" s="1300"/>
      <c r="C1" s="1300"/>
      <c r="D1" s="1300"/>
      <c r="E1" s="1300"/>
      <c r="F1" s="1300"/>
      <c r="G1" s="1300"/>
      <c r="H1" s="1300"/>
      <c r="I1" s="1300"/>
      <c r="J1" s="1300"/>
      <c r="K1" s="1202"/>
      <c r="L1" s="1202"/>
      <c r="M1" s="1202"/>
      <c r="N1" s="1202"/>
      <c r="O1" s="1202"/>
      <c r="P1" s="1202"/>
      <c r="Q1" s="1202"/>
    </row>
    <row r="2" spans="1:17" s="1203" customFormat="1" ht="15">
      <c r="A2" s="1300" t="s">
        <v>178</v>
      </c>
      <c r="B2" s="1300"/>
      <c r="C2" s="1300"/>
      <c r="D2" s="1300"/>
      <c r="E2" s="1300"/>
      <c r="F2" s="1300"/>
      <c r="G2" s="1300"/>
      <c r="H2" s="1300"/>
      <c r="I2" s="1300"/>
      <c r="J2" s="1300"/>
      <c r="K2" s="1202"/>
      <c r="L2" s="1202"/>
      <c r="M2" s="1202"/>
      <c r="N2" s="1202"/>
      <c r="O2" s="1202"/>
      <c r="P2" s="1202"/>
      <c r="Q2" s="1202"/>
    </row>
    <row r="3" spans="1:17" s="1203" customFormat="1" ht="15">
      <c r="A3" s="1300" t="s">
        <v>1742</v>
      </c>
      <c r="B3" s="1300"/>
      <c r="C3" s="1300"/>
      <c r="D3" s="1300"/>
      <c r="E3" s="1300"/>
      <c r="F3" s="1300"/>
      <c r="G3" s="1300"/>
      <c r="H3" s="1300"/>
      <c r="I3" s="1300"/>
      <c r="J3" s="1300"/>
      <c r="K3" s="1202"/>
      <c r="L3" s="1202"/>
      <c r="M3" s="1202"/>
      <c r="N3" s="1202"/>
      <c r="O3" s="1202"/>
      <c r="P3" s="1202"/>
      <c r="Q3" s="1202"/>
    </row>
    <row r="4" spans="1:17" s="1203" customFormat="1" ht="15">
      <c r="A4" s="1300" t="s">
        <v>1865</v>
      </c>
      <c r="B4" s="1300"/>
      <c r="C4" s="1300"/>
      <c r="D4" s="1300"/>
      <c r="E4" s="1300"/>
      <c r="F4" s="1300"/>
      <c r="G4" s="1300"/>
      <c r="H4" s="1300"/>
      <c r="I4" s="1300"/>
      <c r="J4" s="1300"/>
      <c r="K4" s="1202"/>
      <c r="L4" s="1202"/>
      <c r="M4" s="1202"/>
      <c r="N4" s="1202"/>
      <c r="O4" s="1202"/>
      <c r="P4" s="1202"/>
      <c r="Q4" s="1202"/>
    </row>
    <row r="5" spans="1:17" s="1203" customFormat="1" ht="15">
      <c r="A5" s="1204"/>
      <c r="B5" s="1204"/>
      <c r="C5" s="1204"/>
      <c r="D5" s="1204"/>
      <c r="E5" s="1204"/>
      <c r="F5" s="1204"/>
      <c r="G5" s="1204"/>
      <c r="H5" s="1204"/>
      <c r="I5" s="1204"/>
      <c r="J5" s="1204"/>
      <c r="K5" s="1204"/>
      <c r="L5" s="1204"/>
      <c r="M5" s="1204"/>
      <c r="N5" s="1204"/>
      <c r="O5" s="1204"/>
      <c r="P5" s="1204"/>
      <c r="Q5" s="1202"/>
    </row>
    <row r="6" spans="1:17" s="1203" customFormat="1" ht="15">
      <c r="A6" s="1204"/>
      <c r="B6" s="1204"/>
      <c r="C6" s="1204"/>
      <c r="D6" s="1204"/>
      <c r="E6" s="1204"/>
      <c r="F6" s="1204"/>
      <c r="G6" s="1204"/>
      <c r="H6" s="1204"/>
      <c r="I6" s="1204"/>
      <c r="J6" s="1204"/>
      <c r="K6" s="1204"/>
      <c r="L6" s="1204"/>
      <c r="M6" s="1204"/>
      <c r="N6" s="1204"/>
      <c r="O6" s="1204"/>
      <c r="P6" s="1204"/>
      <c r="Q6" s="1202"/>
    </row>
    <row r="7" spans="1:17" s="1203" customFormat="1" ht="9.75" customHeight="1">
      <c r="A7" s="1204"/>
      <c r="B7" s="1204"/>
      <c r="C7" s="1204"/>
      <c r="D7" s="1204"/>
      <c r="E7" s="1204"/>
      <c r="F7" s="1204"/>
      <c r="G7" s="1204"/>
      <c r="H7" s="1204"/>
      <c r="I7" s="1204"/>
      <c r="J7" s="1204"/>
      <c r="K7" s="1204"/>
      <c r="L7" s="1204"/>
      <c r="M7" s="1204"/>
      <c r="N7" s="1204"/>
      <c r="O7" s="1204"/>
      <c r="P7" s="1204"/>
      <c r="Q7" s="1202"/>
    </row>
    <row r="8" spans="1:17" s="1203" customFormat="1" ht="18">
      <c r="A8" s="1301" t="s">
        <v>1743</v>
      </c>
      <c r="B8" s="1301"/>
      <c r="C8" s="1301"/>
      <c r="D8" s="1301"/>
      <c r="E8" s="1301"/>
      <c r="F8" s="1301"/>
      <c r="G8" s="1301"/>
      <c r="H8" s="1301"/>
      <c r="I8" s="1301"/>
      <c r="J8" s="1301"/>
      <c r="K8" s="1205"/>
      <c r="L8" s="1206"/>
      <c r="M8" s="1206"/>
      <c r="N8" s="1206"/>
      <c r="O8" s="1206"/>
      <c r="P8" s="1206"/>
      <c r="Q8" s="1206"/>
    </row>
    <row r="9" spans="1:17" s="1203" customFormat="1" ht="15">
      <c r="A9" s="1207" t="s">
        <v>1866</v>
      </c>
      <c r="B9" s="1207"/>
      <c r="C9" s="1207"/>
      <c r="D9" s="1207"/>
      <c r="E9" s="1207"/>
      <c r="F9" s="1207"/>
      <c r="G9" s="1207"/>
      <c r="H9" s="1207"/>
      <c r="I9" s="1207"/>
      <c r="J9" s="1207"/>
      <c r="K9" s="1207"/>
      <c r="L9" s="1207"/>
      <c r="M9" s="1207"/>
      <c r="N9" s="1207"/>
      <c r="O9" s="1207"/>
      <c r="P9" s="1207"/>
      <c r="Q9" s="1207"/>
    </row>
    <row r="10" spans="1:17" s="1203" customFormat="1" ht="18">
      <c r="A10" s="1208" t="s">
        <v>1875</v>
      </c>
      <c r="J10" s="1204"/>
      <c r="O10" s="1209"/>
      <c r="P10" s="1209"/>
    </row>
    <row r="11" spans="1:17" s="1203" customFormat="1" ht="18">
      <c r="A11" s="1208" t="s">
        <v>1776</v>
      </c>
      <c r="J11" s="1204"/>
      <c r="O11" s="1209"/>
      <c r="P11" s="1209"/>
    </row>
    <row r="12" spans="1:17" s="1203" customFormat="1" ht="9.9499999999999993" customHeight="1">
      <c r="A12" s="1210" t="s">
        <v>1829</v>
      </c>
      <c r="J12" s="1204"/>
      <c r="O12" s="1209"/>
      <c r="P12" s="1209"/>
    </row>
    <row r="13" spans="1:17" s="1199" customFormat="1" ht="15"/>
    <row r="14" spans="1:17" s="1199" customFormat="1" ht="18" customHeight="1">
      <c r="A14" s="1299" t="s">
        <v>1867</v>
      </c>
      <c r="B14" s="1299"/>
      <c r="C14" s="1299"/>
      <c r="D14" s="1299"/>
      <c r="E14" s="1299"/>
      <c r="F14" s="1299"/>
      <c r="G14" s="1299"/>
      <c r="H14" s="1299"/>
      <c r="I14" s="1299"/>
      <c r="J14" s="1299"/>
      <c r="K14" s="1211"/>
    </row>
    <row r="15" spans="1:17" s="1199" customFormat="1" ht="18" customHeight="1">
      <c r="A15" s="1299"/>
      <c r="B15" s="1299"/>
      <c r="C15" s="1299"/>
      <c r="D15" s="1299"/>
      <c r="E15" s="1299"/>
      <c r="F15" s="1299"/>
      <c r="G15" s="1299"/>
      <c r="H15" s="1299"/>
      <c r="I15" s="1299"/>
      <c r="J15" s="1299"/>
      <c r="K15" s="1211"/>
    </row>
    <row r="16" spans="1:17" s="1199" customFormat="1" ht="15">
      <c r="A16" s="1207" t="s">
        <v>1866</v>
      </c>
    </row>
    <row r="17" spans="1:11" s="1199" customFormat="1" ht="3" customHeight="1"/>
    <row r="18" spans="1:11" s="1199" customFormat="1" ht="15" customHeight="1">
      <c r="A18" s="1299" t="s">
        <v>1876</v>
      </c>
      <c r="B18" s="1299"/>
      <c r="C18" s="1299"/>
      <c r="D18" s="1299"/>
      <c r="E18" s="1299"/>
      <c r="F18" s="1299"/>
      <c r="G18" s="1299"/>
      <c r="H18" s="1299"/>
      <c r="I18" s="1299"/>
      <c r="J18" s="1299"/>
      <c r="K18" s="1211"/>
    </row>
    <row r="19" spans="1:11" s="1199" customFormat="1" ht="15" customHeight="1">
      <c r="A19" s="1299"/>
      <c r="B19" s="1299"/>
      <c r="C19" s="1299"/>
      <c r="D19" s="1299"/>
      <c r="E19" s="1299"/>
      <c r="F19" s="1299"/>
      <c r="G19" s="1299"/>
      <c r="H19" s="1299"/>
      <c r="I19" s="1299"/>
      <c r="J19" s="1299"/>
      <c r="K19" s="1211"/>
    </row>
    <row r="20" spans="1:11" s="1199" customFormat="1" ht="15" customHeight="1">
      <c r="A20" s="1299"/>
      <c r="B20" s="1299"/>
      <c r="C20" s="1299"/>
      <c r="D20" s="1299"/>
      <c r="E20" s="1299"/>
      <c r="F20" s="1299"/>
      <c r="G20" s="1299"/>
      <c r="H20" s="1299"/>
      <c r="I20" s="1299"/>
      <c r="J20" s="1299"/>
      <c r="K20" s="1211"/>
    </row>
    <row r="21" spans="1:11" s="1199" customFormat="1" ht="15" customHeight="1">
      <c r="A21" s="1299"/>
      <c r="B21" s="1299"/>
      <c r="C21" s="1299"/>
      <c r="D21" s="1299"/>
      <c r="E21" s="1299"/>
      <c r="F21" s="1299"/>
      <c r="G21" s="1299"/>
      <c r="H21" s="1299"/>
      <c r="I21" s="1299"/>
      <c r="J21" s="1299"/>
      <c r="K21" s="1211"/>
    </row>
    <row r="22" spans="1:11" s="1199" customFormat="1" ht="15" customHeight="1">
      <c r="A22" s="1299"/>
      <c r="B22" s="1299"/>
      <c r="C22" s="1299"/>
      <c r="D22" s="1299"/>
      <c r="E22" s="1299"/>
      <c r="F22" s="1299"/>
      <c r="G22" s="1299"/>
      <c r="H22" s="1299"/>
      <c r="I22" s="1299"/>
      <c r="J22" s="1299"/>
      <c r="K22" s="1211"/>
    </row>
    <row r="23" spans="1:11" s="1199" customFormat="1" ht="15">
      <c r="A23" s="1299"/>
      <c r="B23" s="1299"/>
      <c r="C23" s="1299"/>
      <c r="D23" s="1299"/>
      <c r="E23" s="1299"/>
      <c r="F23" s="1299"/>
      <c r="G23" s="1299"/>
      <c r="H23" s="1299"/>
      <c r="I23" s="1299"/>
      <c r="J23" s="1299"/>
    </row>
    <row r="24" spans="1:11" s="1199" customFormat="1" ht="15"/>
    <row r="25" spans="1:11" s="1199" customFormat="1" ht="15"/>
    <row r="26" spans="1:11" s="1199" customFormat="1" ht="15"/>
    <row r="27" spans="1:11" s="1199" customFormat="1" ht="15"/>
    <row r="28" spans="1:11" s="1199" customFormat="1" ht="18">
      <c r="H28" s="1302" t="s">
        <v>71</v>
      </c>
      <c r="I28" s="1302"/>
      <c r="J28" s="1302"/>
      <c r="K28" s="1212"/>
    </row>
    <row r="29" spans="1:11" s="1199" customFormat="1" ht="18">
      <c r="H29" s="1303" t="s">
        <v>1868</v>
      </c>
      <c r="I29" s="1303"/>
      <c r="J29" s="1303"/>
      <c r="K29" s="1213"/>
    </row>
    <row r="30" spans="1:11" s="1199" customFormat="1" ht="15"/>
    <row r="31" spans="1:11" s="1199" customFormat="1" ht="18">
      <c r="A31" s="1214" t="s">
        <v>1869</v>
      </c>
    </row>
    <row r="32" spans="1:11" s="1199" customFormat="1" ht="18">
      <c r="A32" s="1214"/>
      <c r="B32" s="1214"/>
      <c r="C32" s="1214"/>
      <c r="D32" s="1214"/>
      <c r="E32" s="1214"/>
      <c r="F32" s="1214"/>
      <c r="G32" s="1214"/>
      <c r="H32" s="1214"/>
      <c r="I32" s="1214"/>
      <c r="J32" s="1214"/>
      <c r="K32" s="1214"/>
    </row>
    <row r="33" spans="1:11" s="1199" customFormat="1" ht="18">
      <c r="A33" s="1214"/>
      <c r="B33" s="1214"/>
      <c r="C33" s="1214"/>
      <c r="D33" s="1214"/>
      <c r="E33" s="1214"/>
      <c r="F33" s="1214"/>
      <c r="G33" s="1214"/>
      <c r="H33" s="1214"/>
      <c r="I33" s="1214"/>
      <c r="J33" s="1214"/>
      <c r="K33" s="1214"/>
    </row>
    <row r="34" spans="1:11" s="1199" customFormat="1" ht="18">
      <c r="A34" s="1214"/>
      <c r="B34" s="1214"/>
      <c r="C34" s="1302" t="s">
        <v>1870</v>
      </c>
      <c r="D34" s="1302"/>
      <c r="E34" s="1302"/>
      <c r="F34" s="1214"/>
      <c r="G34" s="1214"/>
      <c r="H34" s="1214"/>
      <c r="I34" s="1214"/>
      <c r="J34" s="1214"/>
      <c r="K34" s="1214"/>
    </row>
    <row r="35" spans="1:11" s="1199" customFormat="1" ht="18">
      <c r="A35" s="1212"/>
      <c r="B35" s="1212"/>
      <c r="C35" s="1303" t="s">
        <v>22</v>
      </c>
      <c r="D35" s="1303"/>
      <c r="E35" s="1303"/>
      <c r="F35" s="1212"/>
      <c r="G35" s="1212"/>
      <c r="H35" s="1212"/>
      <c r="I35" s="1214"/>
      <c r="J35" s="1214"/>
      <c r="K35" s="1214"/>
    </row>
    <row r="36" spans="1:11" s="1199" customFormat="1" ht="18">
      <c r="A36" s="1213"/>
      <c r="B36" s="1213"/>
      <c r="C36" s="1303" t="s">
        <v>1747</v>
      </c>
      <c r="D36" s="1303"/>
      <c r="E36" s="1303"/>
      <c r="F36" s="1213"/>
      <c r="G36" s="1213"/>
      <c r="H36" s="1213"/>
      <c r="I36" s="1214"/>
      <c r="J36" s="1214"/>
      <c r="K36" s="1214"/>
    </row>
    <row r="37" spans="1:11" s="1199" customFormat="1" ht="18">
      <c r="A37" s="1213"/>
      <c r="B37" s="1213"/>
      <c r="C37" s="1303"/>
      <c r="D37" s="1303"/>
      <c r="E37" s="1303"/>
      <c r="F37" s="1213"/>
      <c r="G37" s="1213"/>
      <c r="H37" s="1213"/>
      <c r="I37" s="1214"/>
      <c r="J37" s="1214"/>
      <c r="K37" s="1214"/>
    </row>
    <row r="38" spans="1:11" s="1199" customFormat="1" ht="18">
      <c r="A38" s="1214"/>
      <c r="B38" s="1214"/>
      <c r="C38" s="1214"/>
      <c r="D38" s="1214"/>
      <c r="E38" s="1214"/>
      <c r="F38" s="1214"/>
      <c r="G38" s="1214"/>
      <c r="H38" s="1214"/>
      <c r="I38" s="1214"/>
      <c r="J38" s="1214"/>
      <c r="K38" s="1214"/>
    </row>
    <row r="39" spans="1:11" s="1199" customFormat="1" ht="18">
      <c r="A39" s="1214"/>
      <c r="B39" s="1214"/>
      <c r="C39" s="1214"/>
      <c r="D39" s="1215" t="s">
        <v>245</v>
      </c>
      <c r="E39" s="1215"/>
      <c r="F39" s="1214"/>
      <c r="G39" s="1214"/>
      <c r="H39" s="1215" t="s">
        <v>437</v>
      </c>
      <c r="I39" s="1215"/>
      <c r="J39" s="1214"/>
      <c r="K39" s="1214"/>
    </row>
    <row r="40" spans="1:11" s="1199" customFormat="1" ht="18">
      <c r="A40" s="1214"/>
      <c r="B40" s="1214"/>
      <c r="C40" s="1214"/>
      <c r="D40" s="1199" t="s">
        <v>1749</v>
      </c>
      <c r="E40" s="1214"/>
      <c r="F40" s="1214"/>
      <c r="G40" s="1214"/>
      <c r="H40" s="1214" t="s">
        <v>1749</v>
      </c>
      <c r="I40" s="1214"/>
      <c r="J40" s="1214"/>
      <c r="K40" s="1214"/>
    </row>
    <row r="41" spans="1:11" s="1199" customFormat="1" ht="18">
      <c r="A41" s="1214"/>
      <c r="B41" s="1214"/>
      <c r="C41" s="1214"/>
      <c r="D41" s="1214"/>
      <c r="E41" s="1214"/>
      <c r="F41" s="1214"/>
      <c r="G41" s="1214"/>
      <c r="H41" s="1214"/>
      <c r="I41" s="1214"/>
      <c r="J41" s="1214"/>
      <c r="K41" s="1214"/>
    </row>
    <row r="42" spans="1:11" s="1199" customFormat="1" ht="18">
      <c r="A42" s="1214"/>
      <c r="B42" s="1214"/>
      <c r="C42" s="1214"/>
      <c r="D42" s="1214"/>
      <c r="E42" s="1214"/>
      <c r="F42" s="1214"/>
      <c r="G42" s="1214"/>
      <c r="H42" s="1214"/>
      <c r="I42" s="1214"/>
      <c r="J42" s="1214"/>
      <c r="K42" s="1214"/>
    </row>
    <row r="43" spans="1:11" s="1199" customFormat="1" ht="18">
      <c r="A43" s="1214"/>
      <c r="B43" s="1214"/>
      <c r="C43" s="1214"/>
      <c r="D43" s="1215" t="s">
        <v>436</v>
      </c>
      <c r="E43" s="1215"/>
      <c r="F43" s="1214"/>
      <c r="G43" s="1214"/>
      <c r="H43" s="1215" t="s">
        <v>1462</v>
      </c>
      <c r="I43" s="1215"/>
      <c r="J43" s="1214"/>
      <c r="K43" s="1214"/>
    </row>
    <row r="44" spans="1:11" s="1199" customFormat="1" ht="18">
      <c r="A44" s="1214"/>
      <c r="B44" s="1214"/>
      <c r="C44" s="1214"/>
      <c r="D44" s="1214" t="s">
        <v>1749</v>
      </c>
      <c r="E44" s="1214"/>
      <c r="F44" s="1214"/>
      <c r="G44" s="1214"/>
      <c r="H44" s="1199" t="s">
        <v>1749</v>
      </c>
      <c r="J44" s="1214"/>
      <c r="K44" s="1214"/>
    </row>
    <row r="45" spans="1:11" s="1199" customFormat="1" ht="18">
      <c r="A45" s="1214"/>
      <c r="B45" s="1214"/>
      <c r="C45" s="1214"/>
      <c r="D45" s="1216"/>
      <c r="E45" s="1214"/>
      <c r="F45" s="1214"/>
      <c r="G45" s="1214"/>
      <c r="H45" s="1214"/>
      <c r="I45" s="1214"/>
      <c r="J45" s="1214"/>
      <c r="K45" s="1214"/>
    </row>
    <row r="46" spans="1:11" s="1199" customFormat="1" ht="18">
      <c r="A46" s="1214"/>
      <c r="B46" s="1214"/>
      <c r="C46" s="1214"/>
      <c r="D46" s="1216"/>
      <c r="E46" s="1214"/>
      <c r="F46" s="1214"/>
      <c r="G46" s="1214"/>
      <c r="H46" s="1214"/>
      <c r="I46" s="1214"/>
      <c r="J46" s="1214"/>
      <c r="K46" s="1214"/>
    </row>
    <row r="47" spans="1:11" s="1199" customFormat="1" ht="18">
      <c r="A47" s="1214"/>
      <c r="B47" s="1214"/>
      <c r="C47" s="1214"/>
      <c r="D47" s="1214"/>
      <c r="E47" s="1214"/>
      <c r="F47" s="1214"/>
      <c r="G47" s="1214"/>
      <c r="H47" s="1214"/>
      <c r="I47" s="1214"/>
      <c r="J47" s="1214"/>
      <c r="K47" s="1214"/>
    </row>
    <row r="48" spans="1:11" s="1199" customFormat="1" ht="18">
      <c r="A48" s="1214"/>
      <c r="B48" s="1214"/>
      <c r="C48" s="1214"/>
      <c r="D48" s="1215" t="s">
        <v>25</v>
      </c>
      <c r="E48" s="1215"/>
      <c r="F48" s="1214"/>
      <c r="G48" s="1214"/>
      <c r="H48" s="1215" t="s">
        <v>383</v>
      </c>
      <c r="I48" s="1215"/>
      <c r="J48" s="1214"/>
      <c r="K48" s="1214"/>
    </row>
    <row r="49" spans="1:11" s="1199" customFormat="1" ht="18">
      <c r="A49" s="1214"/>
      <c r="B49" s="1214"/>
      <c r="C49" s="1214"/>
      <c r="D49" s="1199" t="s">
        <v>1749</v>
      </c>
      <c r="E49" s="1214"/>
      <c r="F49" s="1214"/>
      <c r="G49" s="1214"/>
      <c r="H49" s="1199" t="s">
        <v>1749</v>
      </c>
      <c r="J49" s="1214"/>
      <c r="K49" s="1214"/>
    </row>
    <row r="50" spans="1:11" s="1199" customFormat="1" ht="18">
      <c r="A50" s="1214"/>
      <c r="B50" s="1214"/>
      <c r="C50" s="1214"/>
      <c r="D50" s="1214"/>
      <c r="E50" s="1214"/>
      <c r="F50" s="1214"/>
      <c r="G50" s="1214"/>
      <c r="H50" s="1214"/>
      <c r="I50" s="1214"/>
      <c r="J50" s="1214"/>
      <c r="K50" s="1214"/>
    </row>
    <row r="51" spans="1:11" s="1199" customFormat="1" ht="18">
      <c r="A51" s="1214"/>
      <c r="B51" s="1214"/>
      <c r="C51" s="1214"/>
      <c r="D51" s="1214"/>
      <c r="E51" s="1214"/>
      <c r="F51" s="1214"/>
      <c r="G51" s="1214"/>
      <c r="H51" s="1214"/>
      <c r="I51" s="1214"/>
      <c r="J51" s="1214"/>
      <c r="K51" s="1214"/>
    </row>
    <row r="52" spans="1:11" s="1199" customFormat="1" ht="18">
      <c r="A52" s="1214"/>
      <c r="B52" s="1214"/>
      <c r="C52" s="1214"/>
      <c r="D52" s="1215" t="s">
        <v>1871</v>
      </c>
      <c r="E52" s="1215"/>
      <c r="F52" s="1214"/>
      <c r="G52" s="1214"/>
      <c r="H52" s="1215" t="s">
        <v>1449</v>
      </c>
      <c r="I52" s="1214"/>
      <c r="J52" s="1214"/>
      <c r="K52" s="1214"/>
    </row>
    <row r="53" spans="1:11" s="1199" customFormat="1" ht="18">
      <c r="A53" s="1214"/>
      <c r="B53" s="1214"/>
      <c r="C53" s="1214"/>
      <c r="D53" s="1199" t="s">
        <v>1749</v>
      </c>
      <c r="E53" s="1214"/>
      <c r="F53" s="1214"/>
      <c r="G53" s="1214"/>
      <c r="H53" s="1199" t="s">
        <v>1749</v>
      </c>
      <c r="I53" s="1214"/>
      <c r="J53" s="1214"/>
      <c r="K53" s="1214"/>
    </row>
    <row r="54" spans="1:11" s="1199" customFormat="1" ht="18">
      <c r="A54" s="1214"/>
      <c r="B54" s="1214"/>
      <c r="C54" s="1214"/>
      <c r="D54" s="1214"/>
      <c r="E54" s="1214"/>
      <c r="F54" s="1214"/>
      <c r="G54" s="1214"/>
      <c r="H54" s="1214"/>
      <c r="I54" s="1214"/>
      <c r="J54" s="1214"/>
      <c r="K54" s="1214"/>
    </row>
    <row r="55" spans="1:11" s="1199" customFormat="1" ht="18">
      <c r="A55" s="1214"/>
      <c r="B55" s="1214"/>
      <c r="C55" s="1214"/>
      <c r="D55" s="1214"/>
      <c r="E55" s="1214"/>
      <c r="F55" s="1214"/>
      <c r="G55" s="1214"/>
      <c r="H55" s="1214"/>
      <c r="I55" s="1214"/>
      <c r="J55" s="1214"/>
      <c r="K55" s="1214"/>
    </row>
    <row r="56" spans="1:11" s="1199" customFormat="1" ht="18">
      <c r="A56" s="1214"/>
      <c r="B56" s="1214"/>
      <c r="C56" s="1214"/>
      <c r="D56" s="1215" t="s">
        <v>997</v>
      </c>
      <c r="E56" s="1215"/>
      <c r="F56" s="1214"/>
      <c r="G56" s="1214"/>
      <c r="H56" s="1215" t="s">
        <v>964</v>
      </c>
      <c r="I56" s="1215"/>
      <c r="J56" s="1214"/>
      <c r="K56" s="1214"/>
    </row>
    <row r="57" spans="1:11" s="1199" customFormat="1" ht="18">
      <c r="A57" s="1214"/>
      <c r="B57" s="1214"/>
      <c r="C57" s="1214"/>
      <c r="D57" s="1199" t="s">
        <v>1872</v>
      </c>
      <c r="E57" s="1214"/>
      <c r="F57" s="1214"/>
      <c r="G57" s="1214"/>
      <c r="H57" s="1199" t="s">
        <v>1873</v>
      </c>
      <c r="J57" s="1214"/>
      <c r="K57" s="1214"/>
    </row>
    <row r="58" spans="1:11" s="1199" customFormat="1" ht="18">
      <c r="A58" s="1214"/>
      <c r="B58" s="1214"/>
      <c r="C58" s="1214"/>
      <c r="D58" s="1214"/>
      <c r="E58" s="1214"/>
      <c r="F58" s="1214"/>
      <c r="G58" s="1214"/>
      <c r="H58" s="1304"/>
      <c r="I58" s="1304"/>
      <c r="J58" s="1304"/>
      <c r="K58" s="1214"/>
    </row>
    <row r="59" spans="1:11" s="1199" customFormat="1" ht="18">
      <c r="A59" s="1214"/>
      <c r="B59" s="1214"/>
      <c r="C59" s="1214"/>
      <c r="D59" s="1214"/>
      <c r="E59" s="1214"/>
      <c r="F59" s="1214"/>
      <c r="G59" s="1214"/>
      <c r="H59" s="1214"/>
      <c r="I59" s="1214"/>
      <c r="J59" s="1214"/>
      <c r="K59" s="1214"/>
    </row>
    <row r="60" spans="1:11" s="1199" customFormat="1" ht="18">
      <c r="A60" s="1214"/>
      <c r="B60" s="1214"/>
      <c r="C60" s="1214"/>
      <c r="D60" s="1305" t="s">
        <v>1874</v>
      </c>
      <c r="E60" s="1305"/>
      <c r="F60" s="1305"/>
      <c r="G60" s="1214"/>
      <c r="H60" s="1214"/>
      <c r="I60" s="1214"/>
      <c r="J60" s="1214"/>
      <c r="K60" s="1214"/>
    </row>
    <row r="61" spans="1:11" s="1199" customFormat="1" ht="18">
      <c r="A61" s="1214"/>
      <c r="B61" s="1214"/>
      <c r="C61" s="1214"/>
      <c r="D61" s="1214"/>
      <c r="E61" s="1214"/>
      <c r="F61" s="1214"/>
      <c r="G61" s="1214"/>
      <c r="H61" s="1214"/>
      <c r="I61" s="1214"/>
      <c r="J61" s="1214"/>
      <c r="K61" s="1214"/>
    </row>
    <row r="62" spans="1:11" s="1199" customFormat="1" ht="18">
      <c r="A62" s="1214"/>
      <c r="B62" s="1214"/>
      <c r="C62" s="1214"/>
      <c r="D62" s="1214"/>
      <c r="E62" s="1214"/>
      <c r="F62" s="1214"/>
      <c r="G62" s="1214"/>
      <c r="H62" s="1214"/>
      <c r="I62" s="1214"/>
      <c r="J62" s="1214"/>
      <c r="K62" s="1214"/>
    </row>
    <row r="63" spans="1:11" s="1199" customFormat="1" ht="18">
      <c r="A63" s="1302" t="s">
        <v>1456</v>
      </c>
      <c r="B63" s="1302"/>
      <c r="C63" s="1302"/>
      <c r="D63" s="1302"/>
      <c r="E63" s="1302"/>
      <c r="F63" s="1302"/>
      <c r="G63" s="1302"/>
      <c r="H63" s="1302"/>
      <c r="I63" s="1302"/>
      <c r="J63" s="1302"/>
      <c r="K63" s="1214"/>
    </row>
    <row r="64" spans="1:11" s="1199" customFormat="1" ht="18">
      <c r="A64" s="1305" t="s">
        <v>14</v>
      </c>
      <c r="B64" s="1305"/>
      <c r="C64" s="1305"/>
      <c r="D64" s="1305"/>
      <c r="E64" s="1305"/>
      <c r="F64" s="1305"/>
      <c r="G64" s="1305"/>
      <c r="H64" s="1305"/>
      <c r="I64" s="1305"/>
      <c r="J64" s="1305"/>
      <c r="K64" s="1214"/>
    </row>
    <row r="65" spans="1:11" s="1199" customFormat="1" ht="15"/>
    <row r="66" spans="1:11" s="1199" customFormat="1" ht="15"/>
    <row r="67" spans="1:11" s="1199" customFormat="1" ht="15"/>
    <row r="68" spans="1:11" s="1199" customFormat="1" ht="15"/>
    <row r="69" spans="1:11" s="1199" customFormat="1" ht="15"/>
    <row r="71" spans="1:11" ht="23.25">
      <c r="A71" s="1297" t="s">
        <v>983</v>
      </c>
      <c r="B71" s="1297"/>
      <c r="C71" s="1297"/>
      <c r="D71" s="1297"/>
      <c r="E71" s="1297"/>
      <c r="F71" s="1297"/>
      <c r="G71" s="1297"/>
      <c r="H71" s="1297"/>
      <c r="I71" s="1297"/>
      <c r="J71" s="1297"/>
      <c r="K71" s="1217"/>
    </row>
  </sheetData>
  <mergeCells count="18">
    <mergeCell ref="A71:J71"/>
    <mergeCell ref="A18:J23"/>
    <mergeCell ref="H28:J28"/>
    <mergeCell ref="H29:J29"/>
    <mergeCell ref="C34:E34"/>
    <mergeCell ref="C35:E35"/>
    <mergeCell ref="C36:E36"/>
    <mergeCell ref="C37:E37"/>
    <mergeCell ref="H58:J58"/>
    <mergeCell ref="D60:F60"/>
    <mergeCell ref="A63:J63"/>
    <mergeCell ref="A64:J64"/>
    <mergeCell ref="A14:J15"/>
    <mergeCell ref="A1:J1"/>
    <mergeCell ref="A2:J2"/>
    <mergeCell ref="A3:J3"/>
    <mergeCell ref="A4:J4"/>
    <mergeCell ref="A8:J8"/>
  </mergeCells>
  <printOptions horizontalCentered="1"/>
  <pageMargins left="0.75" right="0.75" top="0.5" bottom="0" header="0.3" footer="0.3"/>
  <pageSetup paperSize="14"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21"/>
  <sheetViews>
    <sheetView topLeftCell="A739" zoomScaleNormal="100" workbookViewId="0">
      <selection activeCell="A748" sqref="A748:M810"/>
    </sheetView>
  </sheetViews>
  <sheetFormatPr defaultRowHeight="12.75"/>
  <cols>
    <col min="1" max="1" width="8.7109375" style="118" customWidth="1"/>
    <col min="2" max="2" width="4.140625" style="118" customWidth="1"/>
    <col min="3" max="3" width="1.28515625" style="209" customWidth="1"/>
    <col min="4" max="4" width="3.140625" style="209" customWidth="1"/>
    <col min="5" max="5" width="12.5703125" style="118" customWidth="1"/>
    <col min="6" max="6" width="5.85546875" style="118" customWidth="1"/>
    <col min="7" max="7" width="14.85546875" style="118" customWidth="1"/>
    <col min="8" max="8" width="31.85546875" style="118" customWidth="1"/>
    <col min="9" max="9" width="7.42578125" style="118" customWidth="1"/>
    <col min="10" max="10" width="13.5703125" style="118" customWidth="1"/>
    <col min="11" max="11" width="7.140625" style="136" customWidth="1"/>
    <col min="12" max="12" width="13.7109375" style="113" customWidth="1"/>
    <col min="13" max="14" width="14.140625" style="178" customWidth="1"/>
    <col min="15" max="15" width="14.42578125" style="115" customWidth="1"/>
    <col min="16" max="16" width="10.5703125" style="115" customWidth="1"/>
    <col min="17" max="17" width="13.28515625" style="116" customWidth="1"/>
    <col min="18" max="18" width="13.5703125" style="116" customWidth="1"/>
    <col min="19" max="19" width="13.5703125" style="117" customWidth="1"/>
    <col min="20" max="16384" width="9.140625" style="118"/>
  </cols>
  <sheetData>
    <row r="1" spans="1:19" ht="18" customHeight="1">
      <c r="A1" s="110"/>
      <c r="B1" s="110"/>
      <c r="C1" s="1057"/>
      <c r="D1" s="1057"/>
      <c r="E1" s="111"/>
      <c r="F1" s="111"/>
      <c r="G1" s="111"/>
      <c r="H1" s="111"/>
      <c r="I1" s="111"/>
      <c r="J1" s="111"/>
      <c r="K1" s="112"/>
      <c r="M1" s="114"/>
      <c r="N1" s="114"/>
    </row>
    <row r="2" spans="1:19" ht="18" customHeight="1">
      <c r="A2" s="1319" t="s">
        <v>1675</v>
      </c>
      <c r="B2" s="1319"/>
      <c r="C2" s="1319"/>
      <c r="D2" s="1319"/>
      <c r="E2" s="1319"/>
      <c r="F2" s="1319"/>
      <c r="G2" s="1319"/>
      <c r="H2" s="1319"/>
      <c r="I2" s="1319"/>
      <c r="J2" s="1319"/>
      <c r="K2" s="1319"/>
      <c r="L2" s="1319"/>
      <c r="M2" s="1319"/>
      <c r="N2" s="1048"/>
    </row>
    <row r="3" spans="1:19" ht="18" customHeight="1">
      <c r="A3" s="1320" t="s">
        <v>358</v>
      </c>
      <c r="B3" s="1320"/>
      <c r="C3" s="1320"/>
      <c r="D3" s="1320"/>
      <c r="E3" s="1320"/>
      <c r="F3" s="1320"/>
      <c r="G3" s="1320"/>
      <c r="H3" s="1320"/>
      <c r="I3" s="1320"/>
      <c r="J3" s="1320"/>
      <c r="K3" s="1320"/>
      <c r="L3" s="1320"/>
      <c r="M3" s="1320"/>
      <c r="N3" s="1049"/>
    </row>
    <row r="4" spans="1:19" ht="18" customHeight="1">
      <c r="A4" s="1321"/>
      <c r="B4" s="1321"/>
      <c r="C4" s="1321"/>
      <c r="D4" s="1321"/>
      <c r="E4" s="1321"/>
      <c r="F4" s="1321"/>
      <c r="G4" s="1321"/>
      <c r="H4" s="1321"/>
      <c r="I4" s="1321"/>
      <c r="J4" s="1321"/>
      <c r="K4" s="1321"/>
      <c r="L4" s="1321"/>
      <c r="M4" s="1321"/>
      <c r="N4" s="1050"/>
    </row>
    <row r="5" spans="1:19" ht="18" customHeight="1">
      <c r="A5" s="1050"/>
      <c r="B5" s="1050"/>
      <c r="C5" s="1050"/>
      <c r="D5" s="1050"/>
      <c r="E5" s="1050"/>
      <c r="F5" s="1050"/>
      <c r="G5" s="1050"/>
      <c r="H5" s="1050"/>
      <c r="I5" s="1050"/>
      <c r="J5" s="1050"/>
      <c r="K5" s="1050"/>
      <c r="L5" s="1050"/>
      <c r="M5" s="1050"/>
      <c r="N5" s="1050"/>
    </row>
    <row r="6" spans="1:19" ht="18" customHeight="1">
      <c r="A6" s="111" t="s">
        <v>446</v>
      </c>
      <c r="B6" s="111"/>
      <c r="C6" s="1050" t="s">
        <v>448</v>
      </c>
      <c r="D6" s="111" t="s">
        <v>293</v>
      </c>
      <c r="F6" s="111"/>
      <c r="G6" s="111"/>
      <c r="H6" s="111"/>
      <c r="I6" s="111"/>
      <c r="J6" s="112"/>
      <c r="K6" s="1050"/>
      <c r="L6" s="1050"/>
      <c r="M6" s="1050"/>
      <c r="N6" s="1050"/>
    </row>
    <row r="7" spans="1:19" ht="18" customHeight="1">
      <c r="A7" s="111" t="s">
        <v>445</v>
      </c>
      <c r="B7" s="111"/>
      <c r="C7" s="1050" t="s">
        <v>448</v>
      </c>
      <c r="D7" s="111" t="s">
        <v>449</v>
      </c>
      <c r="F7" s="111"/>
      <c r="G7" s="111"/>
      <c r="H7" s="111"/>
      <c r="I7" s="111"/>
      <c r="J7" s="112"/>
      <c r="K7" s="1050"/>
      <c r="L7" s="1050"/>
      <c r="M7" s="1050"/>
      <c r="N7" s="1050"/>
    </row>
    <row r="8" spans="1:19" ht="18" customHeight="1" thickBot="1">
      <c r="A8" s="111" t="s">
        <v>447</v>
      </c>
      <c r="B8" s="111"/>
      <c r="C8" s="119" t="s">
        <v>448</v>
      </c>
      <c r="D8" s="111" t="s">
        <v>673</v>
      </c>
      <c r="F8" s="111"/>
      <c r="G8" s="111"/>
      <c r="H8" s="111"/>
      <c r="I8" s="111"/>
      <c r="J8" s="112"/>
      <c r="K8" s="112"/>
      <c r="M8" s="113"/>
      <c r="N8" s="113"/>
      <c r="Q8" s="120" t="s">
        <v>884</v>
      </c>
    </row>
    <row r="9" spans="1:19" ht="18" customHeight="1">
      <c r="A9" s="1322" t="s">
        <v>631</v>
      </c>
      <c r="B9" s="1323"/>
      <c r="C9" s="1323"/>
      <c r="D9" s="1323"/>
      <c r="E9" s="1324"/>
      <c r="F9" s="1323"/>
      <c r="G9" s="1325"/>
      <c r="H9" s="1051"/>
      <c r="I9" s="1326" t="s">
        <v>635</v>
      </c>
      <c r="J9" s="1327"/>
      <c r="K9" s="1326" t="s">
        <v>635</v>
      </c>
      <c r="L9" s="1327"/>
      <c r="M9" s="122"/>
      <c r="N9" s="120"/>
    </row>
    <row r="10" spans="1:19" ht="18" customHeight="1">
      <c r="A10" s="123" t="s">
        <v>632</v>
      </c>
      <c r="B10" s="1311" t="s">
        <v>633</v>
      </c>
      <c r="C10" s="1312"/>
      <c r="D10" s="1313"/>
      <c r="E10" s="1314" t="s">
        <v>44</v>
      </c>
      <c r="F10" s="1315"/>
      <c r="G10" s="1316"/>
      <c r="H10" s="1054" t="s">
        <v>45</v>
      </c>
      <c r="I10" s="1314" t="s">
        <v>1502</v>
      </c>
      <c r="J10" s="1316"/>
      <c r="K10" s="1315" t="s">
        <v>1676</v>
      </c>
      <c r="L10" s="1316"/>
      <c r="M10" s="124" t="s">
        <v>46</v>
      </c>
      <c r="N10" s="1013"/>
    </row>
    <row r="11" spans="1:19" ht="18" customHeight="1">
      <c r="A11" s="125"/>
      <c r="B11" s="1054"/>
      <c r="C11" s="1055"/>
      <c r="D11" s="1055"/>
      <c r="E11" s="1054"/>
      <c r="F11" s="1055"/>
      <c r="G11" s="1056"/>
      <c r="H11" s="1054" t="s">
        <v>47</v>
      </c>
      <c r="I11" s="1317"/>
      <c r="J11" s="1318"/>
      <c r="K11" s="1317"/>
      <c r="L11" s="1318"/>
      <c r="M11" s="124" t="s">
        <v>48</v>
      </c>
      <c r="N11" s="1013"/>
    </row>
    <row r="12" spans="1:19" ht="18" customHeight="1">
      <c r="A12" s="125"/>
      <c r="B12" s="1054"/>
      <c r="C12" s="1055"/>
      <c r="D12" s="1055"/>
      <c r="E12" s="1054"/>
      <c r="F12" s="1055"/>
      <c r="G12" s="126"/>
      <c r="H12" s="127"/>
      <c r="I12" s="128" t="s">
        <v>634</v>
      </c>
      <c r="J12" s="129" t="s">
        <v>49</v>
      </c>
      <c r="K12" s="128" t="s">
        <v>634</v>
      </c>
      <c r="L12" s="129" t="s">
        <v>49</v>
      </c>
      <c r="M12" s="124"/>
      <c r="N12" s="120" t="s">
        <v>1628</v>
      </c>
    </row>
    <row r="13" spans="1:19" ht="18" customHeight="1" thickBot="1">
      <c r="A13" s="130"/>
      <c r="B13" s="1307"/>
      <c r="C13" s="1308"/>
      <c r="D13" s="1309"/>
      <c r="E13" s="1307"/>
      <c r="F13" s="1308"/>
      <c r="G13" s="1309"/>
      <c r="H13" s="131"/>
      <c r="I13" s="131"/>
      <c r="J13" s="131"/>
      <c r="K13" s="131"/>
      <c r="L13" s="131"/>
      <c r="M13" s="132"/>
      <c r="N13" s="1019" t="s">
        <v>1629</v>
      </c>
    </row>
    <row r="14" spans="1:19" ht="18" customHeight="1">
      <c r="A14" s="133"/>
      <c r="B14" s="133"/>
      <c r="C14" s="119"/>
      <c r="D14" s="119"/>
      <c r="E14" s="133"/>
      <c r="F14" s="119"/>
      <c r="G14" s="134"/>
      <c r="H14" s="135"/>
      <c r="I14" s="136"/>
      <c r="J14" s="137"/>
      <c r="L14" s="137"/>
      <c r="M14" s="138"/>
      <c r="N14" s="1014"/>
    </row>
    <row r="15" spans="1:19" s="146" customFormat="1" ht="18" customHeight="1">
      <c r="A15" s="1059">
        <v>1</v>
      </c>
      <c r="B15" s="1059"/>
      <c r="C15" s="1060"/>
      <c r="D15" s="1060"/>
      <c r="E15" s="139" t="s">
        <v>1699</v>
      </c>
      <c r="F15" s="1060"/>
      <c r="G15" s="140"/>
      <c r="H15" s="141" t="s">
        <v>1448</v>
      </c>
      <c r="I15" s="142" t="s">
        <v>1450</v>
      </c>
      <c r="J15" s="143">
        <v>1287924</v>
      </c>
      <c r="K15" s="142" t="s">
        <v>1450</v>
      </c>
      <c r="L15" s="143">
        <v>1312704</v>
      </c>
      <c r="M15" s="144">
        <f>L15-J15</f>
        <v>24780</v>
      </c>
      <c r="N15" s="1015">
        <f>L15/12</f>
        <v>109392</v>
      </c>
      <c r="O15" s="115">
        <f>L15-J15</f>
        <v>24780</v>
      </c>
      <c r="P15" s="115">
        <f>O15-M15</f>
        <v>0</v>
      </c>
      <c r="Q15" s="116">
        <v>90116</v>
      </c>
      <c r="R15" s="116">
        <f>Q15*12</f>
        <v>1081392</v>
      </c>
      <c r="S15" s="145">
        <f>R15-L15</f>
        <v>-231312</v>
      </c>
    </row>
    <row r="16" spans="1:19" s="146" customFormat="1" ht="18" customHeight="1">
      <c r="A16" s="1059"/>
      <c r="B16" s="1059"/>
      <c r="C16" s="1060"/>
      <c r="D16" s="1060"/>
      <c r="E16" s="139"/>
      <c r="F16" s="1060"/>
      <c r="G16" s="140"/>
      <c r="H16" s="141"/>
      <c r="I16" s="142"/>
      <c r="J16" s="143"/>
      <c r="K16" s="142" t="s">
        <v>1700</v>
      </c>
      <c r="L16" s="143">
        <v>1334124</v>
      </c>
      <c r="M16" s="143">
        <v>10710</v>
      </c>
      <c r="N16" s="170"/>
      <c r="O16" s="115"/>
      <c r="P16" s="115"/>
      <c r="Q16" s="116"/>
      <c r="R16" s="116"/>
      <c r="S16" s="117"/>
    </row>
    <row r="17" spans="1:19" s="146" customFormat="1" ht="18" customHeight="1">
      <c r="A17" s="1059"/>
      <c r="B17" s="1059"/>
      <c r="C17" s="1060"/>
      <c r="D17" s="1060"/>
      <c r="E17" s="139"/>
      <c r="F17" s="1060"/>
      <c r="G17" s="140"/>
      <c r="H17" s="141"/>
      <c r="I17" s="142"/>
      <c r="J17" s="143"/>
      <c r="K17" s="142"/>
      <c r="L17" s="149">
        <v>44743</v>
      </c>
      <c r="M17" s="143"/>
      <c r="N17" s="170"/>
      <c r="O17" s="115"/>
      <c r="P17" s="115"/>
      <c r="Q17" s="116"/>
      <c r="R17" s="116"/>
      <c r="S17" s="117"/>
    </row>
    <row r="18" spans="1:19" s="146" customFormat="1" ht="18" customHeight="1">
      <c r="A18" s="1059"/>
      <c r="B18" s="1059"/>
      <c r="C18" s="1060"/>
      <c r="D18" s="1060"/>
      <c r="E18" s="147" t="s">
        <v>51</v>
      </c>
      <c r="F18" s="1060"/>
      <c r="G18" s="148"/>
      <c r="H18" s="141"/>
      <c r="I18" s="142"/>
      <c r="J18" s="143"/>
      <c r="K18" s="142"/>
      <c r="L18" s="143"/>
      <c r="M18" s="143"/>
      <c r="N18" s="170"/>
      <c r="O18" s="115"/>
      <c r="P18" s="115"/>
      <c r="Q18" s="116"/>
      <c r="R18" s="116"/>
      <c r="S18" s="117"/>
    </row>
    <row r="19" spans="1:19" s="146" customFormat="1" ht="18" customHeight="1">
      <c r="A19" s="1059"/>
      <c r="B19" s="1059"/>
      <c r="C19" s="1060"/>
      <c r="D19" s="1060"/>
      <c r="E19" s="139"/>
      <c r="F19" s="1060"/>
      <c r="G19" s="140"/>
      <c r="H19" s="141"/>
      <c r="I19" s="142"/>
      <c r="J19" s="143"/>
      <c r="K19" s="142"/>
      <c r="L19" s="143"/>
      <c r="M19" s="144"/>
      <c r="N19" s="1015"/>
      <c r="O19" s="115"/>
      <c r="P19" s="115"/>
      <c r="Q19" s="116"/>
      <c r="R19" s="116"/>
      <c r="S19" s="117"/>
    </row>
    <row r="20" spans="1:19" s="146" customFormat="1" ht="18" customHeight="1">
      <c r="A20" s="1059">
        <v>2</v>
      </c>
      <c r="B20" s="1059"/>
      <c r="C20" s="1060"/>
      <c r="D20" s="1060"/>
      <c r="E20" s="139" t="s">
        <v>431</v>
      </c>
      <c r="F20" s="1060"/>
      <c r="G20" s="140"/>
      <c r="H20" s="141" t="s">
        <v>888</v>
      </c>
      <c r="I20" s="142" t="s">
        <v>53</v>
      </c>
      <c r="J20" s="143">
        <v>342468</v>
      </c>
      <c r="K20" s="142" t="s">
        <v>53</v>
      </c>
      <c r="L20" s="143">
        <v>357984</v>
      </c>
      <c r="M20" s="144">
        <f>L20-J20</f>
        <v>15516</v>
      </c>
      <c r="N20" s="1015">
        <f>L20/12</f>
        <v>29832</v>
      </c>
      <c r="O20" s="115">
        <f>L20-J20</f>
        <v>15516</v>
      </c>
      <c r="P20" s="115">
        <f>O20-M20</f>
        <v>0</v>
      </c>
      <c r="Q20" s="116">
        <v>24955</v>
      </c>
      <c r="R20" s="116">
        <f>Q20*12</f>
        <v>299460</v>
      </c>
      <c r="S20" s="145">
        <f>R20-L20</f>
        <v>-58524</v>
      </c>
    </row>
    <row r="21" spans="1:19" s="146" customFormat="1" ht="18" customHeight="1">
      <c r="A21" s="1059"/>
      <c r="B21" s="1059"/>
      <c r="C21" s="1060"/>
      <c r="D21" s="1060"/>
      <c r="E21" s="139"/>
      <c r="F21" s="1060"/>
      <c r="G21" s="140"/>
      <c r="H21" s="141"/>
      <c r="I21" s="142"/>
      <c r="J21" s="143"/>
      <c r="K21" s="142" t="s">
        <v>434</v>
      </c>
      <c r="L21" s="143">
        <v>361848</v>
      </c>
      <c r="M21" s="144">
        <v>1610</v>
      </c>
      <c r="N21" s="1015"/>
      <c r="O21" s="115"/>
      <c r="P21" s="115"/>
      <c r="Q21" s="116"/>
      <c r="R21" s="116"/>
      <c r="S21" s="145"/>
    </row>
    <row r="22" spans="1:19" s="146" customFormat="1" ht="18" customHeight="1">
      <c r="A22" s="1059"/>
      <c r="B22" s="1059"/>
      <c r="C22" s="1060"/>
      <c r="D22" s="1060"/>
      <c r="E22" s="139"/>
      <c r="F22" s="1060"/>
      <c r="G22" s="140"/>
      <c r="H22" s="141"/>
      <c r="I22" s="142"/>
      <c r="J22" s="143"/>
      <c r="K22" s="142"/>
      <c r="L22" s="149">
        <v>44774</v>
      </c>
      <c r="M22" s="144"/>
      <c r="N22" s="1015"/>
      <c r="O22" s="115"/>
      <c r="P22" s="115"/>
      <c r="Q22" s="116"/>
      <c r="R22" s="116"/>
      <c r="S22" s="145"/>
    </row>
    <row r="23" spans="1:19" s="146" customFormat="1" ht="18" customHeight="1">
      <c r="A23" s="1059"/>
      <c r="B23" s="1059"/>
      <c r="C23" s="1060"/>
      <c r="D23" s="1060"/>
      <c r="E23" s="139"/>
      <c r="F23" s="1060"/>
      <c r="G23" s="140"/>
      <c r="H23" s="141"/>
      <c r="I23" s="142"/>
      <c r="J23" s="149"/>
      <c r="K23" s="142"/>
      <c r="L23" s="149"/>
      <c r="M23" s="144"/>
      <c r="N23" s="1015"/>
      <c r="O23" s="115"/>
      <c r="P23" s="115"/>
      <c r="Q23" s="116"/>
      <c r="R23" s="116"/>
      <c r="S23" s="117"/>
    </row>
    <row r="24" spans="1:19" s="146" customFormat="1" ht="18" customHeight="1">
      <c r="A24" s="1059">
        <v>3</v>
      </c>
      <c r="B24" s="1059"/>
      <c r="C24" s="1060"/>
      <c r="D24" s="1060"/>
      <c r="E24" s="139" t="s">
        <v>54</v>
      </c>
      <c r="F24" s="1060"/>
      <c r="G24" s="140"/>
      <c r="H24" s="141" t="s">
        <v>1466</v>
      </c>
      <c r="I24" s="142" t="s">
        <v>56</v>
      </c>
      <c r="J24" s="143">
        <v>146880</v>
      </c>
      <c r="K24" s="142" t="s">
        <v>56</v>
      </c>
      <c r="L24" s="143">
        <v>152928</v>
      </c>
      <c r="M24" s="144">
        <f>L24-J24</f>
        <v>6048</v>
      </c>
      <c r="N24" s="1015">
        <f>L24/12</f>
        <v>12744</v>
      </c>
      <c r="O24" s="115">
        <f>L24-J24</f>
        <v>6048</v>
      </c>
      <c r="P24" s="115">
        <f>O24-M24</f>
        <v>0</v>
      </c>
      <c r="Q24" s="116">
        <v>10773</v>
      </c>
      <c r="R24" s="116">
        <f>Q24*12</f>
        <v>129276</v>
      </c>
      <c r="S24" s="145">
        <f>R24-L24</f>
        <v>-23652</v>
      </c>
    </row>
    <row r="25" spans="1:19" s="146" customFormat="1" ht="18" customHeight="1">
      <c r="A25" s="1059"/>
      <c r="B25" s="1059"/>
      <c r="C25" s="1060"/>
      <c r="D25" s="1060"/>
      <c r="E25" s="139"/>
      <c r="F25" s="1060"/>
      <c r="G25" s="140"/>
      <c r="H25" s="141"/>
      <c r="I25" s="142"/>
      <c r="J25" s="143"/>
      <c r="K25" s="142" t="s">
        <v>109</v>
      </c>
      <c r="L25" s="143">
        <v>154116</v>
      </c>
      <c r="M25" s="144">
        <v>594</v>
      </c>
      <c r="N25" s="1015"/>
      <c r="O25" s="115"/>
      <c r="P25" s="115"/>
      <c r="Q25" s="116"/>
      <c r="R25" s="116"/>
      <c r="S25" s="117"/>
    </row>
    <row r="26" spans="1:19" s="146" customFormat="1" ht="18" customHeight="1">
      <c r="A26" s="1059"/>
      <c r="B26" s="1059"/>
      <c r="C26" s="1060"/>
      <c r="D26" s="1060"/>
      <c r="E26" s="139"/>
      <c r="F26" s="1060"/>
      <c r="G26" s="140"/>
      <c r="H26" s="141"/>
      <c r="I26" s="142"/>
      <c r="J26" s="143"/>
      <c r="K26" s="142"/>
      <c r="L26" s="149">
        <v>44743</v>
      </c>
      <c r="M26" s="144"/>
      <c r="N26" s="1015"/>
      <c r="O26" s="115"/>
      <c r="P26" s="115"/>
      <c r="Q26" s="116"/>
      <c r="R26" s="116"/>
      <c r="S26" s="117"/>
    </row>
    <row r="27" spans="1:19" s="146" customFormat="1" ht="18" customHeight="1">
      <c r="A27" s="1059"/>
      <c r="B27" s="1059"/>
      <c r="C27" s="1060"/>
      <c r="D27" s="1060"/>
      <c r="E27" s="147" t="s">
        <v>57</v>
      </c>
      <c r="F27" s="1060"/>
      <c r="G27" s="148"/>
      <c r="H27" s="141"/>
      <c r="I27" s="142"/>
      <c r="J27" s="143"/>
      <c r="K27" s="142"/>
      <c r="L27" s="143"/>
      <c r="M27" s="143"/>
      <c r="N27" s="170"/>
      <c r="O27" s="115"/>
      <c r="P27" s="115"/>
      <c r="Q27" s="116"/>
      <c r="R27" s="116"/>
      <c r="S27" s="117"/>
    </row>
    <row r="28" spans="1:19" s="146" customFormat="1" ht="18" customHeight="1">
      <c r="A28" s="1059"/>
      <c r="B28" s="1059"/>
      <c r="C28" s="1060"/>
      <c r="D28" s="1060"/>
      <c r="E28" s="139"/>
      <c r="F28" s="1060"/>
      <c r="G28" s="140"/>
      <c r="H28" s="141"/>
      <c r="I28" s="142"/>
      <c r="J28" s="143"/>
      <c r="K28" s="142"/>
      <c r="L28" s="143"/>
      <c r="M28" s="144"/>
      <c r="N28" s="1015"/>
      <c r="O28" s="115"/>
      <c r="P28" s="115"/>
      <c r="Q28" s="116"/>
      <c r="R28" s="116"/>
      <c r="S28" s="117"/>
    </row>
    <row r="29" spans="1:19" s="146" customFormat="1" ht="18" customHeight="1">
      <c r="A29" s="1059">
        <v>4</v>
      </c>
      <c r="B29" s="1059"/>
      <c r="C29" s="1060"/>
      <c r="D29" s="1060"/>
      <c r="E29" s="139" t="s">
        <v>54</v>
      </c>
      <c r="F29" s="1060"/>
      <c r="G29" s="140"/>
      <c r="H29" s="141" t="s">
        <v>59</v>
      </c>
      <c r="I29" s="142" t="s">
        <v>244</v>
      </c>
      <c r="J29" s="143">
        <v>149148</v>
      </c>
      <c r="K29" s="142" t="s">
        <v>244</v>
      </c>
      <c r="L29" s="143">
        <v>155280</v>
      </c>
      <c r="M29" s="144">
        <f>L29-J29</f>
        <v>6132</v>
      </c>
      <c r="N29" s="1015">
        <f>L29/12</f>
        <v>12940</v>
      </c>
      <c r="O29" s="115">
        <f>L29-J29</f>
        <v>6132</v>
      </c>
      <c r="P29" s="115">
        <f>O29-M29</f>
        <v>0</v>
      </c>
      <c r="Q29" s="116">
        <v>10861</v>
      </c>
      <c r="R29" s="116">
        <f>Q29*12</f>
        <v>130332</v>
      </c>
      <c r="S29" s="145">
        <f>R29-L29</f>
        <v>-24948</v>
      </c>
    </row>
    <row r="30" spans="1:19" s="146" customFormat="1" ht="18" customHeight="1">
      <c r="A30" s="1059"/>
      <c r="B30" s="1059"/>
      <c r="C30" s="1060"/>
      <c r="D30" s="1060"/>
      <c r="E30" s="139"/>
      <c r="F30" s="1060"/>
      <c r="G30" s="140"/>
      <c r="H30" s="141"/>
      <c r="I30" s="142"/>
      <c r="J30" s="149"/>
      <c r="K30" s="142"/>
      <c r="L30" s="149"/>
      <c r="M30" s="144"/>
      <c r="N30" s="1015"/>
      <c r="O30" s="115"/>
      <c r="P30" s="115"/>
      <c r="Q30" s="116"/>
      <c r="R30" s="116"/>
      <c r="S30" s="117"/>
    </row>
    <row r="31" spans="1:19" s="146" customFormat="1" ht="18" customHeight="1">
      <c r="A31" s="1059"/>
      <c r="B31" s="1059"/>
      <c r="C31" s="1060"/>
      <c r="D31" s="1060"/>
      <c r="E31" s="139"/>
      <c r="F31" s="1060"/>
      <c r="G31" s="140"/>
      <c r="H31" s="141"/>
      <c r="I31" s="142"/>
      <c r="J31" s="149"/>
      <c r="K31" s="142"/>
      <c r="L31" s="149"/>
      <c r="M31" s="144"/>
      <c r="N31" s="1015"/>
      <c r="O31" s="115"/>
      <c r="P31" s="115"/>
      <c r="Q31" s="116"/>
      <c r="R31" s="116"/>
      <c r="S31" s="117"/>
    </row>
    <row r="32" spans="1:19" s="146" customFormat="1" ht="18" customHeight="1">
      <c r="A32" s="1059">
        <v>5</v>
      </c>
      <c r="B32" s="1059"/>
      <c r="C32" s="1060"/>
      <c r="D32" s="1060"/>
      <c r="E32" s="139" t="s">
        <v>58</v>
      </c>
      <c r="F32" s="1060"/>
      <c r="G32" s="140"/>
      <c r="H32" s="141" t="s">
        <v>153</v>
      </c>
      <c r="I32" s="142" t="s">
        <v>251</v>
      </c>
      <c r="J32" s="143">
        <v>140568</v>
      </c>
      <c r="K32" s="142" t="s">
        <v>251</v>
      </c>
      <c r="L32" s="143">
        <v>146304</v>
      </c>
      <c r="M32" s="144">
        <f>L32-J32</f>
        <v>5736</v>
      </c>
      <c r="N32" s="1015">
        <f>L32/12</f>
        <v>12192</v>
      </c>
      <c r="O32" s="115">
        <f>L32-J32</f>
        <v>5736</v>
      </c>
      <c r="P32" s="115">
        <f>O32-M32</f>
        <v>0</v>
      </c>
      <c r="Q32" s="116">
        <v>10211</v>
      </c>
      <c r="R32" s="116">
        <f>Q32*12</f>
        <v>122532</v>
      </c>
      <c r="S32" s="145">
        <f>R32-L32</f>
        <v>-23772</v>
      </c>
    </row>
    <row r="33" spans="1:19" s="146" customFormat="1" ht="18" customHeight="1">
      <c r="A33" s="1059"/>
      <c r="B33" s="1059"/>
      <c r="C33" s="1060"/>
      <c r="D33" s="1060"/>
      <c r="E33" s="139"/>
      <c r="F33" s="1060"/>
      <c r="G33" s="140"/>
      <c r="H33" s="141"/>
      <c r="I33" s="142"/>
      <c r="J33" s="149"/>
      <c r="K33" s="142"/>
      <c r="L33" s="149"/>
      <c r="M33" s="144"/>
      <c r="N33" s="1015"/>
      <c r="O33" s="115"/>
      <c r="P33" s="115"/>
      <c r="Q33" s="116"/>
      <c r="R33" s="116"/>
      <c r="S33" s="117"/>
    </row>
    <row r="34" spans="1:19" s="146" customFormat="1" ht="18" customHeight="1">
      <c r="A34" s="1059"/>
      <c r="B34" s="1059"/>
      <c r="C34" s="1060"/>
      <c r="D34" s="1060"/>
      <c r="E34" s="139"/>
      <c r="F34" s="1060"/>
      <c r="G34" s="140"/>
      <c r="H34" s="141"/>
      <c r="I34" s="142"/>
      <c r="J34" s="143"/>
      <c r="K34" s="142"/>
      <c r="L34" s="143"/>
      <c r="M34" s="144"/>
      <c r="N34" s="1015"/>
      <c r="O34" s="115"/>
      <c r="P34" s="115"/>
      <c r="Q34" s="116"/>
      <c r="R34" s="116"/>
      <c r="S34" s="117"/>
    </row>
    <row r="35" spans="1:19" s="146" customFormat="1" ht="18" customHeight="1">
      <c r="A35" s="1059">
        <v>6</v>
      </c>
      <c r="B35" s="1059"/>
      <c r="C35" s="1060"/>
      <c r="D35" s="1060"/>
      <c r="E35" s="139" t="s">
        <v>971</v>
      </c>
      <c r="F35" s="1060"/>
      <c r="G35" s="140"/>
      <c r="H35" s="141" t="s">
        <v>925</v>
      </c>
      <c r="I35" s="142" t="s">
        <v>391</v>
      </c>
      <c r="J35" s="143">
        <v>187848</v>
      </c>
      <c r="K35" s="142" t="s">
        <v>164</v>
      </c>
      <c r="L35" s="143">
        <v>193776</v>
      </c>
      <c r="M35" s="144">
        <f>L35-J35</f>
        <v>5928</v>
      </c>
      <c r="N35" s="1015">
        <f t="shared" ref="N35" si="0">L35/12</f>
        <v>16148</v>
      </c>
      <c r="O35" s="115">
        <f>L35-J35</f>
        <v>5928</v>
      </c>
      <c r="P35" s="115">
        <f>O35-M35</f>
        <v>0</v>
      </c>
      <c r="Q35" s="116">
        <v>14361</v>
      </c>
      <c r="R35" s="116">
        <f>Q35*12</f>
        <v>172332</v>
      </c>
      <c r="S35" s="145">
        <f>R35-L35</f>
        <v>-21444</v>
      </c>
    </row>
    <row r="36" spans="1:19" s="146" customFormat="1" ht="18" customHeight="1">
      <c r="A36" s="1059"/>
      <c r="B36" s="1059"/>
      <c r="C36" s="1060"/>
      <c r="D36" s="1060"/>
      <c r="E36" s="139"/>
      <c r="F36" s="1060"/>
      <c r="G36" s="140"/>
      <c r="H36" s="141"/>
      <c r="I36" s="142"/>
      <c r="J36" s="149"/>
      <c r="K36" s="142"/>
      <c r="L36" s="149"/>
      <c r="M36" s="144"/>
      <c r="N36" s="1015"/>
      <c r="O36" s="115"/>
      <c r="P36" s="115"/>
      <c r="Q36" s="116"/>
      <c r="R36" s="116"/>
      <c r="S36" s="117"/>
    </row>
    <row r="37" spans="1:19" s="146" customFormat="1" ht="18" customHeight="1">
      <c r="A37" s="1059"/>
      <c r="B37" s="1059"/>
      <c r="C37" s="1060"/>
      <c r="D37" s="1060"/>
      <c r="E37" s="139"/>
      <c r="F37" s="1060"/>
      <c r="G37" s="140"/>
      <c r="H37" s="141"/>
      <c r="I37" s="142"/>
      <c r="J37" s="149"/>
      <c r="K37" s="142"/>
      <c r="L37" s="149"/>
      <c r="M37" s="144"/>
      <c r="N37" s="1015"/>
      <c r="O37" s="115"/>
      <c r="P37" s="115"/>
      <c r="Q37" s="116"/>
      <c r="R37" s="116"/>
      <c r="S37" s="117"/>
    </row>
    <row r="38" spans="1:19" s="146" customFormat="1" ht="18" customHeight="1">
      <c r="A38" s="1059">
        <v>7</v>
      </c>
      <c r="B38" s="1059"/>
      <c r="C38" s="1060"/>
      <c r="D38" s="1060"/>
      <c r="E38" s="139" t="s">
        <v>54</v>
      </c>
      <c r="F38" s="1060"/>
      <c r="G38" s="140"/>
      <c r="H38" s="141" t="s">
        <v>1463</v>
      </c>
      <c r="I38" s="142" t="s">
        <v>56</v>
      </c>
      <c r="J38" s="143">
        <v>146880</v>
      </c>
      <c r="K38" s="142" t="s">
        <v>56</v>
      </c>
      <c r="L38" s="143">
        <v>152928</v>
      </c>
      <c r="M38" s="144">
        <f>L38-J38</f>
        <v>6048</v>
      </c>
      <c r="N38" s="1015">
        <f>L38/12</f>
        <v>12744</v>
      </c>
      <c r="O38" s="115">
        <f>L38-J38</f>
        <v>6048</v>
      </c>
      <c r="P38" s="115">
        <f>O38-M38</f>
        <v>0</v>
      </c>
      <c r="Q38" s="116">
        <v>10773</v>
      </c>
      <c r="R38" s="116">
        <f>Q38*12</f>
        <v>129276</v>
      </c>
      <c r="S38" s="145">
        <f>R38-L38</f>
        <v>-23652</v>
      </c>
    </row>
    <row r="39" spans="1:19" s="146" customFormat="1" ht="18" customHeight="1">
      <c r="A39" s="1059"/>
      <c r="B39" s="1059"/>
      <c r="C39" s="1060"/>
      <c r="D39" s="1060"/>
      <c r="E39" s="139"/>
      <c r="F39" s="1060"/>
      <c r="G39" s="140"/>
      <c r="H39" s="141"/>
      <c r="I39" s="142"/>
      <c r="J39" s="143"/>
      <c r="K39" s="142" t="s">
        <v>109</v>
      </c>
      <c r="L39" s="143">
        <v>154116</v>
      </c>
      <c r="M39" s="144">
        <v>594</v>
      </c>
      <c r="N39" s="1015"/>
      <c r="O39" s="115"/>
      <c r="P39" s="115"/>
      <c r="Q39" s="116"/>
      <c r="R39" s="116"/>
      <c r="S39" s="145"/>
    </row>
    <row r="40" spans="1:19" s="146" customFormat="1" ht="18" customHeight="1">
      <c r="A40" s="1059"/>
      <c r="B40" s="1059"/>
      <c r="C40" s="1060"/>
      <c r="D40" s="1060"/>
      <c r="E40" s="139"/>
      <c r="F40" s="1060"/>
      <c r="G40" s="140"/>
      <c r="H40" s="141"/>
      <c r="I40" s="142"/>
      <c r="J40" s="143"/>
      <c r="K40" s="142"/>
      <c r="L40" s="149">
        <v>44743</v>
      </c>
      <c r="M40" s="144"/>
      <c r="N40" s="1015"/>
      <c r="O40" s="115"/>
      <c r="P40" s="115"/>
      <c r="Q40" s="116"/>
      <c r="R40" s="116"/>
      <c r="S40" s="145"/>
    </row>
    <row r="41" spans="1:19" s="146" customFormat="1" ht="18" customHeight="1">
      <c r="A41" s="1059"/>
      <c r="B41" s="1059"/>
      <c r="C41" s="1060"/>
      <c r="D41" s="1060"/>
      <c r="E41" s="139"/>
      <c r="F41" s="1060"/>
      <c r="G41" s="140"/>
      <c r="H41" s="141"/>
      <c r="I41" s="142"/>
      <c r="J41" s="149"/>
      <c r="K41" s="142"/>
      <c r="L41" s="149"/>
      <c r="M41" s="144"/>
      <c r="N41" s="1015"/>
      <c r="O41" s="115"/>
      <c r="P41" s="115"/>
      <c r="Q41" s="116"/>
      <c r="R41" s="116"/>
      <c r="S41" s="117"/>
    </row>
    <row r="42" spans="1:19" s="146" customFormat="1" ht="18" customHeight="1">
      <c r="A42" s="1059">
        <v>8</v>
      </c>
      <c r="B42" s="1059"/>
      <c r="C42" s="1060"/>
      <c r="D42" s="1060"/>
      <c r="E42" s="139" t="s">
        <v>58</v>
      </c>
      <c r="F42" s="1060"/>
      <c r="G42" s="140"/>
      <c r="H42" s="150" t="s">
        <v>1701</v>
      </c>
      <c r="I42" s="142" t="s">
        <v>435</v>
      </c>
      <c r="J42" s="143">
        <v>139500</v>
      </c>
      <c r="K42" s="142" t="s">
        <v>246</v>
      </c>
      <c r="L42" s="143">
        <v>144072</v>
      </c>
      <c r="M42" s="144">
        <f>L42-J42</f>
        <v>4572</v>
      </c>
      <c r="N42" s="1015">
        <f>L42/12</f>
        <v>12006</v>
      </c>
      <c r="O42" s="115">
        <f>L42-J42</f>
        <v>4572</v>
      </c>
      <c r="P42" s="115">
        <f>O42-M42</f>
        <v>0</v>
      </c>
      <c r="Q42" s="116">
        <v>10127</v>
      </c>
      <c r="R42" s="116">
        <f>Q42*12</f>
        <v>121524</v>
      </c>
      <c r="S42" s="145">
        <f>R42-L42</f>
        <v>-22548</v>
      </c>
    </row>
    <row r="43" spans="1:19" s="146" customFormat="1" ht="18" customHeight="1">
      <c r="A43" s="1059"/>
      <c r="B43" s="1059"/>
      <c r="C43" s="1060"/>
      <c r="D43" s="1060"/>
      <c r="E43" s="139"/>
      <c r="F43" s="1060"/>
      <c r="G43" s="140"/>
      <c r="H43" s="141"/>
      <c r="I43" s="142"/>
      <c r="J43" s="149"/>
      <c r="K43" s="142"/>
      <c r="L43" s="149"/>
      <c r="M43" s="144"/>
      <c r="N43" s="1015"/>
      <c r="O43" s="115"/>
      <c r="P43" s="115"/>
      <c r="Q43" s="116"/>
      <c r="R43" s="116"/>
      <c r="S43" s="117"/>
    </row>
    <row r="44" spans="1:19" s="146" customFormat="1" ht="18" customHeight="1">
      <c r="A44" s="1059"/>
      <c r="B44" s="1059"/>
      <c r="C44" s="1060"/>
      <c r="D44" s="1060"/>
      <c r="E44" s="139"/>
      <c r="F44" s="1060"/>
      <c r="G44" s="140"/>
      <c r="H44" s="141"/>
      <c r="I44" s="142"/>
      <c r="J44" s="149"/>
      <c r="K44" s="142"/>
      <c r="L44" s="149"/>
      <c r="M44" s="144"/>
      <c r="N44" s="1015"/>
      <c r="O44" s="115"/>
      <c r="P44" s="115"/>
      <c r="Q44" s="116"/>
      <c r="R44" s="116"/>
      <c r="S44" s="117"/>
    </row>
    <row r="45" spans="1:19" s="146" customFormat="1" ht="18" customHeight="1">
      <c r="A45" s="1059">
        <v>9</v>
      </c>
      <c r="B45" s="1059"/>
      <c r="C45" s="1060"/>
      <c r="D45" s="1060"/>
      <c r="E45" s="139" t="s">
        <v>924</v>
      </c>
      <c r="F45" s="1060"/>
      <c r="G45" s="140"/>
      <c r="H45" s="141" t="s">
        <v>60</v>
      </c>
      <c r="I45" s="152" t="s">
        <v>134</v>
      </c>
      <c r="J45" s="143">
        <v>246444</v>
      </c>
      <c r="K45" s="152" t="s">
        <v>134</v>
      </c>
      <c r="L45" s="143">
        <v>262380</v>
      </c>
      <c r="M45" s="144">
        <f>L45-J45</f>
        <v>15936</v>
      </c>
      <c r="N45" s="1015">
        <f t="shared" ref="N45" si="1">L45/12</f>
        <v>21865</v>
      </c>
      <c r="O45" s="115">
        <f>L45-J45</f>
        <v>15936</v>
      </c>
      <c r="P45" s="115">
        <f>O45-M45</f>
        <v>0</v>
      </c>
      <c r="Q45" s="116">
        <v>17152</v>
      </c>
      <c r="R45" s="116">
        <f>Q45*12</f>
        <v>205824</v>
      </c>
      <c r="S45" s="145">
        <f>R45-L45</f>
        <v>-56556</v>
      </c>
    </row>
    <row r="46" spans="1:19" s="146" customFormat="1" ht="18" customHeight="1">
      <c r="A46" s="1059"/>
      <c r="B46" s="1059"/>
      <c r="C46" s="1060"/>
      <c r="D46" s="1060"/>
      <c r="E46" s="139"/>
      <c r="F46" s="1060"/>
      <c r="G46" s="140"/>
      <c r="H46" s="141"/>
      <c r="I46" s="142"/>
      <c r="J46" s="149"/>
      <c r="K46" s="152"/>
      <c r="L46" s="149"/>
      <c r="M46" s="144"/>
      <c r="N46" s="1015"/>
      <c r="O46" s="115"/>
      <c r="P46" s="115"/>
      <c r="Q46" s="116"/>
      <c r="R46" s="116"/>
      <c r="S46" s="117"/>
    </row>
    <row r="47" spans="1:19" s="146" customFormat="1" ht="18" customHeight="1">
      <c r="A47" s="1059"/>
      <c r="B47" s="1059"/>
      <c r="C47" s="1060"/>
      <c r="D47" s="1060"/>
      <c r="E47" s="139" t="s">
        <v>62</v>
      </c>
      <c r="F47" s="1060"/>
      <c r="G47" s="140"/>
      <c r="H47" s="141"/>
      <c r="I47" s="142"/>
      <c r="J47" s="143"/>
      <c r="K47" s="142"/>
      <c r="L47" s="149"/>
      <c r="M47" s="144"/>
      <c r="N47" s="1015"/>
      <c r="O47" s="115"/>
      <c r="P47" s="115"/>
      <c r="Q47" s="116"/>
      <c r="R47" s="116"/>
      <c r="S47" s="117"/>
    </row>
    <row r="48" spans="1:19" s="146" customFormat="1" ht="18" customHeight="1">
      <c r="A48" s="1059"/>
      <c r="B48" s="1059"/>
      <c r="C48" s="1060"/>
      <c r="D48" s="1060"/>
      <c r="E48" s="147" t="s">
        <v>63</v>
      </c>
      <c r="F48" s="1060"/>
      <c r="G48" s="151"/>
      <c r="H48" s="141"/>
      <c r="I48" s="142"/>
      <c r="J48" s="143"/>
      <c r="K48" s="142"/>
      <c r="L48" s="143"/>
      <c r="M48" s="144"/>
      <c r="N48" s="1015"/>
      <c r="O48" s="115"/>
      <c r="P48" s="115"/>
      <c r="Q48" s="116"/>
      <c r="R48" s="116"/>
      <c r="S48" s="117"/>
    </row>
    <row r="49" spans="1:19" s="146" customFormat="1" ht="18" customHeight="1">
      <c r="A49" s="1059"/>
      <c r="B49" s="1059"/>
      <c r="C49" s="1060"/>
      <c r="D49" s="1060"/>
      <c r="E49" s="147"/>
      <c r="F49" s="1060"/>
      <c r="G49" s="151"/>
      <c r="H49" s="141"/>
      <c r="I49" s="142"/>
      <c r="J49" s="143"/>
      <c r="K49" s="142"/>
      <c r="L49" s="143"/>
      <c r="M49" s="144"/>
      <c r="N49" s="1015"/>
      <c r="O49" s="115"/>
      <c r="P49" s="115"/>
      <c r="Q49" s="116"/>
      <c r="R49" s="116"/>
      <c r="S49" s="117"/>
    </row>
    <row r="50" spans="1:19" s="146" customFormat="1" ht="18" customHeight="1">
      <c r="A50" s="1059"/>
      <c r="B50" s="1059"/>
      <c r="C50" s="1060"/>
      <c r="D50" s="1060"/>
      <c r="E50" s="139"/>
      <c r="F50" s="1060"/>
      <c r="G50" s="140"/>
      <c r="H50" s="141"/>
      <c r="I50" s="142"/>
      <c r="J50" s="143"/>
      <c r="K50" s="142"/>
      <c r="L50" s="143"/>
      <c r="M50" s="144"/>
      <c r="N50" s="1015"/>
      <c r="O50" s="115"/>
      <c r="P50" s="115"/>
      <c r="Q50" s="116"/>
      <c r="R50" s="116"/>
      <c r="S50" s="117"/>
    </row>
    <row r="51" spans="1:19" s="146" customFormat="1" ht="18" customHeight="1">
      <c r="A51" s="1059">
        <v>10</v>
      </c>
      <c r="B51" s="1059"/>
      <c r="C51" s="1060"/>
      <c r="D51" s="1060"/>
      <c r="E51" s="139" t="s">
        <v>430</v>
      </c>
      <c r="F51" s="1060"/>
      <c r="G51" s="140"/>
      <c r="H51" s="141" t="s">
        <v>65</v>
      </c>
      <c r="I51" s="142" t="s">
        <v>434</v>
      </c>
      <c r="J51" s="143">
        <v>346320</v>
      </c>
      <c r="K51" s="142" t="s">
        <v>434</v>
      </c>
      <c r="L51" s="143">
        <v>361848</v>
      </c>
      <c r="M51" s="144">
        <f>L51-J51</f>
        <v>15528</v>
      </c>
      <c r="N51" s="1015">
        <f>L51/12</f>
        <v>30154</v>
      </c>
      <c r="O51" s="115">
        <f>L51-J51</f>
        <v>15528</v>
      </c>
      <c r="P51" s="115">
        <f>O51-M51</f>
        <v>0</v>
      </c>
      <c r="Q51" s="116">
        <v>17152</v>
      </c>
      <c r="R51" s="116">
        <f>Q51*12</f>
        <v>205824</v>
      </c>
      <c r="S51" s="145">
        <f>R51-L51</f>
        <v>-156024</v>
      </c>
    </row>
    <row r="52" spans="1:19" s="146" customFormat="1" ht="18" customHeight="1">
      <c r="A52" s="1059"/>
      <c r="B52" s="1059"/>
      <c r="C52" s="1060"/>
      <c r="D52" s="1060"/>
      <c r="E52" s="139"/>
      <c r="F52" s="1060"/>
      <c r="G52" s="140"/>
      <c r="H52" s="141"/>
      <c r="I52" s="142"/>
      <c r="J52" s="143"/>
      <c r="K52" s="142" t="s">
        <v>1702</v>
      </c>
      <c r="L52" s="143">
        <v>365748</v>
      </c>
      <c r="M52" s="144">
        <v>325</v>
      </c>
      <c r="N52" s="1015"/>
      <c r="O52" s="115"/>
      <c r="P52" s="115"/>
      <c r="Q52" s="116"/>
      <c r="R52" s="116"/>
      <c r="S52" s="117"/>
    </row>
    <row r="53" spans="1:19" s="146" customFormat="1" ht="18" customHeight="1">
      <c r="A53" s="1059"/>
      <c r="B53" s="1059"/>
      <c r="C53" s="1060"/>
      <c r="D53" s="1060"/>
      <c r="E53" s="139"/>
      <c r="F53" s="1060"/>
      <c r="G53" s="140"/>
      <c r="H53" s="141"/>
      <c r="I53" s="142"/>
      <c r="J53" s="149"/>
      <c r="K53" s="142"/>
      <c r="L53" s="149">
        <v>44896</v>
      </c>
      <c r="M53" s="144"/>
      <c r="N53" s="1015"/>
      <c r="O53" s="115"/>
      <c r="P53" s="115"/>
      <c r="Q53" s="116"/>
      <c r="R53" s="116"/>
      <c r="S53" s="117"/>
    </row>
    <row r="54" spans="1:19" s="146" customFormat="1" ht="18" customHeight="1">
      <c r="A54" s="1059"/>
      <c r="B54" s="1059"/>
      <c r="C54" s="1060"/>
      <c r="D54" s="1060"/>
      <c r="E54" s="139"/>
      <c r="F54" s="1060"/>
      <c r="G54" s="140"/>
      <c r="H54" s="141"/>
      <c r="I54" s="142"/>
      <c r="J54" s="143"/>
      <c r="K54" s="142"/>
      <c r="L54" s="143"/>
      <c r="M54" s="144"/>
      <c r="N54" s="1015"/>
      <c r="O54" s="115"/>
      <c r="P54" s="115"/>
      <c r="Q54" s="116"/>
      <c r="R54" s="116"/>
      <c r="S54" s="117"/>
    </row>
    <row r="55" spans="1:19" s="146" customFormat="1" ht="18" customHeight="1">
      <c r="A55" s="1059">
        <v>11</v>
      </c>
      <c r="B55" s="1059"/>
      <c r="C55" s="1060"/>
      <c r="D55" s="1060"/>
      <c r="E55" s="139" t="s">
        <v>64</v>
      </c>
      <c r="F55" s="1060"/>
      <c r="G55" s="140"/>
      <c r="H55" s="141" t="s">
        <v>247</v>
      </c>
      <c r="I55" s="142" t="s">
        <v>392</v>
      </c>
      <c r="J55" s="143">
        <v>243540</v>
      </c>
      <c r="K55" s="142" t="s">
        <v>392</v>
      </c>
      <c r="L55" s="143">
        <v>259476</v>
      </c>
      <c r="M55" s="144">
        <f>L55-J55</f>
        <v>15936</v>
      </c>
      <c r="N55" s="1015">
        <f>L55/12</f>
        <v>21623</v>
      </c>
      <c r="O55" s="115">
        <f>L55-J55</f>
        <v>15936</v>
      </c>
      <c r="P55" s="115">
        <f>O55-M55</f>
        <v>0</v>
      </c>
      <c r="Q55" s="116">
        <v>24659</v>
      </c>
      <c r="R55" s="116">
        <f>Q55*12</f>
        <v>295908</v>
      </c>
      <c r="S55" s="145">
        <f>R55-L55</f>
        <v>36432</v>
      </c>
    </row>
    <row r="56" spans="1:19" s="146" customFormat="1" ht="18" customHeight="1">
      <c r="A56" s="1070"/>
      <c r="B56" s="1070"/>
      <c r="C56" s="1071"/>
      <c r="D56" s="1071"/>
      <c r="E56" s="139"/>
      <c r="F56" s="1071"/>
      <c r="G56" s="140"/>
      <c r="H56" s="141"/>
      <c r="I56" s="152"/>
      <c r="J56" s="143"/>
      <c r="K56" s="152"/>
      <c r="L56" s="143"/>
      <c r="M56" s="144"/>
      <c r="N56" s="1015"/>
      <c r="O56" s="115"/>
      <c r="P56" s="115"/>
      <c r="Q56" s="116"/>
      <c r="R56" s="116"/>
      <c r="S56" s="145"/>
    </row>
    <row r="57" spans="1:19" s="146" customFormat="1" ht="18" customHeight="1">
      <c r="A57" s="1070"/>
      <c r="B57" s="1070"/>
      <c r="C57" s="1071"/>
      <c r="D57" s="1071"/>
      <c r="E57" s="139"/>
      <c r="F57" s="1071"/>
      <c r="G57" s="140"/>
      <c r="H57" s="141"/>
      <c r="I57" s="152"/>
      <c r="J57" s="143"/>
      <c r="K57" s="152"/>
      <c r="L57" s="143"/>
      <c r="M57" s="144"/>
      <c r="N57" s="1015"/>
      <c r="O57" s="115"/>
      <c r="P57" s="115"/>
      <c r="Q57" s="116"/>
      <c r="R57" s="116"/>
      <c r="S57" s="145"/>
    </row>
    <row r="58" spans="1:19" s="146" customFormat="1" ht="18" customHeight="1">
      <c r="A58" s="1070"/>
      <c r="B58" s="1328">
        <v>12</v>
      </c>
      <c r="C58" s="1329"/>
      <c r="D58" s="1330"/>
      <c r="E58" s="139" t="s">
        <v>1731</v>
      </c>
      <c r="F58" s="1071"/>
      <c r="G58" s="140"/>
      <c r="H58" s="141" t="s">
        <v>104</v>
      </c>
      <c r="I58" s="142"/>
      <c r="J58" s="143"/>
      <c r="K58" s="142" t="s">
        <v>1732</v>
      </c>
      <c r="L58" s="143">
        <f>508320</f>
        <v>508320</v>
      </c>
      <c r="M58" s="144">
        <f>L58-J58</f>
        <v>508320</v>
      </c>
      <c r="N58" s="1015">
        <f>L58/12</f>
        <v>42360</v>
      </c>
      <c r="O58" s="115">
        <f>L58-J58</f>
        <v>508320</v>
      </c>
      <c r="P58" s="115">
        <f>O58-M58</f>
        <v>0</v>
      </c>
      <c r="Q58" s="116">
        <v>24659</v>
      </c>
      <c r="R58" s="116">
        <f>Q58*12</f>
        <v>295908</v>
      </c>
      <c r="S58" s="145">
        <f>R58-L58</f>
        <v>-212412</v>
      </c>
    </row>
    <row r="59" spans="1:19" s="146" customFormat="1" ht="18" customHeight="1">
      <c r="A59" s="1070"/>
      <c r="B59" s="1070"/>
      <c r="C59" s="1071"/>
      <c r="D59" s="1071"/>
      <c r="E59" s="139"/>
      <c r="F59" s="1071"/>
      <c r="G59" s="140"/>
      <c r="H59" s="141" t="s">
        <v>1890</v>
      </c>
      <c r="I59" s="152"/>
      <c r="J59" s="143"/>
      <c r="K59" s="152"/>
      <c r="L59" s="143"/>
      <c r="M59" s="144"/>
      <c r="N59" s="1015"/>
      <c r="O59" s="115"/>
      <c r="P59" s="115"/>
      <c r="Q59" s="116"/>
      <c r="R59" s="116"/>
      <c r="S59" s="145"/>
    </row>
    <row r="60" spans="1:19" s="146" customFormat="1" ht="18" customHeight="1">
      <c r="A60" s="1070"/>
      <c r="B60" s="1070"/>
      <c r="C60" s="1071"/>
      <c r="D60" s="1071"/>
      <c r="E60" s="139"/>
      <c r="F60" s="1071"/>
      <c r="G60" s="140"/>
      <c r="H60" s="141"/>
      <c r="I60" s="152"/>
      <c r="J60" s="143"/>
      <c r="K60" s="152"/>
      <c r="L60" s="143"/>
      <c r="M60" s="144"/>
      <c r="N60" s="1015"/>
      <c r="O60" s="115"/>
      <c r="P60" s="115"/>
      <c r="Q60" s="116"/>
      <c r="R60" s="116"/>
      <c r="S60" s="145"/>
    </row>
    <row r="61" spans="1:19" s="146" customFormat="1" ht="18" customHeight="1">
      <c r="A61" s="1070"/>
      <c r="B61" s="1328">
        <v>13</v>
      </c>
      <c r="C61" s="1329"/>
      <c r="D61" s="1330"/>
      <c r="E61" s="139" t="s">
        <v>1733</v>
      </c>
      <c r="F61" s="1071"/>
      <c r="G61" s="140"/>
      <c r="H61" s="141" t="s">
        <v>104</v>
      </c>
      <c r="I61" s="142"/>
      <c r="J61" s="143"/>
      <c r="K61" s="142" t="s">
        <v>1723</v>
      </c>
      <c r="L61" s="143">
        <f>461076</f>
        <v>461076</v>
      </c>
      <c r="M61" s="144">
        <f>L61-J61</f>
        <v>461076</v>
      </c>
      <c r="N61" s="1015">
        <f>L61/12</f>
        <v>38423</v>
      </c>
      <c r="O61" s="115">
        <f>L61-J61</f>
        <v>461076</v>
      </c>
      <c r="P61" s="115">
        <f>O61-M61</f>
        <v>0</v>
      </c>
      <c r="Q61" s="116">
        <v>24659</v>
      </c>
      <c r="R61" s="116">
        <f>Q61*12</f>
        <v>295908</v>
      </c>
      <c r="S61" s="145">
        <f>R61-L61</f>
        <v>-165168</v>
      </c>
    </row>
    <row r="62" spans="1:19" s="146" customFormat="1" ht="18" customHeight="1">
      <c r="A62" s="1070"/>
      <c r="B62" s="1070"/>
      <c r="C62" s="1071"/>
      <c r="D62" s="1071"/>
      <c r="E62" s="139" t="s">
        <v>1734</v>
      </c>
      <c r="F62" s="1071"/>
      <c r="G62" s="140"/>
      <c r="H62" s="141" t="s">
        <v>1891</v>
      </c>
      <c r="I62" s="152"/>
      <c r="J62" s="143"/>
      <c r="K62" s="152"/>
      <c r="L62" s="143"/>
      <c r="M62" s="144"/>
      <c r="N62" s="1015"/>
      <c r="O62" s="115"/>
      <c r="P62" s="115"/>
      <c r="Q62" s="116"/>
      <c r="R62" s="116"/>
      <c r="S62" s="145"/>
    </row>
    <row r="63" spans="1:19" s="146" customFormat="1" ht="18" customHeight="1">
      <c r="A63" s="1070"/>
      <c r="B63" s="1070"/>
      <c r="C63" s="1071"/>
      <c r="D63" s="1071"/>
      <c r="E63" s="139"/>
      <c r="F63" s="1071"/>
      <c r="G63" s="140"/>
      <c r="H63" s="141"/>
      <c r="I63" s="152"/>
      <c r="J63" s="143"/>
      <c r="K63" s="152"/>
      <c r="L63" s="143"/>
      <c r="M63" s="144"/>
      <c r="N63" s="1015"/>
      <c r="O63" s="115"/>
      <c r="P63" s="115"/>
      <c r="Q63" s="116"/>
      <c r="R63" s="116"/>
      <c r="S63" s="145"/>
    </row>
    <row r="64" spans="1:19" s="146" customFormat="1" ht="18" customHeight="1">
      <c r="A64" s="1070"/>
      <c r="B64" s="1070"/>
      <c r="C64" s="1071"/>
      <c r="D64" s="1071"/>
      <c r="E64" s="139"/>
      <c r="F64" s="1071"/>
      <c r="G64" s="140"/>
      <c r="H64" s="141"/>
      <c r="I64" s="152"/>
      <c r="J64" s="143"/>
      <c r="K64" s="152"/>
      <c r="L64" s="143"/>
      <c r="M64" s="144"/>
      <c r="N64" s="1015"/>
      <c r="O64" s="115"/>
      <c r="P64" s="115"/>
      <c r="Q64" s="116"/>
      <c r="R64" s="116"/>
      <c r="S64" s="145"/>
    </row>
    <row r="65" spans="1:19" s="146" customFormat="1" ht="18" customHeight="1">
      <c r="A65" s="1070"/>
      <c r="B65" s="1328">
        <v>14</v>
      </c>
      <c r="C65" s="1329"/>
      <c r="D65" s="1330"/>
      <c r="E65" s="139" t="s">
        <v>1735</v>
      </c>
      <c r="F65" s="1071"/>
      <c r="G65" s="140"/>
      <c r="H65" s="141" t="s">
        <v>104</v>
      </c>
      <c r="I65" s="142"/>
      <c r="J65" s="143"/>
      <c r="K65" s="142" t="s">
        <v>1723</v>
      </c>
      <c r="L65" s="143">
        <f>461076</f>
        <v>461076</v>
      </c>
      <c r="M65" s="144">
        <f>L65-J65</f>
        <v>461076</v>
      </c>
      <c r="N65" s="1015">
        <f>L65/12</f>
        <v>38423</v>
      </c>
      <c r="O65" s="115">
        <f>L65-J65</f>
        <v>461076</v>
      </c>
      <c r="P65" s="115">
        <f>O65-M65</f>
        <v>0</v>
      </c>
      <c r="Q65" s="116">
        <v>24659</v>
      </c>
      <c r="R65" s="116">
        <f>Q65*12</f>
        <v>295908</v>
      </c>
      <c r="S65" s="145">
        <f>R65-L65</f>
        <v>-165168</v>
      </c>
    </row>
    <row r="66" spans="1:19" s="146" customFormat="1" ht="18" customHeight="1">
      <c r="A66" s="1070"/>
      <c r="B66" s="1070"/>
      <c r="C66" s="1071"/>
      <c r="D66" s="1071"/>
      <c r="E66" s="139"/>
      <c r="F66" s="1071"/>
      <c r="G66" s="140"/>
      <c r="H66" s="141" t="s">
        <v>1892</v>
      </c>
      <c r="I66" s="152"/>
      <c r="J66" s="143"/>
      <c r="K66" s="152"/>
      <c r="L66" s="143"/>
      <c r="M66" s="144"/>
      <c r="N66" s="1015"/>
      <c r="O66" s="115"/>
      <c r="P66" s="115"/>
      <c r="Q66" s="116"/>
      <c r="R66" s="116"/>
      <c r="S66" s="145"/>
    </row>
    <row r="67" spans="1:19" s="146" customFormat="1" ht="18" customHeight="1">
      <c r="A67" s="1070"/>
      <c r="B67" s="1070"/>
      <c r="C67" s="1071"/>
      <c r="D67" s="1071"/>
      <c r="E67" s="139"/>
      <c r="F67" s="1071"/>
      <c r="G67" s="140"/>
      <c r="H67" s="141"/>
      <c r="I67" s="152"/>
      <c r="J67" s="143"/>
      <c r="K67" s="152"/>
      <c r="L67" s="143"/>
      <c r="M67" s="144"/>
      <c r="N67" s="1015"/>
      <c r="O67" s="115"/>
      <c r="P67" s="115"/>
      <c r="Q67" s="116"/>
      <c r="R67" s="116"/>
      <c r="S67" s="145"/>
    </row>
    <row r="68" spans="1:19" s="146" customFormat="1" ht="18" customHeight="1" thickBot="1">
      <c r="A68" s="1075"/>
      <c r="B68" s="186"/>
      <c r="C68" s="158"/>
      <c r="D68" s="158"/>
      <c r="E68" s="1076"/>
      <c r="F68" s="158"/>
      <c r="G68" s="160"/>
      <c r="H68" s="161" t="s">
        <v>944</v>
      </c>
      <c r="I68" s="1077"/>
      <c r="J68" s="164">
        <f>SUM(J14:J67)</f>
        <v>3377520</v>
      </c>
      <c r="K68" s="1077"/>
      <c r="L68" s="164"/>
      <c r="M68" s="164">
        <f>SUM(M14:M67)</f>
        <v>1566465</v>
      </c>
      <c r="N68" s="1015"/>
      <c r="O68" s="115"/>
      <c r="P68" s="115"/>
      <c r="Q68" s="116"/>
      <c r="R68" s="116"/>
      <c r="S68" s="145"/>
    </row>
    <row r="69" spans="1:19" s="146" customFormat="1" ht="18" customHeight="1" thickTop="1">
      <c r="A69" s="1071"/>
      <c r="B69" s="1071"/>
      <c r="C69" s="1071"/>
      <c r="D69" s="1071"/>
      <c r="E69" s="1078"/>
      <c r="F69" s="1071"/>
      <c r="G69" s="155"/>
      <c r="H69" s="155"/>
      <c r="I69" s="152"/>
      <c r="J69" s="170"/>
      <c r="K69" s="152"/>
      <c r="L69" s="170"/>
      <c r="M69" s="1015"/>
      <c r="N69" s="1015"/>
      <c r="O69" s="115"/>
      <c r="P69" s="115"/>
      <c r="Q69" s="116"/>
      <c r="R69" s="116"/>
      <c r="S69" s="145"/>
    </row>
    <row r="70" spans="1:19" s="146" customFormat="1" ht="18" customHeight="1">
      <c r="A70" s="1148"/>
      <c r="B70" s="1148"/>
      <c r="C70" s="1148"/>
      <c r="D70" s="1148"/>
      <c r="E70" s="1078"/>
      <c r="F70" s="1148"/>
      <c r="G70" s="155"/>
      <c r="H70" s="155"/>
      <c r="I70" s="152"/>
      <c r="J70" s="170"/>
      <c r="K70" s="152"/>
      <c r="L70" s="170"/>
      <c r="M70" s="1015"/>
      <c r="N70" s="1015"/>
      <c r="O70" s="115"/>
      <c r="P70" s="115"/>
      <c r="Q70" s="116"/>
      <c r="R70" s="116"/>
      <c r="S70" s="145"/>
    </row>
    <row r="71" spans="1:19" s="146" customFormat="1" ht="18" customHeight="1">
      <c r="A71" s="1297" t="s">
        <v>984</v>
      </c>
      <c r="B71" s="1297"/>
      <c r="C71" s="1297"/>
      <c r="D71" s="1297"/>
      <c r="E71" s="1297"/>
      <c r="F71" s="1297"/>
      <c r="G71" s="1297"/>
      <c r="H71" s="1297"/>
      <c r="I71" s="1297"/>
      <c r="J71" s="1297"/>
      <c r="K71" s="1297"/>
      <c r="L71" s="1297"/>
      <c r="M71" s="1297"/>
      <c r="N71" s="1015"/>
      <c r="O71" s="115"/>
      <c r="P71" s="115"/>
      <c r="Q71" s="116"/>
      <c r="R71" s="116"/>
      <c r="S71" s="145"/>
    </row>
    <row r="72" spans="1:19" s="146" customFormat="1" ht="18" customHeight="1">
      <c r="A72" s="1148"/>
      <c r="B72" s="1148"/>
      <c r="C72" s="1148"/>
      <c r="D72" s="1148"/>
      <c r="E72" s="1078"/>
      <c r="F72" s="1148"/>
      <c r="G72" s="155"/>
      <c r="H72" s="155"/>
      <c r="I72" s="152"/>
      <c r="J72" s="170"/>
      <c r="K72" s="152"/>
      <c r="L72" s="170"/>
      <c r="M72" s="1015"/>
      <c r="N72" s="1015"/>
      <c r="O72" s="115"/>
      <c r="P72" s="115"/>
      <c r="Q72" s="116"/>
      <c r="R72" s="116"/>
      <c r="S72" s="145"/>
    </row>
    <row r="73" spans="1:19" s="146" customFormat="1" ht="18" customHeight="1">
      <c r="A73" s="1148"/>
      <c r="B73" s="1148"/>
      <c r="C73" s="1148"/>
      <c r="D73" s="1148"/>
      <c r="E73" s="1078"/>
      <c r="F73" s="1148"/>
      <c r="G73" s="155"/>
      <c r="H73" s="155"/>
      <c r="I73" s="152"/>
      <c r="J73" s="170"/>
      <c r="K73" s="152"/>
      <c r="L73" s="170"/>
      <c r="M73" s="1015"/>
      <c r="N73" s="1015"/>
      <c r="O73" s="115"/>
      <c r="P73" s="115"/>
      <c r="Q73" s="116"/>
      <c r="R73" s="116"/>
      <c r="S73" s="145"/>
    </row>
    <row r="74" spans="1:19" s="146" customFormat="1" ht="18" customHeight="1">
      <c r="A74" s="1319" t="s">
        <v>1675</v>
      </c>
      <c r="B74" s="1319"/>
      <c r="C74" s="1319"/>
      <c r="D74" s="1319"/>
      <c r="E74" s="1319"/>
      <c r="F74" s="1319"/>
      <c r="G74" s="1319"/>
      <c r="H74" s="1319"/>
      <c r="I74" s="1319"/>
      <c r="J74" s="1319"/>
      <c r="K74" s="1319"/>
      <c r="L74" s="1319"/>
      <c r="M74" s="1319"/>
      <c r="N74" s="1015"/>
      <c r="O74" s="115"/>
      <c r="P74" s="115"/>
      <c r="Q74" s="116"/>
      <c r="R74" s="116"/>
      <c r="S74" s="145"/>
    </row>
    <row r="75" spans="1:19" s="146" customFormat="1" ht="18" customHeight="1">
      <c r="A75" s="1320" t="s">
        <v>358</v>
      </c>
      <c r="B75" s="1320"/>
      <c r="C75" s="1320"/>
      <c r="D75" s="1320"/>
      <c r="E75" s="1320"/>
      <c r="F75" s="1320"/>
      <c r="G75" s="1320"/>
      <c r="H75" s="1320"/>
      <c r="I75" s="1320"/>
      <c r="J75" s="1320"/>
      <c r="K75" s="1320"/>
      <c r="L75" s="1320"/>
      <c r="M75" s="1320"/>
      <c r="N75" s="1015"/>
      <c r="O75" s="115"/>
      <c r="P75" s="115"/>
      <c r="Q75" s="116"/>
      <c r="R75" s="116"/>
      <c r="S75" s="145"/>
    </row>
    <row r="76" spans="1:19" s="146" customFormat="1" ht="18" customHeight="1">
      <c r="A76" s="1321"/>
      <c r="B76" s="1321"/>
      <c r="C76" s="1321"/>
      <c r="D76" s="1321"/>
      <c r="E76" s="1321"/>
      <c r="F76" s="1321"/>
      <c r="G76" s="1321"/>
      <c r="H76" s="1321"/>
      <c r="I76" s="1321"/>
      <c r="J76" s="1321"/>
      <c r="K76" s="1321"/>
      <c r="L76" s="1321"/>
      <c r="M76" s="1321"/>
      <c r="N76" s="1015"/>
      <c r="O76" s="115"/>
      <c r="P76" s="115"/>
      <c r="Q76" s="116"/>
      <c r="R76" s="116"/>
      <c r="S76" s="145"/>
    </row>
    <row r="77" spans="1:19" s="146" customFormat="1" ht="18" customHeight="1">
      <c r="A77" s="1065"/>
      <c r="B77" s="1065"/>
      <c r="C77" s="1065"/>
      <c r="D77" s="1065"/>
      <c r="E77" s="1065"/>
      <c r="F77" s="1065"/>
      <c r="G77" s="1065"/>
      <c r="H77" s="1065"/>
      <c r="I77" s="1065"/>
      <c r="J77" s="1065"/>
      <c r="K77" s="1065"/>
      <c r="L77" s="1065"/>
      <c r="M77" s="1065"/>
      <c r="N77" s="1015"/>
      <c r="O77" s="115"/>
      <c r="P77" s="115"/>
      <c r="Q77" s="116"/>
      <c r="R77" s="116"/>
      <c r="S77" s="145"/>
    </row>
    <row r="78" spans="1:19" s="146" customFormat="1" ht="18" customHeight="1">
      <c r="A78" s="111" t="s">
        <v>446</v>
      </c>
      <c r="B78" s="111"/>
      <c r="C78" s="1065" t="s">
        <v>448</v>
      </c>
      <c r="D78" s="111" t="s">
        <v>293</v>
      </c>
      <c r="E78" s="118"/>
      <c r="F78" s="111"/>
      <c r="G78" s="111"/>
      <c r="H78" s="111"/>
      <c r="I78" s="111"/>
      <c r="J78" s="112"/>
      <c r="K78" s="1065"/>
      <c r="L78" s="1065"/>
      <c r="M78" s="1065"/>
      <c r="N78" s="1015"/>
      <c r="O78" s="115"/>
      <c r="P78" s="115"/>
      <c r="Q78" s="116"/>
      <c r="R78" s="116"/>
      <c r="S78" s="145"/>
    </row>
    <row r="79" spans="1:19" s="146" customFormat="1" ht="18" customHeight="1">
      <c r="A79" s="111" t="s">
        <v>445</v>
      </c>
      <c r="B79" s="111"/>
      <c r="C79" s="1065" t="s">
        <v>448</v>
      </c>
      <c r="D79" s="111" t="s">
        <v>449</v>
      </c>
      <c r="E79" s="118"/>
      <c r="F79" s="111"/>
      <c r="G79" s="111"/>
      <c r="H79" s="111"/>
      <c r="I79" s="111"/>
      <c r="J79" s="112"/>
      <c r="K79" s="1065"/>
      <c r="L79" s="1065"/>
      <c r="M79" s="1065"/>
      <c r="N79" s="1015"/>
      <c r="O79" s="115"/>
      <c r="P79" s="115"/>
      <c r="Q79" s="116"/>
      <c r="R79" s="116"/>
      <c r="S79" s="145"/>
    </row>
    <row r="80" spans="1:19" s="146" customFormat="1" ht="18" customHeight="1" thickBot="1">
      <c r="A80" s="111" t="s">
        <v>447</v>
      </c>
      <c r="B80" s="111"/>
      <c r="C80" s="119" t="s">
        <v>448</v>
      </c>
      <c r="D80" s="111" t="s">
        <v>673</v>
      </c>
      <c r="E80" s="118"/>
      <c r="F80" s="111"/>
      <c r="G80" s="111"/>
      <c r="H80" s="111"/>
      <c r="I80" s="111"/>
      <c r="J80" s="112"/>
      <c r="K80" s="112"/>
      <c r="L80" s="113"/>
      <c r="M80" s="113"/>
      <c r="N80" s="1015"/>
      <c r="O80" s="115"/>
      <c r="P80" s="115"/>
      <c r="Q80" s="116"/>
      <c r="R80" s="116"/>
      <c r="S80" s="145"/>
    </row>
    <row r="81" spans="1:19" s="146" customFormat="1" ht="18" customHeight="1">
      <c r="A81" s="1322" t="s">
        <v>631</v>
      </c>
      <c r="B81" s="1323"/>
      <c r="C81" s="1323"/>
      <c r="D81" s="1323"/>
      <c r="E81" s="1324"/>
      <c r="F81" s="1323"/>
      <c r="G81" s="1325"/>
      <c r="H81" s="1066"/>
      <c r="I81" s="1326" t="s">
        <v>635</v>
      </c>
      <c r="J81" s="1327"/>
      <c r="K81" s="1326" t="s">
        <v>635</v>
      </c>
      <c r="L81" s="1327"/>
      <c r="M81" s="122"/>
      <c r="N81" s="1015"/>
      <c r="O81" s="115"/>
      <c r="P81" s="115"/>
      <c r="Q81" s="116"/>
      <c r="R81" s="116"/>
      <c r="S81" s="145"/>
    </row>
    <row r="82" spans="1:19" s="146" customFormat="1" ht="18" customHeight="1">
      <c r="A82" s="123" t="s">
        <v>632</v>
      </c>
      <c r="B82" s="1311" t="s">
        <v>633</v>
      </c>
      <c r="C82" s="1312"/>
      <c r="D82" s="1313"/>
      <c r="E82" s="1314" t="s">
        <v>44</v>
      </c>
      <c r="F82" s="1315"/>
      <c r="G82" s="1316"/>
      <c r="H82" s="1067" t="s">
        <v>45</v>
      </c>
      <c r="I82" s="1314" t="s">
        <v>1502</v>
      </c>
      <c r="J82" s="1316"/>
      <c r="K82" s="1315" t="s">
        <v>1676</v>
      </c>
      <c r="L82" s="1316"/>
      <c r="M82" s="124" t="s">
        <v>46</v>
      </c>
      <c r="N82" s="1015"/>
      <c r="O82" s="115"/>
      <c r="P82" s="115"/>
      <c r="Q82" s="116"/>
      <c r="R82" s="116"/>
      <c r="S82" s="145"/>
    </row>
    <row r="83" spans="1:19" s="146" customFormat="1" ht="18" customHeight="1">
      <c r="A83" s="125"/>
      <c r="B83" s="1067"/>
      <c r="C83" s="1068"/>
      <c r="D83" s="1068"/>
      <c r="E83" s="1067"/>
      <c r="F83" s="1068"/>
      <c r="G83" s="1069"/>
      <c r="H83" s="1067" t="s">
        <v>47</v>
      </c>
      <c r="I83" s="1317"/>
      <c r="J83" s="1318"/>
      <c r="K83" s="1317"/>
      <c r="L83" s="1318"/>
      <c r="M83" s="124" t="s">
        <v>48</v>
      </c>
      <c r="N83" s="1015"/>
      <c r="O83" s="115"/>
      <c r="P83" s="115"/>
      <c r="Q83" s="116"/>
      <c r="R83" s="116"/>
      <c r="S83" s="145"/>
    </row>
    <row r="84" spans="1:19" s="146" customFormat="1" ht="18" customHeight="1">
      <c r="A84" s="125"/>
      <c r="B84" s="1067"/>
      <c r="C84" s="1068"/>
      <c r="D84" s="1068"/>
      <c r="E84" s="1067"/>
      <c r="F84" s="1068"/>
      <c r="G84" s="126"/>
      <c r="H84" s="127"/>
      <c r="I84" s="128" t="s">
        <v>634</v>
      </c>
      <c r="J84" s="129" t="s">
        <v>49</v>
      </c>
      <c r="K84" s="128" t="s">
        <v>634</v>
      </c>
      <c r="L84" s="129" t="s">
        <v>49</v>
      </c>
      <c r="M84" s="124"/>
      <c r="N84" s="1015"/>
      <c r="O84" s="115"/>
      <c r="P84" s="115"/>
      <c r="Q84" s="116"/>
      <c r="R84" s="116"/>
      <c r="S84" s="145"/>
    </row>
    <row r="85" spans="1:19" s="146" customFormat="1" ht="18" customHeight="1" thickBot="1">
      <c r="A85" s="130"/>
      <c r="B85" s="1307"/>
      <c r="C85" s="1308"/>
      <c r="D85" s="1309"/>
      <c r="E85" s="1307"/>
      <c r="F85" s="1308"/>
      <c r="G85" s="1309"/>
      <c r="H85" s="131"/>
      <c r="I85" s="131"/>
      <c r="J85" s="131"/>
      <c r="K85" s="131"/>
      <c r="L85" s="131"/>
      <c r="M85" s="132"/>
      <c r="N85" s="1015"/>
      <c r="O85" s="115"/>
      <c r="P85" s="115"/>
      <c r="Q85" s="116"/>
      <c r="R85" s="116"/>
      <c r="S85" s="145"/>
    </row>
    <row r="86" spans="1:19" s="146" customFormat="1" ht="18" customHeight="1">
      <c r="A86" s="133"/>
      <c r="B86" s="133"/>
      <c r="C86" s="119"/>
      <c r="D86" s="217"/>
      <c r="E86" s="133"/>
      <c r="F86" s="119"/>
      <c r="G86" s="217"/>
      <c r="H86" s="181"/>
      <c r="I86" s="181"/>
      <c r="J86" s="181"/>
      <c r="K86" s="181"/>
      <c r="L86" s="181"/>
      <c r="M86" s="181"/>
      <c r="N86" s="1015"/>
      <c r="O86" s="115"/>
      <c r="P86" s="115"/>
      <c r="Q86" s="116"/>
      <c r="R86" s="116"/>
      <c r="S86" s="145"/>
    </row>
    <row r="87" spans="1:19" s="146" customFormat="1" ht="18" customHeight="1">
      <c r="A87" s="1070"/>
      <c r="B87" s="1328">
        <v>15</v>
      </c>
      <c r="C87" s="1329"/>
      <c r="D87" s="1330"/>
      <c r="E87" s="139" t="s">
        <v>1740</v>
      </c>
      <c r="F87" s="1071"/>
      <c r="G87" s="140"/>
      <c r="H87" s="141" t="s">
        <v>104</v>
      </c>
      <c r="I87" s="142"/>
      <c r="J87" s="143"/>
      <c r="K87" s="142" t="s">
        <v>246</v>
      </c>
      <c r="L87" s="143">
        <f>144072</f>
        <v>144072</v>
      </c>
      <c r="M87" s="144">
        <f>L87-J87</f>
        <v>144072</v>
      </c>
      <c r="N87" s="1015">
        <f>L87/12</f>
        <v>12006</v>
      </c>
      <c r="O87" s="115">
        <f>L87-J87</f>
        <v>144072</v>
      </c>
      <c r="P87" s="115">
        <f>O87-M87</f>
        <v>0</v>
      </c>
      <c r="Q87" s="116">
        <v>24659</v>
      </c>
      <c r="R87" s="116">
        <f>Q87*12</f>
        <v>295908</v>
      </c>
      <c r="S87" s="145">
        <f>R87-L87</f>
        <v>151836</v>
      </c>
    </row>
    <row r="88" spans="1:19" s="146" customFormat="1" ht="18" customHeight="1">
      <c r="A88" s="1070"/>
      <c r="B88" s="1070"/>
      <c r="C88" s="1071"/>
      <c r="D88" s="1071"/>
      <c r="E88" s="139"/>
      <c r="F88" s="1071"/>
      <c r="G88" s="140"/>
      <c r="H88" s="141" t="s">
        <v>1893</v>
      </c>
      <c r="I88" s="152"/>
      <c r="J88" s="143"/>
      <c r="K88" s="152"/>
      <c r="L88" s="143"/>
      <c r="M88" s="144"/>
      <c r="N88" s="1015"/>
      <c r="O88" s="115"/>
      <c r="P88" s="115"/>
      <c r="Q88" s="116"/>
      <c r="R88" s="116"/>
      <c r="S88" s="145"/>
    </row>
    <row r="89" spans="1:19" s="146" customFormat="1" ht="18" customHeight="1">
      <c r="A89" s="1070"/>
      <c r="B89" s="1070"/>
      <c r="C89" s="1071"/>
      <c r="D89" s="1071"/>
      <c r="E89" s="139"/>
      <c r="F89" s="1071"/>
      <c r="G89" s="140"/>
      <c r="H89" s="141"/>
      <c r="I89" s="152"/>
      <c r="J89" s="143"/>
      <c r="K89" s="152"/>
      <c r="L89" s="143"/>
      <c r="M89" s="144"/>
      <c r="N89" s="1015"/>
      <c r="O89" s="115"/>
      <c r="P89" s="115"/>
      <c r="Q89" s="116"/>
      <c r="R89" s="116"/>
      <c r="S89" s="145"/>
    </row>
    <row r="90" spans="1:19" s="146" customFormat="1" ht="18" customHeight="1">
      <c r="A90" s="1070"/>
      <c r="B90" s="1328">
        <v>16</v>
      </c>
      <c r="C90" s="1329"/>
      <c r="D90" s="1330"/>
      <c r="E90" s="139" t="s">
        <v>58</v>
      </c>
      <c r="F90" s="1071"/>
      <c r="G90" s="140"/>
      <c r="H90" s="141" t="s">
        <v>104</v>
      </c>
      <c r="I90" s="142"/>
      <c r="J90" s="143"/>
      <c r="K90" s="142" t="s">
        <v>246</v>
      </c>
      <c r="L90" s="143">
        <f>144072</f>
        <v>144072</v>
      </c>
      <c r="M90" s="144">
        <f>L90-J90</f>
        <v>144072</v>
      </c>
      <c r="N90" s="1015">
        <f>L90/12</f>
        <v>12006</v>
      </c>
      <c r="O90" s="115">
        <f>L90-J90</f>
        <v>144072</v>
      </c>
      <c r="P90" s="115">
        <f>O90-M90</f>
        <v>0</v>
      </c>
      <c r="Q90" s="116">
        <v>24659</v>
      </c>
      <c r="R90" s="116">
        <f>Q90*12</f>
        <v>295908</v>
      </c>
      <c r="S90" s="145">
        <f>R90-L90</f>
        <v>151836</v>
      </c>
    </row>
    <row r="91" spans="1:19" s="146" customFormat="1" ht="18" customHeight="1">
      <c r="A91" s="1070"/>
      <c r="B91" s="1070"/>
      <c r="C91" s="1071"/>
      <c r="D91" s="1071"/>
      <c r="E91" s="139"/>
      <c r="F91" s="1071"/>
      <c r="G91" s="140"/>
      <c r="H91" s="141" t="s">
        <v>1894</v>
      </c>
      <c r="I91" s="152"/>
      <c r="J91" s="143"/>
      <c r="K91" s="152"/>
      <c r="L91" s="143"/>
      <c r="M91" s="144"/>
      <c r="N91" s="1015"/>
      <c r="O91" s="115"/>
      <c r="P91" s="115"/>
      <c r="Q91" s="116"/>
      <c r="R91" s="116"/>
      <c r="S91" s="145"/>
    </row>
    <row r="92" spans="1:19" s="146" customFormat="1" ht="18" customHeight="1">
      <c r="A92" s="1070"/>
      <c r="B92" s="1070"/>
      <c r="C92" s="1071"/>
      <c r="D92" s="1071"/>
      <c r="E92" s="139"/>
      <c r="F92" s="1071"/>
      <c r="G92" s="140"/>
      <c r="H92" s="141"/>
      <c r="I92" s="152"/>
      <c r="J92" s="143"/>
      <c r="K92" s="152"/>
      <c r="L92" s="143"/>
      <c r="M92" s="144"/>
      <c r="N92" s="1015"/>
      <c r="O92" s="115"/>
      <c r="P92" s="115"/>
      <c r="Q92" s="116"/>
      <c r="R92" s="116"/>
      <c r="S92" s="145"/>
    </row>
    <row r="93" spans="1:19" s="146" customFormat="1" ht="18" customHeight="1">
      <c r="A93" s="1070"/>
      <c r="B93" s="1328">
        <v>17</v>
      </c>
      <c r="C93" s="1329"/>
      <c r="D93" s="1330"/>
      <c r="E93" s="139" t="s">
        <v>58</v>
      </c>
      <c r="F93" s="1071"/>
      <c r="G93" s="140"/>
      <c r="H93" s="141" t="s">
        <v>104</v>
      </c>
      <c r="I93" s="142"/>
      <c r="J93" s="143"/>
      <c r="K93" s="142" t="s">
        <v>246</v>
      </c>
      <c r="L93" s="143">
        <f>144072</f>
        <v>144072</v>
      </c>
      <c r="M93" s="144">
        <f>L93-J93</f>
        <v>144072</v>
      </c>
      <c r="N93" s="1015">
        <f>L93/12</f>
        <v>12006</v>
      </c>
      <c r="O93" s="115">
        <f>L93-J93</f>
        <v>144072</v>
      </c>
      <c r="P93" s="115">
        <f>O93-M93</f>
        <v>0</v>
      </c>
      <c r="Q93" s="116">
        <v>24659</v>
      </c>
      <c r="R93" s="116">
        <f>Q93*12</f>
        <v>295908</v>
      </c>
      <c r="S93" s="145">
        <f>R93-L93</f>
        <v>151836</v>
      </c>
    </row>
    <row r="94" spans="1:19" s="146" customFormat="1" ht="18" customHeight="1">
      <c r="A94" s="1070"/>
      <c r="B94" s="1070"/>
      <c r="C94" s="1071"/>
      <c r="D94" s="1071"/>
      <c r="E94" s="139"/>
      <c r="F94" s="1071"/>
      <c r="G94" s="140"/>
      <c r="H94" s="141" t="s">
        <v>1895</v>
      </c>
      <c r="I94" s="152"/>
      <c r="J94" s="143"/>
      <c r="K94" s="152"/>
      <c r="L94" s="143"/>
      <c r="M94" s="144"/>
      <c r="N94" s="1015"/>
      <c r="O94" s="115"/>
      <c r="P94" s="115"/>
      <c r="Q94" s="116"/>
      <c r="R94" s="116"/>
      <c r="S94" s="145"/>
    </row>
    <row r="95" spans="1:19" s="146" customFormat="1" ht="18" customHeight="1">
      <c r="A95" s="1070"/>
      <c r="B95" s="1070"/>
      <c r="C95" s="1071"/>
      <c r="D95" s="1071"/>
      <c r="E95" s="139"/>
      <c r="F95" s="1071"/>
      <c r="G95" s="140"/>
      <c r="H95" s="141"/>
      <c r="I95" s="152"/>
      <c r="J95" s="143"/>
      <c r="K95" s="152"/>
      <c r="L95" s="143"/>
      <c r="M95" s="144"/>
      <c r="N95" s="1015"/>
      <c r="O95" s="115"/>
      <c r="P95" s="115"/>
      <c r="Q95" s="116"/>
      <c r="R95" s="116"/>
      <c r="S95" s="145"/>
    </row>
    <row r="96" spans="1:19" s="146" customFormat="1" ht="18" customHeight="1">
      <c r="A96" s="1070"/>
      <c r="B96" s="1328">
        <v>18</v>
      </c>
      <c r="C96" s="1329"/>
      <c r="D96" s="1330"/>
      <c r="E96" s="139" t="s">
        <v>1741</v>
      </c>
      <c r="F96" s="1071"/>
      <c r="G96" s="140"/>
      <c r="H96" s="141" t="s">
        <v>104</v>
      </c>
      <c r="I96" s="142"/>
      <c r="J96" s="143"/>
      <c r="K96" s="142" t="s">
        <v>246</v>
      </c>
      <c r="L96" s="143">
        <f>144072</f>
        <v>144072</v>
      </c>
      <c r="M96" s="144">
        <f>L96-J96</f>
        <v>144072</v>
      </c>
      <c r="N96" s="1015">
        <f>L96/12</f>
        <v>12006</v>
      </c>
      <c r="O96" s="115">
        <f>L96-J96</f>
        <v>144072</v>
      </c>
      <c r="P96" s="115">
        <f>O96-M96</f>
        <v>0</v>
      </c>
      <c r="Q96" s="116">
        <v>24659</v>
      </c>
      <c r="R96" s="116">
        <f>Q96*12</f>
        <v>295908</v>
      </c>
      <c r="S96" s="145">
        <f>R96-L96</f>
        <v>151836</v>
      </c>
    </row>
    <row r="97" spans="1:19" s="146" customFormat="1" ht="18" customHeight="1">
      <c r="A97" s="1070"/>
      <c r="B97" s="1070"/>
      <c r="C97" s="1071"/>
      <c r="D97" s="1071"/>
      <c r="E97" s="139"/>
      <c r="F97" s="1071"/>
      <c r="G97" s="140"/>
      <c r="H97" s="141" t="s">
        <v>1896</v>
      </c>
      <c r="I97" s="152"/>
      <c r="J97" s="143"/>
      <c r="K97" s="152"/>
      <c r="L97" s="143"/>
      <c r="M97" s="144"/>
      <c r="N97" s="1015"/>
      <c r="O97" s="115"/>
      <c r="P97" s="115"/>
      <c r="Q97" s="116"/>
      <c r="R97" s="116"/>
      <c r="S97" s="145"/>
    </row>
    <row r="98" spans="1:19" s="146" customFormat="1" ht="18" customHeight="1">
      <c r="A98" s="1070"/>
      <c r="B98" s="1070"/>
      <c r="C98" s="1071"/>
      <c r="D98" s="1071"/>
      <c r="E98" s="139"/>
      <c r="F98" s="1071"/>
      <c r="G98" s="140"/>
      <c r="H98" s="141"/>
      <c r="I98" s="152"/>
      <c r="J98" s="143"/>
      <c r="K98" s="152"/>
      <c r="L98" s="143"/>
      <c r="M98" s="144"/>
      <c r="N98" s="1015"/>
      <c r="O98" s="115"/>
      <c r="P98" s="115"/>
      <c r="Q98" s="116"/>
      <c r="R98" s="116"/>
      <c r="S98" s="145"/>
    </row>
    <row r="99" spans="1:19" s="146" customFormat="1" ht="18" customHeight="1">
      <c r="A99" s="1070"/>
      <c r="B99" s="1070"/>
      <c r="C99" s="1071"/>
      <c r="D99" s="1071"/>
      <c r="E99" s="139"/>
      <c r="F99" s="1071"/>
      <c r="G99" s="140"/>
      <c r="H99" s="141"/>
      <c r="I99" s="152"/>
      <c r="J99" s="143"/>
      <c r="K99" s="152"/>
      <c r="L99" s="143"/>
      <c r="M99" s="144"/>
      <c r="N99" s="1015"/>
      <c r="O99" s="115"/>
      <c r="P99" s="115"/>
      <c r="Q99" s="116"/>
      <c r="R99" s="116"/>
      <c r="S99" s="145"/>
    </row>
    <row r="100" spans="1:19" s="146" customFormat="1" ht="18" customHeight="1">
      <c r="A100" s="1070"/>
      <c r="B100" s="1070"/>
      <c r="C100" s="1071"/>
      <c r="D100" s="1071"/>
      <c r="E100" s="139"/>
      <c r="F100" s="1071"/>
      <c r="G100" s="140"/>
      <c r="H100" s="141"/>
      <c r="I100" s="152"/>
      <c r="J100" s="143"/>
      <c r="K100" s="152"/>
      <c r="L100" s="143"/>
      <c r="M100" s="144"/>
      <c r="N100" s="1015"/>
      <c r="O100" s="115"/>
      <c r="P100" s="115"/>
      <c r="Q100" s="116"/>
      <c r="R100" s="116"/>
      <c r="S100" s="145"/>
    </row>
    <row r="101" spans="1:19" s="146" customFormat="1" ht="18" customHeight="1">
      <c r="A101" s="1070"/>
      <c r="B101" s="1070"/>
      <c r="C101" s="1071"/>
      <c r="D101" s="1071"/>
      <c r="E101" s="139"/>
      <c r="F101" s="1071"/>
      <c r="G101" s="140"/>
      <c r="H101" s="141"/>
      <c r="I101" s="152"/>
      <c r="J101" s="143"/>
      <c r="K101" s="152"/>
      <c r="L101" s="143"/>
      <c r="M101" s="144"/>
      <c r="N101" s="1015"/>
      <c r="O101" s="115"/>
      <c r="P101" s="115"/>
      <c r="Q101" s="116"/>
      <c r="R101" s="116"/>
      <c r="S101" s="145"/>
    </row>
    <row r="102" spans="1:19" s="146" customFormat="1" ht="18" customHeight="1">
      <c r="A102" s="1070"/>
      <c r="B102" s="1070"/>
      <c r="C102" s="1071"/>
      <c r="D102" s="1071"/>
      <c r="E102" s="139"/>
      <c r="F102" s="1071"/>
      <c r="G102" s="140"/>
      <c r="H102" s="141"/>
      <c r="I102" s="152"/>
      <c r="J102" s="143"/>
      <c r="K102" s="152"/>
      <c r="L102" s="143"/>
      <c r="M102" s="144"/>
      <c r="N102" s="1015"/>
      <c r="O102" s="115"/>
      <c r="P102" s="115"/>
      <c r="Q102" s="116"/>
      <c r="R102" s="116"/>
      <c r="S102" s="145"/>
    </row>
    <row r="103" spans="1:19" s="146" customFormat="1" ht="18" customHeight="1">
      <c r="A103" s="1070"/>
      <c r="B103" s="1070"/>
      <c r="C103" s="1071"/>
      <c r="D103" s="1071"/>
      <c r="E103" s="139"/>
      <c r="F103" s="1071"/>
      <c r="G103" s="140"/>
      <c r="H103" s="141"/>
      <c r="I103" s="152"/>
      <c r="J103" s="143"/>
      <c r="K103" s="152"/>
      <c r="L103" s="143"/>
      <c r="M103" s="144"/>
      <c r="N103" s="1015"/>
      <c r="O103" s="115"/>
      <c r="P103" s="115"/>
      <c r="Q103" s="116"/>
      <c r="R103" s="116"/>
      <c r="S103" s="145"/>
    </row>
    <row r="104" spans="1:19" s="146" customFormat="1" ht="18" customHeight="1">
      <c r="A104" s="1070"/>
      <c r="B104" s="1070"/>
      <c r="C104" s="1071"/>
      <c r="D104" s="1071"/>
      <c r="E104" s="139"/>
      <c r="F104" s="1071"/>
      <c r="G104" s="140"/>
      <c r="H104" s="141"/>
      <c r="I104" s="152"/>
      <c r="J104" s="143"/>
      <c r="K104" s="152"/>
      <c r="L104" s="143"/>
      <c r="M104" s="144"/>
      <c r="N104" s="1015"/>
      <c r="O104" s="115"/>
      <c r="P104" s="115"/>
      <c r="Q104" s="116"/>
      <c r="R104" s="116"/>
      <c r="S104" s="145"/>
    </row>
    <row r="105" spans="1:19" s="146" customFormat="1" ht="18" customHeight="1">
      <c r="A105" s="1070"/>
      <c r="B105" s="1070"/>
      <c r="C105" s="1071"/>
      <c r="D105" s="1071"/>
      <c r="E105" s="139"/>
      <c r="F105" s="1071"/>
      <c r="G105" s="140"/>
      <c r="H105" s="141"/>
      <c r="I105" s="152"/>
      <c r="J105" s="143"/>
      <c r="K105" s="152"/>
      <c r="L105" s="143"/>
      <c r="M105" s="144"/>
      <c r="N105" s="1015"/>
      <c r="O105" s="115"/>
      <c r="P105" s="115"/>
      <c r="Q105" s="116"/>
      <c r="R105" s="116"/>
      <c r="S105" s="145"/>
    </row>
    <row r="106" spans="1:19" s="146" customFormat="1" ht="18" customHeight="1">
      <c r="A106" s="1070"/>
      <c r="B106" s="1070"/>
      <c r="C106" s="1071"/>
      <c r="D106" s="1071"/>
      <c r="E106" s="139"/>
      <c r="F106" s="1071"/>
      <c r="G106" s="140"/>
      <c r="H106" s="141"/>
      <c r="I106" s="152"/>
      <c r="J106" s="143"/>
      <c r="K106" s="152"/>
      <c r="L106" s="143"/>
      <c r="M106" s="144"/>
      <c r="N106" s="1015"/>
      <c r="O106" s="115"/>
      <c r="P106" s="115"/>
      <c r="Q106" s="116"/>
      <c r="R106" s="116"/>
      <c r="S106" s="145"/>
    </row>
    <row r="107" spans="1:19" s="146" customFormat="1" ht="18" customHeight="1">
      <c r="A107" s="1070"/>
      <c r="B107" s="1070"/>
      <c r="C107" s="1071"/>
      <c r="D107" s="1071"/>
      <c r="E107" s="139"/>
      <c r="F107" s="1071"/>
      <c r="G107" s="140"/>
      <c r="H107" s="141"/>
      <c r="I107" s="152"/>
      <c r="J107" s="143"/>
      <c r="K107" s="152"/>
      <c r="L107" s="143"/>
      <c r="M107" s="144"/>
      <c r="N107" s="1015"/>
      <c r="O107" s="115"/>
      <c r="P107" s="115"/>
      <c r="Q107" s="116"/>
      <c r="R107" s="116"/>
      <c r="S107" s="145"/>
    </row>
    <row r="108" spans="1:19" s="146" customFormat="1" ht="18" customHeight="1">
      <c r="A108" s="1070"/>
      <c r="B108" s="1070"/>
      <c r="C108" s="1071"/>
      <c r="D108" s="1071"/>
      <c r="E108" s="139"/>
      <c r="F108" s="1071"/>
      <c r="G108" s="140"/>
      <c r="H108" s="141"/>
      <c r="I108" s="152"/>
      <c r="J108" s="143"/>
      <c r="K108" s="152"/>
      <c r="L108" s="143"/>
      <c r="M108" s="144"/>
      <c r="N108" s="1015"/>
      <c r="O108" s="115"/>
      <c r="P108" s="115"/>
      <c r="Q108" s="116"/>
      <c r="R108" s="116"/>
      <c r="S108" s="145"/>
    </row>
    <row r="109" spans="1:19" s="146" customFormat="1" ht="18" customHeight="1">
      <c r="A109" s="1070"/>
      <c r="B109" s="1070"/>
      <c r="C109" s="1071"/>
      <c r="D109" s="1071"/>
      <c r="E109" s="139"/>
      <c r="F109" s="1071"/>
      <c r="G109" s="140"/>
      <c r="H109" s="141"/>
      <c r="I109" s="152"/>
      <c r="J109" s="143"/>
      <c r="K109" s="152"/>
      <c r="L109" s="143"/>
      <c r="M109" s="144"/>
      <c r="N109" s="1015"/>
      <c r="O109" s="115"/>
      <c r="P109" s="115"/>
      <c r="Q109" s="116"/>
      <c r="R109" s="116"/>
      <c r="S109" s="145"/>
    </row>
    <row r="110" spans="1:19" s="146" customFormat="1" ht="18" customHeight="1">
      <c r="A110" s="1070"/>
      <c r="B110" s="1070"/>
      <c r="C110" s="1071"/>
      <c r="D110" s="1071"/>
      <c r="E110" s="139"/>
      <c r="F110" s="1071"/>
      <c r="G110" s="140"/>
      <c r="H110" s="141"/>
      <c r="I110" s="152"/>
      <c r="J110" s="143"/>
      <c r="K110" s="152"/>
      <c r="L110" s="143"/>
      <c r="M110" s="144"/>
      <c r="N110" s="1015"/>
      <c r="O110" s="115"/>
      <c r="P110" s="115"/>
      <c r="Q110" s="116"/>
      <c r="R110" s="116"/>
      <c r="S110" s="145"/>
    </row>
    <row r="111" spans="1:19" s="146" customFormat="1" ht="18" customHeight="1">
      <c r="A111" s="1070"/>
      <c r="B111" s="1070"/>
      <c r="C111" s="1071"/>
      <c r="D111" s="1071"/>
      <c r="E111" s="139"/>
      <c r="F111" s="1071"/>
      <c r="G111" s="140"/>
      <c r="H111" s="141"/>
      <c r="I111" s="152"/>
      <c r="J111" s="143"/>
      <c r="K111" s="152"/>
      <c r="L111" s="143"/>
      <c r="M111" s="144"/>
      <c r="N111" s="1015"/>
      <c r="O111" s="115"/>
      <c r="P111" s="115"/>
      <c r="Q111" s="116"/>
      <c r="R111" s="116"/>
      <c r="S111" s="145"/>
    </row>
    <row r="112" spans="1:19" s="146" customFormat="1" ht="18" customHeight="1">
      <c r="A112" s="1070"/>
      <c r="B112" s="1070"/>
      <c r="C112" s="1071"/>
      <c r="D112" s="1071"/>
      <c r="E112" s="139"/>
      <c r="F112" s="1071"/>
      <c r="G112" s="140"/>
      <c r="H112" s="141"/>
      <c r="I112" s="152"/>
      <c r="J112" s="143"/>
      <c r="K112" s="152"/>
      <c r="L112" s="143"/>
      <c r="M112" s="144"/>
      <c r="N112" s="1015"/>
      <c r="O112" s="115"/>
      <c r="P112" s="115"/>
      <c r="Q112" s="116"/>
      <c r="R112" s="116"/>
      <c r="S112" s="145"/>
    </row>
    <row r="113" spans="1:19" s="146" customFormat="1" ht="18" customHeight="1">
      <c r="A113" s="1070"/>
      <c r="B113" s="1070"/>
      <c r="C113" s="1071"/>
      <c r="D113" s="1071"/>
      <c r="E113" s="139"/>
      <c r="F113" s="1071"/>
      <c r="G113" s="140"/>
      <c r="H113" s="141"/>
      <c r="I113" s="152"/>
      <c r="J113" s="143"/>
      <c r="K113" s="152"/>
      <c r="L113" s="143"/>
      <c r="M113" s="144"/>
      <c r="N113" s="1015"/>
      <c r="O113" s="115"/>
      <c r="P113" s="115"/>
      <c r="Q113" s="116"/>
      <c r="R113" s="116"/>
      <c r="S113" s="145"/>
    </row>
    <row r="114" spans="1:19" s="146" customFormat="1" ht="18" customHeight="1">
      <c r="A114" s="1070"/>
      <c r="B114" s="1070"/>
      <c r="C114" s="1071"/>
      <c r="D114" s="1071"/>
      <c r="E114" s="139"/>
      <c r="F114" s="1071"/>
      <c r="G114" s="140"/>
      <c r="H114" s="141"/>
      <c r="I114" s="152"/>
      <c r="J114" s="143"/>
      <c r="K114" s="152"/>
      <c r="L114" s="143"/>
      <c r="M114" s="144"/>
      <c r="N114" s="1015"/>
      <c r="O114" s="115"/>
      <c r="P114" s="115"/>
      <c r="Q114" s="116"/>
      <c r="R114" s="116"/>
      <c r="S114" s="145"/>
    </row>
    <row r="115" spans="1:19" s="146" customFormat="1" ht="18" customHeight="1">
      <c r="A115" s="1070"/>
      <c r="B115" s="1070"/>
      <c r="C115" s="1071"/>
      <c r="D115" s="1071"/>
      <c r="E115" s="139"/>
      <c r="F115" s="1071"/>
      <c r="G115" s="140"/>
      <c r="H115" s="141"/>
      <c r="I115" s="152"/>
      <c r="J115" s="143"/>
      <c r="K115" s="152"/>
      <c r="L115" s="143"/>
      <c r="M115" s="144"/>
      <c r="N115" s="1015"/>
      <c r="O115" s="115"/>
      <c r="P115" s="115"/>
      <c r="Q115" s="116"/>
      <c r="R115" s="116"/>
      <c r="S115" s="145"/>
    </row>
    <row r="116" spans="1:19" s="146" customFormat="1" ht="18" customHeight="1">
      <c r="A116" s="1070"/>
      <c r="B116" s="1070"/>
      <c r="C116" s="1071"/>
      <c r="D116" s="1071"/>
      <c r="E116" s="139"/>
      <c r="F116" s="1071"/>
      <c r="G116" s="140"/>
      <c r="H116" s="141"/>
      <c r="I116" s="152"/>
      <c r="J116" s="143"/>
      <c r="K116" s="152"/>
      <c r="L116" s="143"/>
      <c r="M116" s="144"/>
      <c r="N116" s="1015"/>
      <c r="O116" s="115"/>
      <c r="P116" s="115"/>
      <c r="Q116" s="116"/>
      <c r="R116" s="116"/>
      <c r="S116" s="145"/>
    </row>
    <row r="117" spans="1:19" s="146" customFormat="1" ht="18" customHeight="1">
      <c r="A117" s="1070"/>
      <c r="B117" s="1070"/>
      <c r="C117" s="1071"/>
      <c r="D117" s="1071"/>
      <c r="E117" s="139"/>
      <c r="F117" s="1071"/>
      <c r="G117" s="140"/>
      <c r="H117" s="141"/>
      <c r="I117" s="152"/>
      <c r="J117" s="143"/>
      <c r="K117" s="152"/>
      <c r="L117" s="143"/>
      <c r="M117" s="144"/>
      <c r="N117" s="1015"/>
      <c r="O117" s="115"/>
      <c r="P117" s="115"/>
      <c r="Q117" s="116"/>
      <c r="R117" s="116"/>
      <c r="S117" s="145"/>
    </row>
    <row r="118" spans="1:19" s="146" customFormat="1" ht="18" customHeight="1">
      <c r="A118" s="1070"/>
      <c r="B118" s="1070"/>
      <c r="C118" s="1071"/>
      <c r="D118" s="1071"/>
      <c r="E118" s="139"/>
      <c r="F118" s="1071"/>
      <c r="G118" s="140"/>
      <c r="H118" s="141"/>
      <c r="I118" s="152"/>
      <c r="J118" s="143"/>
      <c r="K118" s="152"/>
      <c r="L118" s="143"/>
      <c r="M118" s="144"/>
      <c r="N118" s="1015"/>
      <c r="O118" s="115"/>
      <c r="P118" s="115"/>
      <c r="Q118" s="116"/>
      <c r="R118" s="116"/>
      <c r="S118" s="145"/>
    </row>
    <row r="119" spans="1:19" s="146" customFormat="1" ht="18" customHeight="1">
      <c r="A119" s="1070"/>
      <c r="B119" s="1070"/>
      <c r="C119" s="1071"/>
      <c r="D119" s="1071"/>
      <c r="E119" s="139"/>
      <c r="F119" s="1071"/>
      <c r="G119" s="140"/>
      <c r="H119" s="141"/>
      <c r="I119" s="152"/>
      <c r="J119" s="143"/>
      <c r="K119" s="152"/>
      <c r="L119" s="143"/>
      <c r="M119" s="144"/>
      <c r="N119" s="1015"/>
      <c r="O119" s="115"/>
      <c r="P119" s="115"/>
      <c r="Q119" s="116"/>
      <c r="R119" s="116"/>
      <c r="S119" s="145"/>
    </row>
    <row r="120" spans="1:19" s="146" customFormat="1" ht="18" customHeight="1">
      <c r="A120" s="1070"/>
      <c r="B120" s="1070"/>
      <c r="C120" s="1071"/>
      <c r="D120" s="1071"/>
      <c r="E120" s="139"/>
      <c r="F120" s="1071"/>
      <c r="G120" s="140"/>
      <c r="H120" s="141"/>
      <c r="I120" s="152"/>
      <c r="J120" s="143"/>
      <c r="K120" s="152"/>
      <c r="L120" s="143"/>
      <c r="M120" s="144"/>
      <c r="N120" s="1015"/>
      <c r="O120" s="115"/>
      <c r="P120" s="115"/>
      <c r="Q120" s="116"/>
      <c r="R120" s="116"/>
      <c r="S120" s="145"/>
    </row>
    <row r="121" spans="1:19" s="146" customFormat="1" ht="18" customHeight="1">
      <c r="A121" s="1070"/>
      <c r="B121" s="1070"/>
      <c r="C121" s="1071"/>
      <c r="D121" s="1071"/>
      <c r="E121" s="139"/>
      <c r="F121" s="1071"/>
      <c r="G121" s="140"/>
      <c r="H121" s="141"/>
      <c r="I121" s="152"/>
      <c r="J121" s="143"/>
      <c r="K121" s="152"/>
      <c r="L121" s="143"/>
      <c r="M121" s="144"/>
      <c r="N121" s="1015"/>
      <c r="O121" s="115"/>
      <c r="P121" s="115"/>
      <c r="Q121" s="116"/>
      <c r="R121" s="116"/>
      <c r="S121" s="145"/>
    </row>
    <row r="122" spans="1:19" s="146" customFormat="1" ht="18" customHeight="1">
      <c r="A122" s="1070"/>
      <c r="B122" s="1070"/>
      <c r="C122" s="1071"/>
      <c r="D122" s="1071"/>
      <c r="E122" s="139"/>
      <c r="F122" s="1071"/>
      <c r="G122" s="140"/>
      <c r="H122" s="141"/>
      <c r="I122" s="152"/>
      <c r="J122" s="143"/>
      <c r="K122" s="152"/>
      <c r="L122" s="143"/>
      <c r="M122" s="144"/>
      <c r="N122" s="1015"/>
      <c r="O122" s="115"/>
      <c r="P122" s="115"/>
      <c r="Q122" s="116"/>
      <c r="R122" s="116"/>
      <c r="S122" s="145"/>
    </row>
    <row r="123" spans="1:19" s="146" customFormat="1" ht="18" customHeight="1">
      <c r="A123" s="1070"/>
      <c r="B123" s="1070"/>
      <c r="C123" s="1071"/>
      <c r="D123" s="1071"/>
      <c r="E123" s="139"/>
      <c r="F123" s="1071"/>
      <c r="G123" s="140"/>
      <c r="H123" s="141"/>
      <c r="I123" s="152"/>
      <c r="J123" s="143"/>
      <c r="K123" s="152"/>
      <c r="L123" s="143"/>
      <c r="M123" s="144"/>
      <c r="N123" s="1015"/>
      <c r="O123" s="115"/>
      <c r="P123" s="115"/>
      <c r="Q123" s="116"/>
      <c r="R123" s="116"/>
      <c r="S123" s="145"/>
    </row>
    <row r="124" spans="1:19" s="146" customFormat="1" ht="18" customHeight="1">
      <c r="A124" s="1079"/>
      <c r="B124" s="1079"/>
      <c r="C124" s="197"/>
      <c r="D124" s="197"/>
      <c r="E124" s="1079"/>
      <c r="F124" s="230"/>
      <c r="G124" s="199"/>
      <c r="H124" s="200"/>
      <c r="I124" s="1080"/>
      <c r="J124" s="1074"/>
      <c r="K124" s="1080"/>
      <c r="L124" s="1074"/>
      <c r="M124" s="1074"/>
      <c r="N124" s="170"/>
      <c r="O124" s="115"/>
      <c r="P124" s="115"/>
      <c r="Q124" s="116"/>
      <c r="R124" s="116"/>
      <c r="S124" s="117"/>
    </row>
    <row r="125" spans="1:19" s="168" customFormat="1" ht="18" customHeight="1">
      <c r="A125" s="1086"/>
      <c r="B125" s="1086"/>
      <c r="C125" s="245"/>
      <c r="D125" s="245"/>
      <c r="E125" s="1086"/>
      <c r="F125" s="1087"/>
      <c r="G125" s="247"/>
      <c r="H125" s="204" t="s">
        <v>944</v>
      </c>
      <c r="I125" s="1088"/>
      <c r="J125" s="1089">
        <f>SUM(J86:J124)</f>
        <v>0</v>
      </c>
      <c r="K125" s="1089"/>
      <c r="L125" s="1089"/>
      <c r="M125" s="1089">
        <f>SUM(M86:M124)</f>
        <v>576288</v>
      </c>
      <c r="N125" s="171"/>
      <c r="O125" s="165"/>
      <c r="P125" s="165"/>
      <c r="Q125" s="166"/>
      <c r="R125" s="166"/>
      <c r="S125" s="167"/>
    </row>
    <row r="126" spans="1:19" s="168" customFormat="1" ht="18" customHeight="1" thickBot="1">
      <c r="A126" s="208"/>
      <c r="B126" s="1081"/>
      <c r="C126" s="1081"/>
      <c r="D126" s="1081"/>
      <c r="E126" s="1082"/>
      <c r="F126" s="1081"/>
      <c r="G126" s="1083"/>
      <c r="H126" s="208" t="s">
        <v>15</v>
      </c>
      <c r="I126" s="1084"/>
      <c r="J126" s="1085">
        <f>J125+J68</f>
        <v>3377520</v>
      </c>
      <c r="K126" s="1084"/>
      <c r="L126" s="1085"/>
      <c r="M126" s="1085">
        <f>M125+M68</f>
        <v>2142753</v>
      </c>
      <c r="N126" s="171"/>
      <c r="O126" s="165"/>
      <c r="P126" s="165"/>
      <c r="Q126" s="166"/>
      <c r="R126" s="166"/>
      <c r="S126" s="167"/>
    </row>
    <row r="127" spans="1:19" s="146" customFormat="1" ht="18" customHeight="1" thickTop="1">
      <c r="A127" s="155"/>
      <c r="B127" s="155"/>
      <c r="C127" s="1060"/>
      <c r="D127" s="1060"/>
      <c r="E127" s="155"/>
      <c r="F127" s="155"/>
      <c r="G127" s="155"/>
      <c r="H127" s="155"/>
      <c r="I127" s="155"/>
      <c r="J127" s="155"/>
      <c r="K127" s="172"/>
      <c r="L127" s="170"/>
      <c r="M127" s="170"/>
      <c r="N127" s="170"/>
      <c r="O127" s="115"/>
      <c r="P127" s="115"/>
      <c r="Q127" s="116"/>
      <c r="R127" s="116"/>
      <c r="S127" s="117"/>
    </row>
    <row r="128" spans="1:19" s="146" customFormat="1" ht="18" customHeight="1">
      <c r="A128" s="155"/>
      <c r="B128" s="155"/>
      <c r="C128" s="1060"/>
      <c r="D128" s="1060"/>
      <c r="E128" s="155"/>
      <c r="F128" s="155"/>
      <c r="G128" s="155"/>
      <c r="H128" s="155"/>
      <c r="I128" s="155"/>
      <c r="J128" s="155"/>
      <c r="K128" s="172"/>
      <c r="L128" s="170"/>
      <c r="M128" s="170"/>
      <c r="N128" s="170"/>
      <c r="O128" s="115"/>
      <c r="P128" s="115"/>
      <c r="Q128" s="116"/>
      <c r="R128" s="116"/>
      <c r="S128" s="117"/>
    </row>
    <row r="129" spans="1:19" s="146" customFormat="1" ht="18" customHeight="1">
      <c r="A129" s="173" t="s">
        <v>626</v>
      </c>
      <c r="B129" s="173"/>
      <c r="C129" s="1052"/>
      <c r="D129" s="1052"/>
      <c r="E129" s="174"/>
      <c r="F129" s="174"/>
      <c r="G129" s="174"/>
      <c r="H129" s="173" t="s">
        <v>627</v>
      </c>
      <c r="I129" s="174"/>
      <c r="K129" s="173" t="s">
        <v>258</v>
      </c>
      <c r="L129" s="175"/>
      <c r="M129" s="175"/>
      <c r="N129" s="175"/>
      <c r="O129" s="115"/>
      <c r="P129" s="115"/>
      <c r="Q129" s="116"/>
      <c r="R129" s="116"/>
      <c r="S129" s="117"/>
    </row>
    <row r="130" spans="1:19" s="146" customFormat="1" ht="18" customHeight="1">
      <c r="A130" s="174"/>
      <c r="B130" s="174"/>
      <c r="C130" s="1053"/>
      <c r="D130" s="1053"/>
      <c r="E130" s="174"/>
      <c r="F130" s="174"/>
      <c r="G130" s="174"/>
      <c r="H130" s="174"/>
      <c r="I130" s="174"/>
      <c r="J130" s="174"/>
      <c r="K130" s="176"/>
      <c r="L130" s="175"/>
      <c r="M130" s="175"/>
      <c r="N130" s="175"/>
      <c r="O130" s="115"/>
      <c r="P130" s="115"/>
      <c r="Q130" s="116"/>
      <c r="R130" s="116"/>
      <c r="S130" s="117"/>
    </row>
    <row r="131" spans="1:19" s="146" customFormat="1" ht="18" customHeight="1">
      <c r="A131" s="1310" t="s">
        <v>65</v>
      </c>
      <c r="B131" s="1310"/>
      <c r="C131" s="1310"/>
      <c r="D131" s="1310"/>
      <c r="E131" s="1310"/>
      <c r="F131" s="1310"/>
      <c r="G131" s="174"/>
      <c r="H131" s="1310" t="s">
        <v>17</v>
      </c>
      <c r="I131" s="1310"/>
      <c r="J131" s="174"/>
      <c r="K131" s="1310" t="s">
        <v>1454</v>
      </c>
      <c r="L131" s="1310"/>
      <c r="M131" s="1310"/>
      <c r="N131" s="1052"/>
      <c r="O131" s="115"/>
      <c r="P131" s="115"/>
      <c r="Q131" s="116"/>
      <c r="R131" s="116"/>
      <c r="S131" s="117"/>
    </row>
    <row r="132" spans="1:19" s="146" customFormat="1" ht="18" customHeight="1">
      <c r="A132" s="1294" t="s">
        <v>430</v>
      </c>
      <c r="B132" s="1294"/>
      <c r="C132" s="1294"/>
      <c r="D132" s="1294"/>
      <c r="E132" s="1294"/>
      <c r="F132" s="1294"/>
      <c r="G132" s="177"/>
      <c r="H132" s="1294" t="s">
        <v>18</v>
      </c>
      <c r="I132" s="1294"/>
      <c r="J132" s="1052"/>
      <c r="K132" s="1294" t="s">
        <v>14</v>
      </c>
      <c r="L132" s="1294"/>
      <c r="M132" s="1294"/>
      <c r="N132" s="1053"/>
      <c r="O132" s="115"/>
      <c r="P132" s="115"/>
      <c r="Q132" s="116"/>
      <c r="R132" s="116"/>
      <c r="S132" s="117"/>
    </row>
    <row r="133" spans="1:19" ht="18" customHeight="1">
      <c r="A133" s="111"/>
      <c r="B133" s="111"/>
      <c r="C133" s="1050"/>
      <c r="D133" s="1050"/>
      <c r="E133" s="1321"/>
      <c r="F133" s="1321"/>
      <c r="G133" s="1321"/>
      <c r="I133" s="1050"/>
      <c r="J133" s="1050"/>
    </row>
    <row r="134" spans="1:19" ht="18" customHeight="1">
      <c r="A134" s="111"/>
      <c r="B134" s="111"/>
      <c r="C134" s="1050"/>
      <c r="D134" s="1050"/>
      <c r="E134" s="1050"/>
      <c r="F134" s="1050"/>
      <c r="G134" s="1050"/>
      <c r="I134" s="1050"/>
      <c r="J134" s="1050"/>
    </row>
    <row r="135" spans="1:19" ht="18" customHeight="1">
      <c r="A135" s="111"/>
      <c r="B135" s="111"/>
      <c r="C135" s="1147"/>
      <c r="D135" s="1147"/>
      <c r="E135" s="1147"/>
      <c r="F135" s="1147"/>
      <c r="G135" s="1147"/>
      <c r="I135" s="1147"/>
      <c r="J135" s="1147"/>
    </row>
    <row r="136" spans="1:19" ht="18" customHeight="1">
      <c r="A136" s="111"/>
      <c r="B136" s="111"/>
      <c r="C136" s="1147"/>
      <c r="D136" s="1147"/>
      <c r="E136" s="1147"/>
      <c r="F136" s="1147"/>
      <c r="G136" s="1147"/>
      <c r="I136" s="1147"/>
      <c r="J136" s="1147"/>
    </row>
    <row r="137" spans="1:19" ht="18" customHeight="1">
      <c r="A137" s="111"/>
      <c r="B137" s="111"/>
      <c r="C137" s="1050"/>
      <c r="D137" s="1050"/>
      <c r="E137" s="1050"/>
      <c r="F137" s="1050"/>
      <c r="G137" s="1050"/>
      <c r="I137" s="1050"/>
      <c r="J137" s="1050"/>
    </row>
    <row r="138" spans="1:19" ht="18" customHeight="1">
      <c r="A138" s="111"/>
      <c r="B138" s="111"/>
      <c r="C138" s="1050"/>
      <c r="D138" s="1050"/>
      <c r="E138" s="1050"/>
      <c r="F138" s="1050"/>
      <c r="G138" s="1050"/>
      <c r="I138" s="1050"/>
      <c r="J138" s="1050"/>
    </row>
    <row r="139" spans="1:19" ht="18" customHeight="1">
      <c r="A139" s="111"/>
      <c r="B139" s="111"/>
      <c r="C139" s="1050"/>
      <c r="D139" s="1050"/>
      <c r="E139" s="1050"/>
      <c r="F139" s="1050"/>
      <c r="G139" s="1050"/>
      <c r="I139" s="1050"/>
      <c r="J139" s="1050"/>
    </row>
    <row r="140" spans="1:19" ht="18" customHeight="1">
      <c r="A140" s="111"/>
      <c r="B140" s="111"/>
      <c r="C140" s="1050"/>
      <c r="D140" s="1050"/>
      <c r="E140" s="1050"/>
      <c r="F140" s="1050"/>
      <c r="G140" s="1050"/>
      <c r="I140" s="1050"/>
      <c r="J140" s="1050"/>
    </row>
    <row r="141" spans="1:19" ht="18" customHeight="1">
      <c r="A141" s="111"/>
      <c r="B141" s="111"/>
      <c r="C141" s="1050"/>
      <c r="D141" s="1050"/>
      <c r="E141" s="1050"/>
      <c r="F141" s="1050"/>
      <c r="G141" s="1050"/>
      <c r="I141" s="1050"/>
      <c r="J141" s="1050"/>
    </row>
    <row r="142" spans="1:19" ht="18" customHeight="1">
      <c r="A142" s="111"/>
      <c r="B142" s="111"/>
      <c r="C142" s="1050"/>
      <c r="D142" s="1050"/>
      <c r="E142" s="1331"/>
      <c r="F142" s="1331"/>
      <c r="G142" s="1331"/>
      <c r="H142" s="1331"/>
      <c r="I142" s="1331"/>
      <c r="J142" s="111"/>
      <c r="K142" s="112"/>
      <c r="M142" s="113"/>
      <c r="N142" s="113"/>
    </row>
    <row r="143" spans="1:19" s="179" customFormat="1" ht="20.100000000000001" customHeight="1">
      <c r="A143" s="1263" t="s">
        <v>985</v>
      </c>
      <c r="B143" s="1263"/>
      <c r="C143" s="1263"/>
      <c r="D143" s="1263"/>
      <c r="E143" s="1263"/>
      <c r="F143" s="1263"/>
      <c r="G143" s="1263"/>
      <c r="H143" s="1263"/>
      <c r="I143" s="1263"/>
      <c r="J143" s="1263"/>
      <c r="K143" s="1263"/>
      <c r="L143" s="1263"/>
      <c r="M143" s="1263"/>
      <c r="N143" s="1058"/>
      <c r="O143" s="115"/>
      <c r="P143" s="115"/>
      <c r="Q143" s="116"/>
      <c r="R143" s="116"/>
      <c r="S143" s="117"/>
    </row>
    <row r="144" spans="1:19" ht="18" customHeight="1">
      <c r="A144" s="110"/>
      <c r="B144" s="110"/>
      <c r="C144" s="1057"/>
      <c r="D144" s="1057"/>
      <c r="E144" s="111"/>
      <c r="F144" s="111"/>
      <c r="G144" s="111"/>
      <c r="H144" s="111"/>
      <c r="I144" s="111"/>
      <c r="J144" s="111"/>
      <c r="K144" s="112"/>
      <c r="M144" s="114"/>
      <c r="N144" s="114"/>
    </row>
    <row r="145" spans="1:19" ht="18" customHeight="1">
      <c r="A145" s="1319" t="s">
        <v>1675</v>
      </c>
      <c r="B145" s="1319"/>
      <c r="C145" s="1319"/>
      <c r="D145" s="1319"/>
      <c r="E145" s="1319"/>
      <c r="F145" s="1319"/>
      <c r="G145" s="1319"/>
      <c r="H145" s="1319"/>
      <c r="I145" s="1319"/>
      <c r="J145" s="1319"/>
      <c r="K145" s="1319"/>
      <c r="L145" s="1319"/>
      <c r="M145" s="1319"/>
      <c r="N145" s="1048"/>
    </row>
    <row r="146" spans="1:19" ht="18" customHeight="1">
      <c r="A146" s="1320" t="s">
        <v>358</v>
      </c>
      <c r="B146" s="1320"/>
      <c r="C146" s="1320"/>
      <c r="D146" s="1320"/>
      <c r="E146" s="1320"/>
      <c r="F146" s="1320"/>
      <c r="G146" s="1320"/>
      <c r="H146" s="1320"/>
      <c r="I146" s="1320"/>
      <c r="J146" s="1320"/>
      <c r="K146" s="1320"/>
      <c r="L146" s="1320"/>
      <c r="M146" s="1320"/>
      <c r="N146" s="1049"/>
    </row>
    <row r="147" spans="1:19" ht="18" customHeight="1">
      <c r="A147" s="1321"/>
      <c r="B147" s="1321"/>
      <c r="C147" s="1321"/>
      <c r="D147" s="1321"/>
      <c r="E147" s="1321"/>
      <c r="F147" s="1321"/>
      <c r="G147" s="1321"/>
      <c r="H147" s="1321"/>
      <c r="I147" s="1321"/>
      <c r="J147" s="1321"/>
      <c r="K147" s="1321"/>
      <c r="L147" s="1321"/>
      <c r="M147" s="1321"/>
      <c r="N147" s="1050"/>
    </row>
    <row r="148" spans="1:19" ht="18" customHeight="1">
      <c r="A148" s="1050"/>
      <c r="B148" s="1050"/>
      <c r="C148" s="1050"/>
      <c r="D148" s="1050"/>
      <c r="E148" s="1050"/>
      <c r="F148" s="1050"/>
      <c r="G148" s="1050"/>
      <c r="H148" s="1050"/>
      <c r="I148" s="1050"/>
      <c r="J148" s="1050"/>
      <c r="K148" s="1050"/>
      <c r="L148" s="1050"/>
      <c r="M148" s="1050"/>
      <c r="N148" s="1050"/>
    </row>
    <row r="149" spans="1:19" ht="18" customHeight="1">
      <c r="A149" s="111" t="s">
        <v>450</v>
      </c>
      <c r="B149" s="111"/>
      <c r="C149" s="1050" t="s">
        <v>448</v>
      </c>
      <c r="D149" s="111" t="s">
        <v>299</v>
      </c>
      <c r="F149" s="111"/>
      <c r="G149" s="1050"/>
      <c r="H149" s="1050"/>
      <c r="I149" s="1050"/>
      <c r="J149" s="1050"/>
      <c r="K149" s="1050"/>
      <c r="L149" s="1050"/>
      <c r="M149" s="1050"/>
      <c r="N149" s="1050"/>
    </row>
    <row r="150" spans="1:19" ht="18" customHeight="1">
      <c r="A150" s="111" t="s">
        <v>451</v>
      </c>
      <c r="B150" s="111"/>
      <c r="C150" s="1050" t="s">
        <v>448</v>
      </c>
      <c r="D150" s="111" t="s">
        <v>453</v>
      </c>
      <c r="F150" s="111"/>
      <c r="G150" s="1050"/>
      <c r="H150" s="1050"/>
      <c r="I150" s="1050"/>
      <c r="J150" s="1050"/>
      <c r="K150" s="1050"/>
      <c r="L150" s="1050"/>
      <c r="M150" s="1050"/>
      <c r="N150" s="1050"/>
    </row>
    <row r="151" spans="1:19" ht="18" customHeight="1" thickBot="1">
      <c r="A151" s="111" t="s">
        <v>452</v>
      </c>
      <c r="B151" s="111"/>
      <c r="C151" s="1050" t="s">
        <v>448</v>
      </c>
      <c r="D151" s="111" t="s">
        <v>454</v>
      </c>
      <c r="F151" s="111"/>
      <c r="G151" s="1050"/>
      <c r="H151" s="1050"/>
      <c r="I151" s="1050"/>
      <c r="J151" s="1050"/>
      <c r="K151" s="1050"/>
      <c r="L151" s="1050"/>
      <c r="M151" s="1050"/>
      <c r="N151" s="1050"/>
    </row>
    <row r="152" spans="1:19" ht="18" customHeight="1">
      <c r="A152" s="1322" t="s">
        <v>631</v>
      </c>
      <c r="B152" s="1323"/>
      <c r="C152" s="1323"/>
      <c r="D152" s="1323"/>
      <c r="E152" s="1324"/>
      <c r="F152" s="1323"/>
      <c r="G152" s="1325"/>
      <c r="H152" s="121"/>
      <c r="I152" s="1326" t="s">
        <v>635</v>
      </c>
      <c r="J152" s="1327"/>
      <c r="K152" s="1326" t="s">
        <v>635</v>
      </c>
      <c r="L152" s="1327"/>
      <c r="M152" s="122"/>
      <c r="N152" s="1012"/>
    </row>
    <row r="153" spans="1:19" ht="18" customHeight="1">
      <c r="A153" s="123" t="s">
        <v>632</v>
      </c>
      <c r="B153" s="1311" t="s">
        <v>633</v>
      </c>
      <c r="C153" s="1312"/>
      <c r="D153" s="1313"/>
      <c r="E153" s="1314" t="s">
        <v>44</v>
      </c>
      <c r="F153" s="1315"/>
      <c r="G153" s="1316"/>
      <c r="H153" s="1054" t="s">
        <v>45</v>
      </c>
      <c r="I153" s="1314" t="s">
        <v>1502</v>
      </c>
      <c r="J153" s="1316"/>
      <c r="K153" s="1315" t="s">
        <v>1676</v>
      </c>
      <c r="L153" s="1316"/>
      <c r="M153" s="124" t="s">
        <v>46</v>
      </c>
      <c r="N153" s="1013"/>
      <c r="O153" s="180"/>
    </row>
    <row r="154" spans="1:19" ht="18" customHeight="1">
      <c r="A154" s="125"/>
      <c r="B154" s="1054"/>
      <c r="C154" s="1055"/>
      <c r="D154" s="1055"/>
      <c r="E154" s="1054"/>
      <c r="F154" s="1055"/>
      <c r="G154" s="1056"/>
      <c r="H154" s="1054" t="s">
        <v>47</v>
      </c>
      <c r="I154" s="1317"/>
      <c r="J154" s="1318"/>
      <c r="K154" s="1317"/>
      <c r="L154" s="1318"/>
      <c r="M154" s="124" t="s">
        <v>48</v>
      </c>
      <c r="N154" s="1013"/>
      <c r="O154" s="180"/>
    </row>
    <row r="155" spans="1:19" ht="18" customHeight="1">
      <c r="A155" s="125"/>
      <c r="B155" s="1054"/>
      <c r="C155" s="1055"/>
      <c r="D155" s="1055"/>
      <c r="E155" s="1054"/>
      <c r="F155" s="1055"/>
      <c r="G155" s="126"/>
      <c r="H155" s="127"/>
      <c r="I155" s="128" t="s">
        <v>634</v>
      </c>
      <c r="J155" s="129" t="s">
        <v>49</v>
      </c>
      <c r="K155" s="128" t="s">
        <v>634</v>
      </c>
      <c r="L155" s="129" t="s">
        <v>49</v>
      </c>
      <c r="M155" s="124"/>
      <c r="N155" s="120" t="s">
        <v>1628</v>
      </c>
      <c r="O155" s="180"/>
    </row>
    <row r="156" spans="1:19" ht="18" customHeight="1" thickBot="1">
      <c r="A156" s="130"/>
      <c r="B156" s="1307"/>
      <c r="C156" s="1308"/>
      <c r="D156" s="1309"/>
      <c r="E156" s="1307"/>
      <c r="F156" s="1308"/>
      <c r="G156" s="1309"/>
      <c r="H156" s="131"/>
      <c r="I156" s="131"/>
      <c r="J156" s="131"/>
      <c r="K156" s="131"/>
      <c r="L156" s="131"/>
      <c r="M156" s="132"/>
      <c r="N156" s="1019" t="s">
        <v>1629</v>
      </c>
      <c r="O156" s="180"/>
    </row>
    <row r="157" spans="1:19" ht="18" customHeight="1">
      <c r="A157" s="181"/>
      <c r="B157" s="119"/>
      <c r="C157" s="119"/>
      <c r="D157" s="119"/>
      <c r="E157" s="133"/>
      <c r="F157" s="119"/>
      <c r="G157" s="134"/>
      <c r="H157" s="135"/>
      <c r="I157" s="182"/>
      <c r="J157" s="137"/>
      <c r="K157" s="182"/>
      <c r="L157" s="137"/>
      <c r="M157" s="137"/>
      <c r="N157" s="1016"/>
    </row>
    <row r="158" spans="1:19" s="146" customFormat="1" ht="18" customHeight="1">
      <c r="A158" s="183">
        <v>1</v>
      </c>
      <c r="B158" s="1060"/>
      <c r="C158" s="1060"/>
      <c r="D158" s="1061"/>
      <c r="E158" s="140" t="s">
        <v>1703</v>
      </c>
      <c r="F158" s="1060"/>
      <c r="G158" s="140"/>
      <c r="H158" s="141" t="s">
        <v>50</v>
      </c>
      <c r="I158" s="184" t="s">
        <v>1451</v>
      </c>
      <c r="J158" s="143">
        <v>1008636</v>
      </c>
      <c r="K158" s="184" t="s">
        <v>1451</v>
      </c>
      <c r="L158" s="143">
        <v>1028040</v>
      </c>
      <c r="M158" s="144">
        <f>L158-J158</f>
        <v>19404</v>
      </c>
      <c r="N158" s="1015">
        <f>L158/12</f>
        <v>85670</v>
      </c>
      <c r="O158" s="115">
        <f>L158-J158</f>
        <v>19404</v>
      </c>
      <c r="P158" s="115">
        <f>O158-M158</f>
        <v>0</v>
      </c>
      <c r="Q158" s="116">
        <v>71123</v>
      </c>
      <c r="R158" s="116">
        <f>Q158*12</f>
        <v>853476</v>
      </c>
      <c r="S158" s="145">
        <f>R158-L158</f>
        <v>-174564</v>
      </c>
    </row>
    <row r="159" spans="1:19" s="146" customFormat="1" ht="18" customHeight="1">
      <c r="A159" s="183"/>
      <c r="B159" s="1060"/>
      <c r="C159" s="1060"/>
      <c r="D159" s="1061"/>
      <c r="E159" s="155"/>
      <c r="F159" s="1060"/>
      <c r="G159" s="140"/>
      <c r="H159" s="141"/>
      <c r="I159" s="184"/>
      <c r="J159" s="143"/>
      <c r="K159" s="184" t="s">
        <v>1704</v>
      </c>
      <c r="L159" s="143">
        <v>1044816</v>
      </c>
      <c r="M159" s="144">
        <v>8388</v>
      </c>
      <c r="N159" s="1015"/>
      <c r="O159" s="115"/>
      <c r="P159" s="115"/>
      <c r="Q159" s="116"/>
      <c r="R159" s="116"/>
      <c r="S159" s="145"/>
    </row>
    <row r="160" spans="1:19" s="146" customFormat="1" ht="18" customHeight="1">
      <c r="A160" s="183"/>
      <c r="B160" s="1060"/>
      <c r="C160" s="1060"/>
      <c r="D160" s="1061"/>
      <c r="E160" s="155"/>
      <c r="F160" s="1060"/>
      <c r="G160" s="140"/>
      <c r="H160" s="141"/>
      <c r="I160" s="184"/>
      <c r="J160" s="143"/>
      <c r="K160" s="184"/>
      <c r="L160" s="149">
        <v>44743</v>
      </c>
      <c r="M160" s="144"/>
      <c r="N160" s="1015"/>
      <c r="O160" s="115"/>
      <c r="P160" s="115"/>
      <c r="Q160" s="116"/>
      <c r="R160" s="116"/>
      <c r="S160" s="145"/>
    </row>
    <row r="161" spans="1:19" s="146" customFormat="1" ht="18" customHeight="1">
      <c r="A161" s="183"/>
      <c r="B161" s="1060"/>
      <c r="C161" s="1060"/>
      <c r="D161" s="1061"/>
      <c r="E161" s="155"/>
      <c r="F161" s="1060"/>
      <c r="G161" s="140"/>
      <c r="H161" s="141"/>
      <c r="I161" s="184"/>
      <c r="J161" s="143"/>
      <c r="K161" s="184"/>
      <c r="L161" s="143"/>
      <c r="M161" s="144"/>
      <c r="N161" s="1015"/>
      <c r="O161" s="115"/>
      <c r="P161" s="115"/>
      <c r="Q161" s="116"/>
      <c r="R161" s="116"/>
      <c r="S161" s="145"/>
    </row>
    <row r="162" spans="1:19" s="146" customFormat="1" ht="18" customHeight="1">
      <c r="A162" s="183"/>
      <c r="B162" s="1060"/>
      <c r="C162" s="1060"/>
      <c r="D162" s="1060"/>
      <c r="E162" s="154"/>
      <c r="F162" s="1060"/>
      <c r="G162" s="140"/>
      <c r="H162" s="141"/>
      <c r="I162" s="185"/>
      <c r="J162" s="143"/>
      <c r="K162" s="185"/>
      <c r="L162" s="143"/>
      <c r="M162" s="144"/>
      <c r="N162" s="1015"/>
      <c r="O162" s="115"/>
      <c r="P162" s="115"/>
      <c r="Q162" s="116"/>
      <c r="R162" s="116"/>
      <c r="S162" s="117"/>
    </row>
    <row r="163" spans="1:19" s="146" customFormat="1" ht="18" customHeight="1">
      <c r="A163" s="183">
        <v>2</v>
      </c>
      <c r="B163" s="1060"/>
      <c r="C163" s="1060"/>
      <c r="D163" s="1060"/>
      <c r="E163" s="154" t="s">
        <v>1705</v>
      </c>
      <c r="F163" s="1060"/>
      <c r="G163" s="140"/>
      <c r="H163" s="141" t="s">
        <v>245</v>
      </c>
      <c r="I163" s="184" t="s">
        <v>67</v>
      </c>
      <c r="J163" s="143">
        <v>884772</v>
      </c>
      <c r="K163" s="184" t="s">
        <v>67</v>
      </c>
      <c r="L163" s="143">
        <v>901788</v>
      </c>
      <c r="M163" s="144">
        <f>L163-J163</f>
        <v>17016</v>
      </c>
      <c r="N163" s="1015">
        <f>L163/12</f>
        <v>75149</v>
      </c>
      <c r="O163" s="115">
        <f>L163-J163</f>
        <v>17016</v>
      </c>
      <c r="P163" s="115">
        <f>O163-M163</f>
        <v>0</v>
      </c>
      <c r="Q163" s="116">
        <v>62304</v>
      </c>
      <c r="R163" s="116">
        <f>Q163*12</f>
        <v>747648</v>
      </c>
      <c r="S163" s="145">
        <f>R163-L163</f>
        <v>-154140</v>
      </c>
    </row>
    <row r="164" spans="1:19" s="146" customFormat="1" ht="18" customHeight="1">
      <c r="A164" s="183"/>
      <c r="B164" s="1060"/>
      <c r="C164" s="1060"/>
      <c r="D164" s="1060"/>
      <c r="E164" s="154"/>
      <c r="F164" s="1060"/>
      <c r="G164" s="140"/>
      <c r="H164" s="141"/>
      <c r="I164" s="184"/>
      <c r="J164" s="143"/>
      <c r="K164" s="184" t="s">
        <v>221</v>
      </c>
      <c r="L164" s="143">
        <v>915600</v>
      </c>
      <c r="M164" s="144">
        <v>7356</v>
      </c>
      <c r="N164" s="1015"/>
      <c r="O164" s="115"/>
      <c r="P164" s="115"/>
      <c r="Q164" s="116"/>
      <c r="R164" s="116"/>
      <c r="S164" s="145"/>
    </row>
    <row r="165" spans="1:19" s="146" customFormat="1" ht="18" customHeight="1">
      <c r="A165" s="183"/>
      <c r="B165" s="1060"/>
      <c r="C165" s="1060"/>
      <c r="D165" s="1060"/>
      <c r="E165" s="154"/>
      <c r="F165" s="1060"/>
      <c r="G165" s="140"/>
      <c r="H165" s="141"/>
      <c r="I165" s="184"/>
      <c r="J165" s="143"/>
      <c r="K165" s="184"/>
      <c r="L165" s="149">
        <v>44743</v>
      </c>
      <c r="M165" s="144"/>
      <c r="N165" s="1015"/>
      <c r="O165" s="115"/>
      <c r="P165" s="115"/>
      <c r="Q165" s="116"/>
      <c r="R165" s="116"/>
      <c r="S165" s="145"/>
    </row>
    <row r="166" spans="1:19" s="146" customFormat="1" ht="15.75">
      <c r="A166" s="183"/>
      <c r="B166" s="1060"/>
      <c r="C166" s="1060"/>
      <c r="D166" s="1060"/>
      <c r="E166" s="154"/>
      <c r="F166" s="1060"/>
      <c r="G166" s="140"/>
      <c r="H166" s="141"/>
      <c r="I166" s="184"/>
      <c r="J166" s="143"/>
      <c r="K166" s="184"/>
      <c r="L166" s="143"/>
      <c r="M166" s="144"/>
      <c r="N166" s="1015"/>
      <c r="O166" s="115"/>
      <c r="P166" s="115"/>
      <c r="Q166" s="116"/>
      <c r="R166" s="116"/>
      <c r="S166" s="145"/>
    </row>
    <row r="167" spans="1:19" s="146" customFormat="1" ht="18" customHeight="1">
      <c r="A167" s="183"/>
      <c r="B167" s="1060"/>
      <c r="C167" s="1060"/>
      <c r="D167" s="1060"/>
      <c r="E167" s="154"/>
      <c r="F167" s="1060"/>
      <c r="G167" s="140"/>
      <c r="H167" s="141"/>
      <c r="I167" s="185"/>
      <c r="J167" s="143"/>
      <c r="K167" s="185"/>
      <c r="L167" s="143"/>
      <c r="M167" s="144"/>
      <c r="N167" s="1015"/>
      <c r="O167" s="115"/>
      <c r="P167" s="115"/>
      <c r="Q167" s="116"/>
      <c r="R167" s="116"/>
      <c r="S167" s="117"/>
    </row>
    <row r="168" spans="1:19" s="146" customFormat="1" ht="18" customHeight="1">
      <c r="A168" s="183">
        <v>3</v>
      </c>
      <c r="B168" s="1060"/>
      <c r="C168" s="1060"/>
      <c r="D168" s="1060"/>
      <c r="E168" s="154" t="s">
        <v>1705</v>
      </c>
      <c r="F168" s="1060"/>
      <c r="G168" s="140"/>
      <c r="H168" s="141" t="s">
        <v>437</v>
      </c>
      <c r="I168" s="184" t="s">
        <v>221</v>
      </c>
      <c r="J168" s="143">
        <v>899208</v>
      </c>
      <c r="K168" s="184" t="s">
        <v>221</v>
      </c>
      <c r="L168" s="143">
        <v>916500</v>
      </c>
      <c r="M168" s="144">
        <f>L168-J168</f>
        <v>17292</v>
      </c>
      <c r="N168" s="1015">
        <f>L168/12</f>
        <v>76375</v>
      </c>
      <c r="O168" s="115">
        <f>L168-J168</f>
        <v>17292</v>
      </c>
      <c r="P168" s="115">
        <f>O168-M168</f>
        <v>0</v>
      </c>
      <c r="Q168" s="116">
        <v>62304</v>
      </c>
      <c r="R168" s="116">
        <f>Q168*12</f>
        <v>747648</v>
      </c>
      <c r="S168" s="145">
        <f>R168-L168</f>
        <v>-168852</v>
      </c>
    </row>
    <row r="169" spans="1:19" s="146" customFormat="1" ht="18" customHeight="1">
      <c r="A169" s="183"/>
      <c r="B169" s="1060"/>
      <c r="C169" s="1060"/>
      <c r="D169" s="1060"/>
      <c r="E169" s="154"/>
      <c r="F169" s="1060"/>
      <c r="G169" s="140"/>
      <c r="H169" s="141"/>
      <c r="I169" s="184"/>
      <c r="J169" s="143"/>
      <c r="K169" s="184" t="s">
        <v>248</v>
      </c>
      <c r="L169" s="143">
        <v>931464</v>
      </c>
      <c r="M169" s="144">
        <v>7482</v>
      </c>
      <c r="N169" s="1015"/>
      <c r="O169" s="115"/>
      <c r="P169" s="115"/>
      <c r="Q169" s="116"/>
      <c r="R169" s="116"/>
      <c r="S169" s="145"/>
    </row>
    <row r="170" spans="1:19" s="146" customFormat="1" ht="18" customHeight="1">
      <c r="A170" s="183"/>
      <c r="B170" s="1060"/>
      <c r="C170" s="1060"/>
      <c r="D170" s="1060"/>
      <c r="E170" s="154"/>
      <c r="F170" s="1060"/>
      <c r="G170" s="140"/>
      <c r="H170" s="141"/>
      <c r="I170" s="184"/>
      <c r="J170" s="143"/>
      <c r="K170" s="184"/>
      <c r="L170" s="149">
        <v>44743</v>
      </c>
      <c r="M170" s="144"/>
      <c r="N170" s="1015"/>
      <c r="O170" s="115"/>
      <c r="P170" s="115"/>
      <c r="Q170" s="116"/>
      <c r="R170" s="116"/>
      <c r="S170" s="145"/>
    </row>
    <row r="171" spans="1:19" s="146" customFormat="1" ht="18" customHeight="1">
      <c r="A171" s="183"/>
      <c r="B171" s="1060"/>
      <c r="C171" s="1060"/>
      <c r="D171" s="1060"/>
      <c r="E171" s="154"/>
      <c r="F171" s="1060"/>
      <c r="G171" s="140"/>
      <c r="H171" s="141"/>
      <c r="I171" s="184"/>
      <c r="J171" s="143"/>
      <c r="K171" s="184"/>
      <c r="L171" s="143"/>
      <c r="M171" s="144"/>
      <c r="N171" s="1015"/>
      <c r="O171" s="115"/>
      <c r="P171" s="115"/>
      <c r="Q171" s="116"/>
      <c r="R171" s="116"/>
      <c r="S171" s="145"/>
    </row>
    <row r="172" spans="1:19" s="146" customFormat="1" ht="18" customHeight="1">
      <c r="A172" s="183"/>
      <c r="B172" s="1060"/>
      <c r="C172" s="1060"/>
      <c r="D172" s="1060"/>
      <c r="E172" s="154"/>
      <c r="F172" s="1060"/>
      <c r="G172" s="140"/>
      <c r="H172" s="141"/>
      <c r="I172" s="185"/>
      <c r="J172" s="143"/>
      <c r="K172" s="185"/>
      <c r="L172" s="143"/>
      <c r="M172" s="144"/>
      <c r="N172" s="1015"/>
      <c r="O172" s="115"/>
      <c r="P172" s="115"/>
      <c r="Q172" s="116"/>
      <c r="R172" s="116"/>
      <c r="S172" s="117"/>
    </row>
    <row r="173" spans="1:19" s="146" customFormat="1" ht="18" customHeight="1">
      <c r="A173" s="183">
        <v>4</v>
      </c>
      <c r="B173" s="1060"/>
      <c r="C173" s="1060"/>
      <c r="D173" s="1060"/>
      <c r="E173" s="154" t="s">
        <v>1705</v>
      </c>
      <c r="F173" s="1060"/>
      <c r="G173" s="140"/>
      <c r="H173" s="141" t="s">
        <v>436</v>
      </c>
      <c r="I173" s="184" t="s">
        <v>221</v>
      </c>
      <c r="J173" s="143">
        <v>899208</v>
      </c>
      <c r="K173" s="184" t="s">
        <v>221</v>
      </c>
      <c r="L173" s="143">
        <v>916500</v>
      </c>
      <c r="M173" s="144">
        <f>L173-J173</f>
        <v>17292</v>
      </c>
      <c r="N173" s="1015">
        <f>L173/12</f>
        <v>76375</v>
      </c>
      <c r="O173" s="115">
        <f>L173-J173</f>
        <v>17292</v>
      </c>
      <c r="P173" s="115">
        <f>O173-M173</f>
        <v>0</v>
      </c>
      <c r="Q173" s="116">
        <v>62304</v>
      </c>
      <c r="R173" s="116">
        <f>Q173*12</f>
        <v>747648</v>
      </c>
      <c r="S173" s="145">
        <f>R173-L173</f>
        <v>-168852</v>
      </c>
    </row>
    <row r="174" spans="1:19" s="146" customFormat="1" ht="18" customHeight="1">
      <c r="A174" s="183"/>
      <c r="B174" s="1060"/>
      <c r="C174" s="1060"/>
      <c r="D174" s="1060"/>
      <c r="E174" s="154"/>
      <c r="F174" s="1060"/>
      <c r="G174" s="140"/>
      <c r="H174" s="141"/>
      <c r="I174" s="184"/>
      <c r="J174" s="143"/>
      <c r="K174" s="184" t="s">
        <v>248</v>
      </c>
      <c r="L174" s="143">
        <v>931464</v>
      </c>
      <c r="M174" s="144">
        <v>7482</v>
      </c>
      <c r="N174" s="1015"/>
      <c r="O174" s="115"/>
      <c r="P174" s="115"/>
      <c r="Q174" s="116"/>
      <c r="R174" s="116"/>
      <c r="S174" s="145"/>
    </row>
    <row r="175" spans="1:19" s="146" customFormat="1" ht="18" customHeight="1">
      <c r="A175" s="183"/>
      <c r="B175" s="1060"/>
      <c r="C175" s="1060"/>
      <c r="D175" s="1060"/>
      <c r="E175" s="154"/>
      <c r="F175" s="1060"/>
      <c r="G175" s="140"/>
      <c r="H175" s="141"/>
      <c r="I175" s="184"/>
      <c r="J175" s="143"/>
      <c r="K175" s="184"/>
      <c r="L175" s="149">
        <v>44743</v>
      </c>
      <c r="M175" s="144"/>
      <c r="N175" s="1015"/>
      <c r="O175" s="115"/>
      <c r="P175" s="115"/>
      <c r="Q175" s="116"/>
      <c r="R175" s="116"/>
      <c r="S175" s="145"/>
    </row>
    <row r="176" spans="1:19" s="146" customFormat="1" ht="18" customHeight="1">
      <c r="A176" s="183"/>
      <c r="B176" s="1060"/>
      <c r="C176" s="1060"/>
      <c r="D176" s="1060"/>
      <c r="E176" s="154"/>
      <c r="F176" s="1060"/>
      <c r="G176" s="140"/>
      <c r="H176" s="141"/>
      <c r="I176" s="184"/>
      <c r="J176" s="143"/>
      <c r="K176" s="184"/>
      <c r="L176" s="143"/>
      <c r="M176" s="144"/>
      <c r="N176" s="1015"/>
      <c r="O176" s="115"/>
      <c r="P176" s="115"/>
      <c r="Q176" s="116"/>
      <c r="R176" s="116"/>
      <c r="S176" s="145"/>
    </row>
    <row r="177" spans="1:19" s="146" customFormat="1" ht="18" customHeight="1">
      <c r="A177" s="183"/>
      <c r="B177" s="1060"/>
      <c r="C177" s="1060"/>
      <c r="D177" s="1060"/>
      <c r="E177" s="154"/>
      <c r="F177" s="1060"/>
      <c r="G177" s="140"/>
      <c r="H177" s="141"/>
      <c r="I177" s="185"/>
      <c r="J177" s="143"/>
      <c r="K177" s="185"/>
      <c r="L177" s="143"/>
      <c r="M177" s="144"/>
      <c r="N177" s="1015"/>
      <c r="O177" s="115"/>
      <c r="P177" s="115"/>
      <c r="Q177" s="116"/>
      <c r="R177" s="116"/>
      <c r="S177" s="117"/>
    </row>
    <row r="178" spans="1:19" s="146" customFormat="1" ht="18" customHeight="1">
      <c r="A178" s="183">
        <v>5</v>
      </c>
      <c r="B178" s="1060"/>
      <c r="C178" s="1060"/>
      <c r="D178" s="1060"/>
      <c r="E178" s="154" t="s">
        <v>1705</v>
      </c>
      <c r="F178" s="1060"/>
      <c r="G178" s="140"/>
      <c r="H178" s="141" t="s">
        <v>1462</v>
      </c>
      <c r="I178" s="184" t="s">
        <v>67</v>
      </c>
      <c r="J178" s="143">
        <v>884772</v>
      </c>
      <c r="K178" s="184" t="s">
        <v>67</v>
      </c>
      <c r="L178" s="143">
        <v>901788</v>
      </c>
      <c r="M178" s="144">
        <f>L178-J178</f>
        <v>17016</v>
      </c>
      <c r="N178" s="1015">
        <f>L178/12</f>
        <v>75149</v>
      </c>
      <c r="O178" s="115">
        <f>L178-J178</f>
        <v>17016</v>
      </c>
      <c r="P178" s="115">
        <f>O178-M178</f>
        <v>0</v>
      </c>
      <c r="Q178" s="116">
        <v>63237</v>
      </c>
      <c r="R178" s="116">
        <f>Q178*12</f>
        <v>758844</v>
      </c>
      <c r="S178" s="145">
        <f>R178-L178</f>
        <v>-142944</v>
      </c>
    </row>
    <row r="179" spans="1:19" s="146" customFormat="1" ht="18" customHeight="1">
      <c r="A179" s="183"/>
      <c r="B179" s="1060"/>
      <c r="C179" s="1060"/>
      <c r="D179" s="1060"/>
      <c r="E179" s="154"/>
      <c r="F179" s="1060"/>
      <c r="G179" s="140"/>
      <c r="H179" s="141"/>
      <c r="I179" s="184"/>
      <c r="J179" s="143"/>
      <c r="K179" s="184" t="s">
        <v>221</v>
      </c>
      <c r="L179" s="143">
        <v>916500</v>
      </c>
      <c r="M179" s="144">
        <v>7356</v>
      </c>
      <c r="N179" s="1015"/>
      <c r="O179" s="115"/>
      <c r="P179" s="115"/>
      <c r="Q179" s="116"/>
      <c r="R179" s="116"/>
      <c r="S179" s="145"/>
    </row>
    <row r="180" spans="1:19" s="146" customFormat="1" ht="18" customHeight="1">
      <c r="A180" s="183"/>
      <c r="B180" s="1060"/>
      <c r="C180" s="1060"/>
      <c r="D180" s="1060"/>
      <c r="E180" s="154"/>
      <c r="F180" s="1060"/>
      <c r="G180" s="140"/>
      <c r="H180" s="141"/>
      <c r="I180" s="184"/>
      <c r="J180" s="143"/>
      <c r="K180" s="184"/>
      <c r="L180" s="149">
        <v>44743</v>
      </c>
      <c r="M180" s="144"/>
      <c r="N180" s="1015"/>
      <c r="O180" s="115"/>
      <c r="P180" s="115"/>
      <c r="Q180" s="116"/>
      <c r="R180" s="116"/>
      <c r="S180" s="145"/>
    </row>
    <row r="181" spans="1:19" s="146" customFormat="1" ht="18" customHeight="1">
      <c r="A181" s="183"/>
      <c r="B181" s="1060"/>
      <c r="C181" s="1060"/>
      <c r="D181" s="1060"/>
      <c r="E181" s="154"/>
      <c r="F181" s="1060"/>
      <c r="G181" s="140"/>
      <c r="H181" s="141"/>
      <c r="I181" s="184"/>
      <c r="J181" s="143"/>
      <c r="K181" s="184"/>
      <c r="L181" s="143"/>
      <c r="M181" s="144"/>
      <c r="N181" s="1015"/>
      <c r="O181" s="115"/>
      <c r="P181" s="115"/>
      <c r="Q181" s="116"/>
      <c r="R181" s="116"/>
      <c r="S181" s="145"/>
    </row>
    <row r="182" spans="1:19" s="146" customFormat="1" ht="18" customHeight="1">
      <c r="A182" s="183"/>
      <c r="B182" s="1060"/>
      <c r="C182" s="1060"/>
      <c r="D182" s="1060"/>
      <c r="E182" s="154"/>
      <c r="F182" s="1060"/>
      <c r="G182" s="140"/>
      <c r="H182" s="141"/>
      <c r="I182" s="185"/>
      <c r="J182" s="143"/>
      <c r="K182" s="185"/>
      <c r="L182" s="143"/>
      <c r="M182" s="144"/>
      <c r="N182" s="1015"/>
      <c r="O182" s="115"/>
      <c r="P182" s="115"/>
      <c r="Q182" s="116"/>
      <c r="R182" s="116"/>
      <c r="S182" s="117"/>
    </row>
    <row r="183" spans="1:19" s="146" customFormat="1" ht="18" customHeight="1">
      <c r="A183" s="183">
        <v>6</v>
      </c>
      <c r="B183" s="1060"/>
      <c r="C183" s="1060"/>
      <c r="D183" s="1060"/>
      <c r="E183" s="154" t="s">
        <v>1705</v>
      </c>
      <c r="F183" s="1060"/>
      <c r="G183" s="140"/>
      <c r="H183" s="141" t="s">
        <v>25</v>
      </c>
      <c r="I183" s="184" t="s">
        <v>67</v>
      </c>
      <c r="J183" s="143">
        <v>884772</v>
      </c>
      <c r="K183" s="184" t="s">
        <v>67</v>
      </c>
      <c r="L183" s="143">
        <v>901788</v>
      </c>
      <c r="M183" s="144">
        <f>L183-J183</f>
        <v>17016</v>
      </c>
      <c r="N183" s="1015">
        <f>L183/12</f>
        <v>75149</v>
      </c>
      <c r="O183" s="115">
        <f>L183-J183</f>
        <v>17016</v>
      </c>
      <c r="P183" s="115">
        <f>O183-M183</f>
        <v>0</v>
      </c>
      <c r="Q183" s="116">
        <v>63237</v>
      </c>
      <c r="R183" s="116">
        <f>Q183*12</f>
        <v>758844</v>
      </c>
      <c r="S183" s="145">
        <f>R183-L183</f>
        <v>-142944</v>
      </c>
    </row>
    <row r="184" spans="1:19" s="146" customFormat="1" ht="18" customHeight="1">
      <c r="A184" s="183"/>
      <c r="B184" s="1060"/>
      <c r="C184" s="1060"/>
      <c r="D184" s="1060"/>
      <c r="E184" s="154"/>
      <c r="F184" s="1060"/>
      <c r="G184" s="140"/>
      <c r="H184" s="141"/>
      <c r="I184" s="184"/>
      <c r="J184" s="143"/>
      <c r="K184" s="184" t="s">
        <v>221</v>
      </c>
      <c r="L184" s="143">
        <v>916500</v>
      </c>
      <c r="M184" s="144">
        <v>7356</v>
      </c>
      <c r="N184" s="1015"/>
      <c r="O184" s="115"/>
      <c r="P184" s="115"/>
      <c r="Q184" s="116"/>
      <c r="R184" s="116"/>
      <c r="S184" s="145"/>
    </row>
    <row r="185" spans="1:19" s="146" customFormat="1" ht="18" customHeight="1">
      <c r="A185" s="183"/>
      <c r="B185" s="1060"/>
      <c r="C185" s="1060"/>
      <c r="D185" s="1060"/>
      <c r="E185" s="154"/>
      <c r="F185" s="1060"/>
      <c r="G185" s="140"/>
      <c r="H185" s="141"/>
      <c r="I185" s="184"/>
      <c r="J185" s="143"/>
      <c r="K185" s="184"/>
      <c r="L185" s="149">
        <v>44743</v>
      </c>
      <c r="M185" s="144"/>
      <c r="N185" s="1015"/>
      <c r="O185" s="115"/>
      <c r="P185" s="115"/>
      <c r="Q185" s="116"/>
      <c r="R185" s="116"/>
      <c r="S185" s="145"/>
    </row>
    <row r="186" spans="1:19" s="146" customFormat="1" ht="18" customHeight="1">
      <c r="A186" s="183"/>
      <c r="B186" s="1060"/>
      <c r="C186" s="1060"/>
      <c r="D186" s="1060"/>
      <c r="E186" s="154"/>
      <c r="F186" s="1060"/>
      <c r="G186" s="140"/>
      <c r="H186" s="141"/>
      <c r="I186" s="184"/>
      <c r="J186" s="143"/>
      <c r="K186" s="184"/>
      <c r="L186" s="143"/>
      <c r="M186" s="144"/>
      <c r="N186" s="1015"/>
      <c r="O186" s="115"/>
      <c r="P186" s="115"/>
      <c r="Q186" s="116"/>
      <c r="R186" s="116"/>
      <c r="S186" s="145"/>
    </row>
    <row r="187" spans="1:19" s="146" customFormat="1" ht="18" customHeight="1">
      <c r="A187" s="183"/>
      <c r="B187" s="1060"/>
      <c r="C187" s="1060"/>
      <c r="D187" s="1060"/>
      <c r="E187" s="154"/>
      <c r="F187" s="1060"/>
      <c r="G187" s="140"/>
      <c r="H187" s="141"/>
      <c r="I187" s="185"/>
      <c r="J187" s="143"/>
      <c r="K187" s="185"/>
      <c r="L187" s="143"/>
      <c r="M187" s="144"/>
      <c r="N187" s="1015"/>
      <c r="O187" s="115"/>
      <c r="P187" s="115"/>
      <c r="Q187" s="116"/>
      <c r="R187" s="116"/>
      <c r="S187" s="117"/>
    </row>
    <row r="188" spans="1:19" s="146" customFormat="1" ht="18" customHeight="1">
      <c r="A188" s="183">
        <v>7</v>
      </c>
      <c r="B188" s="1060"/>
      <c r="C188" s="1060"/>
      <c r="D188" s="1060"/>
      <c r="E188" s="154" t="s">
        <v>1705</v>
      </c>
      <c r="F188" s="1060"/>
      <c r="G188" s="140"/>
      <c r="H188" s="141" t="s">
        <v>383</v>
      </c>
      <c r="I188" s="184" t="s">
        <v>248</v>
      </c>
      <c r="J188" s="143">
        <v>913884</v>
      </c>
      <c r="K188" s="184" t="s">
        <v>248</v>
      </c>
      <c r="L188" s="143">
        <v>931464</v>
      </c>
      <c r="M188" s="144">
        <f>L188-J188</f>
        <v>17580</v>
      </c>
      <c r="N188" s="1015">
        <f>L188/12</f>
        <v>77622</v>
      </c>
      <c r="O188" s="115">
        <f>L188-J188</f>
        <v>17580</v>
      </c>
      <c r="P188" s="115">
        <f>O188-M188</f>
        <v>0</v>
      </c>
      <c r="Q188" s="116">
        <v>64185</v>
      </c>
      <c r="R188" s="116">
        <f>Q188*12</f>
        <v>770220</v>
      </c>
      <c r="S188" s="145">
        <f>R188-L188</f>
        <v>-161244</v>
      </c>
    </row>
    <row r="189" spans="1:19" s="146" customFormat="1" ht="18" customHeight="1">
      <c r="A189" s="183"/>
      <c r="B189" s="1060"/>
      <c r="C189" s="1060"/>
      <c r="D189" s="1060"/>
      <c r="E189" s="154"/>
      <c r="F189" s="1060"/>
      <c r="G189" s="140"/>
      <c r="H189" s="141"/>
      <c r="I189" s="184"/>
      <c r="J189" s="143"/>
      <c r="K189" s="184"/>
      <c r="L189" s="143"/>
      <c r="M189" s="144"/>
      <c r="N189" s="1015"/>
      <c r="O189" s="115"/>
      <c r="P189" s="115"/>
      <c r="Q189" s="116"/>
      <c r="R189" s="116"/>
      <c r="S189" s="145"/>
    </row>
    <row r="190" spans="1:19" s="146" customFormat="1" ht="18" customHeight="1">
      <c r="A190" s="183"/>
      <c r="B190" s="1060"/>
      <c r="C190" s="1060"/>
      <c r="D190" s="1060"/>
      <c r="E190" s="154"/>
      <c r="F190" s="1060"/>
      <c r="G190" s="140"/>
      <c r="H190" s="141"/>
      <c r="I190" s="185"/>
      <c r="J190" s="143"/>
      <c r="K190" s="185"/>
      <c r="L190" s="143"/>
      <c r="M190" s="144"/>
      <c r="N190" s="1015"/>
      <c r="O190" s="115"/>
      <c r="P190" s="115"/>
      <c r="Q190" s="116"/>
      <c r="R190" s="116"/>
      <c r="S190" s="117"/>
    </row>
    <row r="191" spans="1:19" s="146" customFormat="1" ht="18" customHeight="1">
      <c r="A191" s="183">
        <v>8</v>
      </c>
      <c r="B191" s="1060"/>
      <c r="C191" s="1060"/>
      <c r="D191" s="1060"/>
      <c r="E191" s="154" t="s">
        <v>1705</v>
      </c>
      <c r="F191" s="1060"/>
      <c r="G191" s="140"/>
      <c r="H191" s="141" t="s">
        <v>438</v>
      </c>
      <c r="I191" s="184" t="s">
        <v>221</v>
      </c>
      <c r="J191" s="143">
        <v>899208</v>
      </c>
      <c r="K191" s="184" t="s">
        <v>221</v>
      </c>
      <c r="L191" s="143">
        <v>916500</v>
      </c>
      <c r="M191" s="144">
        <f>L191-J191</f>
        <v>17292</v>
      </c>
      <c r="N191" s="1015">
        <f>L191/12</f>
        <v>76375</v>
      </c>
      <c r="O191" s="115">
        <f>L191-J191</f>
        <v>17292</v>
      </c>
      <c r="P191" s="115">
        <f>O191-M191</f>
        <v>0</v>
      </c>
      <c r="Q191" s="116">
        <v>62304</v>
      </c>
      <c r="R191" s="116">
        <f>Q191*12</f>
        <v>747648</v>
      </c>
      <c r="S191" s="145">
        <f>R191-L191</f>
        <v>-168852</v>
      </c>
    </row>
    <row r="192" spans="1:19" s="146" customFormat="1" ht="18" customHeight="1">
      <c r="A192" s="183"/>
      <c r="B192" s="1060"/>
      <c r="C192" s="1060"/>
      <c r="D192" s="1060"/>
      <c r="E192" s="154"/>
      <c r="F192" s="1060"/>
      <c r="G192" s="140"/>
      <c r="H192" s="141"/>
      <c r="I192" s="184"/>
      <c r="J192" s="143"/>
      <c r="K192" s="184" t="s">
        <v>248</v>
      </c>
      <c r="L192" s="143">
        <v>931464</v>
      </c>
      <c r="M192" s="144">
        <v>7482</v>
      </c>
      <c r="N192" s="1015"/>
      <c r="O192" s="115"/>
      <c r="P192" s="115"/>
      <c r="Q192" s="116"/>
      <c r="R192" s="116"/>
      <c r="S192" s="145"/>
    </row>
    <row r="193" spans="1:19" s="146" customFormat="1" ht="18" customHeight="1">
      <c r="A193" s="183"/>
      <c r="B193" s="1060"/>
      <c r="C193" s="1060"/>
      <c r="D193" s="1060"/>
      <c r="E193" s="154"/>
      <c r="F193" s="1060"/>
      <c r="G193" s="140"/>
      <c r="H193" s="141"/>
      <c r="I193" s="184"/>
      <c r="J193" s="143"/>
      <c r="K193" s="184"/>
      <c r="L193" s="149">
        <v>44743</v>
      </c>
      <c r="M193" s="144"/>
      <c r="N193" s="1015"/>
      <c r="O193" s="115"/>
      <c r="P193" s="115"/>
      <c r="Q193" s="116"/>
      <c r="R193" s="116"/>
      <c r="S193" s="145"/>
    </row>
    <row r="194" spans="1:19" s="146" customFormat="1" ht="18" customHeight="1">
      <c r="A194" s="183"/>
      <c r="B194" s="1060"/>
      <c r="C194" s="1060"/>
      <c r="D194" s="1060"/>
      <c r="E194" s="154"/>
      <c r="F194" s="1060"/>
      <c r="G194" s="140"/>
      <c r="H194" s="141"/>
      <c r="I194" s="184"/>
      <c r="J194" s="143"/>
      <c r="K194" s="184"/>
      <c r="L194" s="143"/>
      <c r="M194" s="144"/>
      <c r="N194" s="1015"/>
      <c r="O194" s="115"/>
      <c r="P194" s="115"/>
      <c r="Q194" s="116"/>
      <c r="R194" s="116"/>
      <c r="S194" s="145"/>
    </row>
    <row r="195" spans="1:19" s="146" customFormat="1" ht="18" customHeight="1">
      <c r="A195" s="183"/>
      <c r="B195" s="1060"/>
      <c r="C195" s="1060"/>
      <c r="D195" s="1060"/>
      <c r="E195" s="154"/>
      <c r="F195" s="1060"/>
      <c r="G195" s="140"/>
      <c r="H195" s="141"/>
      <c r="I195" s="185"/>
      <c r="J195" s="143"/>
      <c r="K195" s="185"/>
      <c r="L195" s="143"/>
      <c r="M195" s="144"/>
      <c r="N195" s="1015"/>
      <c r="O195" s="115"/>
      <c r="P195" s="115"/>
      <c r="Q195" s="116"/>
      <c r="R195" s="116"/>
      <c r="S195" s="117"/>
    </row>
    <row r="196" spans="1:19" s="146" customFormat="1" ht="18" customHeight="1">
      <c r="A196" s="183">
        <v>9</v>
      </c>
      <c r="B196" s="1060"/>
      <c r="C196" s="1060"/>
      <c r="D196" s="1060"/>
      <c r="E196" s="154" t="s">
        <v>1705</v>
      </c>
      <c r="F196" s="1060"/>
      <c r="G196" s="140"/>
      <c r="H196" s="141" t="s">
        <v>1449</v>
      </c>
      <c r="I196" s="184" t="s">
        <v>67</v>
      </c>
      <c r="J196" s="143">
        <v>884772</v>
      </c>
      <c r="K196" s="184" t="s">
        <v>67</v>
      </c>
      <c r="L196" s="143">
        <v>901788</v>
      </c>
      <c r="M196" s="144">
        <f>L196-J196</f>
        <v>17016</v>
      </c>
      <c r="N196" s="1015">
        <f>L196/12</f>
        <v>75149</v>
      </c>
      <c r="O196" s="115">
        <f>L196-J196</f>
        <v>17016</v>
      </c>
      <c r="P196" s="115">
        <f>O196-M196</f>
        <v>0</v>
      </c>
      <c r="Q196" s="116">
        <v>63237</v>
      </c>
      <c r="R196" s="116">
        <f>Q196*12</f>
        <v>758844</v>
      </c>
      <c r="S196" s="145">
        <f>R196-L196</f>
        <v>-142944</v>
      </c>
    </row>
    <row r="197" spans="1:19" s="146" customFormat="1" ht="18" customHeight="1">
      <c r="A197" s="183"/>
      <c r="B197" s="1060"/>
      <c r="C197" s="1060"/>
      <c r="D197" s="1060"/>
      <c r="E197" s="154"/>
      <c r="F197" s="1060"/>
      <c r="G197" s="140"/>
      <c r="H197" s="141"/>
      <c r="I197" s="184"/>
      <c r="J197" s="143"/>
      <c r="K197" s="184" t="s">
        <v>221</v>
      </c>
      <c r="L197" s="143">
        <v>916500</v>
      </c>
      <c r="M197" s="144">
        <v>7356</v>
      </c>
      <c r="N197" s="1015"/>
      <c r="O197" s="115"/>
      <c r="P197" s="115"/>
      <c r="Q197" s="116"/>
      <c r="R197" s="116"/>
      <c r="S197" s="145"/>
    </row>
    <row r="198" spans="1:19" s="146" customFormat="1" ht="18" customHeight="1">
      <c r="A198" s="183"/>
      <c r="B198" s="1060"/>
      <c r="C198" s="1060"/>
      <c r="D198" s="1060"/>
      <c r="E198" s="154"/>
      <c r="F198" s="1060"/>
      <c r="G198" s="140"/>
      <c r="H198" s="141"/>
      <c r="I198" s="184"/>
      <c r="J198" s="143"/>
      <c r="K198" s="184"/>
      <c r="L198" s="149">
        <v>44743</v>
      </c>
      <c r="M198" s="144"/>
      <c r="N198" s="1015"/>
      <c r="O198" s="115"/>
      <c r="P198" s="115"/>
      <c r="Q198" s="116"/>
      <c r="R198" s="116"/>
      <c r="S198" s="145"/>
    </row>
    <row r="199" spans="1:19" s="146" customFormat="1" ht="18" customHeight="1">
      <c r="A199" s="183"/>
      <c r="B199" s="1060"/>
      <c r="C199" s="1060"/>
      <c r="D199" s="1060"/>
      <c r="E199" s="154"/>
      <c r="F199" s="1060"/>
      <c r="G199" s="140"/>
      <c r="H199" s="141"/>
      <c r="I199" s="184"/>
      <c r="J199" s="143"/>
      <c r="K199" s="184"/>
      <c r="L199" s="143"/>
      <c r="M199" s="144"/>
      <c r="N199" s="1015"/>
      <c r="O199" s="115"/>
      <c r="P199" s="115"/>
      <c r="Q199" s="116"/>
      <c r="R199" s="116"/>
      <c r="S199" s="145"/>
    </row>
    <row r="200" spans="1:19" s="146" customFormat="1" ht="18" customHeight="1">
      <c r="A200" s="183"/>
      <c r="B200" s="1060"/>
      <c r="C200" s="1060"/>
      <c r="D200" s="1060"/>
      <c r="E200" s="154"/>
      <c r="F200" s="1060"/>
      <c r="G200" s="140"/>
      <c r="H200" s="141"/>
      <c r="I200" s="185"/>
      <c r="J200" s="143"/>
      <c r="K200" s="185"/>
      <c r="L200" s="143"/>
      <c r="M200" s="144"/>
      <c r="N200" s="1015"/>
      <c r="O200" s="115"/>
      <c r="P200" s="115"/>
      <c r="Q200" s="116"/>
      <c r="R200" s="116"/>
      <c r="S200" s="117"/>
    </row>
    <row r="201" spans="1:19" s="146" customFormat="1" ht="18" customHeight="1">
      <c r="A201" s="183">
        <v>10</v>
      </c>
      <c r="B201" s="1060"/>
      <c r="C201" s="1060"/>
      <c r="D201" s="1060"/>
      <c r="E201" s="154" t="s">
        <v>1706</v>
      </c>
      <c r="F201" s="1060"/>
      <c r="G201" s="140"/>
      <c r="H201" s="141" t="s">
        <v>997</v>
      </c>
      <c r="I201" s="184" t="s">
        <v>67</v>
      </c>
      <c r="J201" s="143">
        <v>884772</v>
      </c>
      <c r="K201" s="184" t="s">
        <v>67</v>
      </c>
      <c r="L201" s="143">
        <v>901788</v>
      </c>
      <c r="M201" s="144">
        <f>L201-J201</f>
        <v>17016</v>
      </c>
      <c r="N201" s="1015">
        <f>L201/12</f>
        <v>75149</v>
      </c>
      <c r="O201" s="115">
        <f>L201-J201</f>
        <v>17016</v>
      </c>
      <c r="P201" s="115">
        <f>O201-M201</f>
        <v>0</v>
      </c>
      <c r="Q201" s="116">
        <v>62304</v>
      </c>
      <c r="R201" s="116">
        <f>Q201*12</f>
        <v>747648</v>
      </c>
      <c r="S201" s="145">
        <f>R201-L201</f>
        <v>-154140</v>
      </c>
    </row>
    <row r="202" spans="1:19" s="146" customFormat="1" ht="18" customHeight="1">
      <c r="A202" s="183"/>
      <c r="B202" s="1060"/>
      <c r="C202" s="1060"/>
      <c r="D202" s="1060"/>
      <c r="E202" s="154" t="s">
        <v>68</v>
      </c>
      <c r="F202" s="1060"/>
      <c r="G202" s="140"/>
      <c r="H202" s="141"/>
      <c r="I202" s="185"/>
      <c r="J202" s="143"/>
      <c r="K202" s="184" t="s">
        <v>221</v>
      </c>
      <c r="L202" s="143">
        <v>916500</v>
      </c>
      <c r="M202" s="144">
        <v>7356</v>
      </c>
      <c r="N202" s="1015"/>
      <c r="O202" s="115"/>
      <c r="P202" s="115"/>
      <c r="Q202" s="116"/>
      <c r="R202" s="116"/>
      <c r="S202" s="117"/>
    </row>
    <row r="203" spans="1:19" s="146" customFormat="1" ht="18" customHeight="1">
      <c r="A203" s="183"/>
      <c r="B203" s="1060"/>
      <c r="C203" s="1060"/>
      <c r="D203" s="1060"/>
      <c r="E203" s="154"/>
      <c r="F203" s="1060"/>
      <c r="G203" s="140"/>
      <c r="H203" s="141"/>
      <c r="I203" s="185"/>
      <c r="J203" s="143"/>
      <c r="K203" s="185"/>
      <c r="L203" s="149">
        <v>44743</v>
      </c>
      <c r="M203" s="144"/>
      <c r="N203" s="1015"/>
      <c r="O203" s="115"/>
      <c r="P203" s="115"/>
      <c r="Q203" s="116"/>
      <c r="R203" s="116"/>
      <c r="S203" s="117"/>
    </row>
    <row r="204" spans="1:19" s="146" customFormat="1" ht="18" customHeight="1">
      <c r="A204" s="183"/>
      <c r="B204" s="1060"/>
      <c r="C204" s="1060"/>
      <c r="D204" s="1060"/>
      <c r="E204" s="154"/>
      <c r="F204" s="1060"/>
      <c r="G204" s="140"/>
      <c r="H204" s="141"/>
      <c r="I204" s="185"/>
      <c r="J204" s="143"/>
      <c r="K204" s="185"/>
      <c r="L204" s="143"/>
      <c r="M204" s="144"/>
      <c r="N204" s="1015"/>
      <c r="O204" s="115"/>
      <c r="P204" s="115"/>
      <c r="Q204" s="116"/>
      <c r="R204" s="116"/>
      <c r="S204" s="117"/>
    </row>
    <row r="205" spans="1:19" s="146" customFormat="1" ht="18" customHeight="1">
      <c r="A205" s="183"/>
      <c r="B205" s="1060"/>
      <c r="C205" s="1060"/>
      <c r="D205" s="1060"/>
      <c r="E205" s="154"/>
      <c r="F205" s="1060"/>
      <c r="G205" s="140"/>
      <c r="H205" s="141"/>
      <c r="I205" s="185"/>
      <c r="J205" s="143"/>
      <c r="K205" s="185"/>
      <c r="L205" s="143"/>
      <c r="M205" s="144"/>
      <c r="N205" s="1015"/>
      <c r="O205" s="115"/>
      <c r="P205" s="115"/>
      <c r="Q205" s="116"/>
      <c r="R205" s="116"/>
      <c r="S205" s="117"/>
    </row>
    <row r="206" spans="1:19" s="146" customFormat="1" ht="18" customHeight="1">
      <c r="A206" s="183">
        <v>11</v>
      </c>
      <c r="B206" s="1060"/>
      <c r="C206" s="1060"/>
      <c r="D206" s="1060"/>
      <c r="E206" s="154" t="s">
        <v>1706</v>
      </c>
      <c r="F206" s="1060"/>
      <c r="G206" s="140"/>
      <c r="H206" s="141" t="s">
        <v>964</v>
      </c>
      <c r="I206" s="184" t="s">
        <v>67</v>
      </c>
      <c r="J206" s="143">
        <v>884772</v>
      </c>
      <c r="K206" s="184" t="s">
        <v>67</v>
      </c>
      <c r="L206" s="143">
        <v>901788</v>
      </c>
      <c r="M206" s="144">
        <f>L206-J206</f>
        <v>17016</v>
      </c>
      <c r="N206" s="1015">
        <f>L206/12</f>
        <v>75149</v>
      </c>
      <c r="O206" s="115">
        <f>L206-J206</f>
        <v>17016</v>
      </c>
      <c r="P206" s="115">
        <f>O206-M206</f>
        <v>0</v>
      </c>
      <c r="Q206" s="116">
        <v>62304</v>
      </c>
      <c r="R206" s="116">
        <f>Q206*12</f>
        <v>747648</v>
      </c>
      <c r="S206" s="145">
        <f>R206-L206</f>
        <v>-154140</v>
      </c>
    </row>
    <row r="207" spans="1:19" s="146" customFormat="1" ht="18" customHeight="1">
      <c r="A207" s="183"/>
      <c r="B207" s="1060"/>
      <c r="C207" s="1060"/>
      <c r="D207" s="1060"/>
      <c r="E207" s="154" t="s">
        <v>69</v>
      </c>
      <c r="F207" s="1060"/>
      <c r="G207" s="140"/>
      <c r="H207" s="141"/>
      <c r="I207" s="184"/>
      <c r="J207" s="143"/>
      <c r="K207" s="184" t="s">
        <v>221</v>
      </c>
      <c r="L207" s="143">
        <v>916500</v>
      </c>
      <c r="M207" s="144">
        <v>7356</v>
      </c>
      <c r="N207" s="1015"/>
      <c r="O207" s="115"/>
      <c r="P207" s="115"/>
      <c r="Q207" s="116"/>
      <c r="R207" s="116"/>
      <c r="S207" s="145"/>
    </row>
    <row r="208" spans="1:19" s="146" customFormat="1" ht="18" customHeight="1">
      <c r="A208" s="183"/>
      <c r="B208" s="1071"/>
      <c r="C208" s="1071"/>
      <c r="D208" s="1071"/>
      <c r="E208" s="154"/>
      <c r="F208" s="1071"/>
      <c r="G208" s="140"/>
      <c r="H208" s="141"/>
      <c r="I208" s="184"/>
      <c r="J208" s="143"/>
      <c r="K208" s="184"/>
      <c r="L208" s="143"/>
      <c r="M208" s="144"/>
      <c r="N208" s="1015"/>
      <c r="O208" s="115"/>
      <c r="P208" s="115"/>
      <c r="Q208" s="116"/>
      <c r="R208" s="116"/>
      <c r="S208" s="145"/>
    </row>
    <row r="209" spans="1:19" s="146" customFormat="1" ht="18" customHeight="1">
      <c r="A209" s="183"/>
      <c r="B209" s="1060"/>
      <c r="C209" s="1060"/>
      <c r="D209" s="1060"/>
      <c r="E209" s="154"/>
      <c r="F209" s="1060"/>
      <c r="G209" s="140"/>
      <c r="H209" s="141"/>
      <c r="I209" s="185"/>
      <c r="J209" s="143"/>
      <c r="K209" s="185"/>
      <c r="L209" s="143"/>
      <c r="M209" s="144"/>
      <c r="N209" s="1015"/>
      <c r="O209" s="115"/>
      <c r="P209" s="115"/>
      <c r="Q209" s="116"/>
      <c r="R209" s="116"/>
      <c r="S209" s="117"/>
    </row>
    <row r="210" spans="1:19" s="146" customFormat="1" ht="18" customHeight="1" thickBot="1">
      <c r="A210" s="161"/>
      <c r="B210" s="158"/>
      <c r="C210" s="158"/>
      <c r="D210" s="158"/>
      <c r="E210" s="186"/>
      <c r="F210" s="158"/>
      <c r="G210" s="160"/>
      <c r="H210" s="161" t="s">
        <v>944</v>
      </c>
      <c r="I210" s="187"/>
      <c r="J210" s="163">
        <f>SUM(J157:J209)</f>
        <v>9928776</v>
      </c>
      <c r="K210" s="187"/>
      <c r="L210" s="163"/>
      <c r="M210" s="164">
        <f>SUM(M158:M209)</f>
        <v>265926</v>
      </c>
      <c r="N210" s="171"/>
      <c r="O210" s="115"/>
      <c r="P210" s="115"/>
      <c r="Q210" s="116"/>
      <c r="R210" s="116"/>
      <c r="S210" s="117"/>
    </row>
    <row r="211" spans="1:19" s="193" customFormat="1" ht="18" customHeight="1" thickTop="1">
      <c r="A211" s="188"/>
      <c r="B211" s="188"/>
      <c r="C211" s="188"/>
      <c r="D211" s="188"/>
      <c r="E211" s="188"/>
      <c r="F211" s="188"/>
      <c r="G211" s="189"/>
      <c r="H211" s="188"/>
      <c r="I211" s="188"/>
      <c r="J211" s="169"/>
      <c r="K211" s="190"/>
      <c r="L211" s="169"/>
      <c r="M211" s="171"/>
      <c r="N211" s="171"/>
      <c r="O211" s="191"/>
      <c r="P211" s="191"/>
      <c r="Q211" s="109"/>
      <c r="R211" s="109"/>
      <c r="S211" s="192"/>
    </row>
    <row r="212" spans="1:19" s="193" customFormat="1" ht="18" customHeight="1">
      <c r="A212" s="188"/>
      <c r="B212" s="188"/>
      <c r="C212" s="188"/>
      <c r="D212" s="188"/>
      <c r="E212" s="188"/>
      <c r="F212" s="188"/>
      <c r="G212" s="189"/>
      <c r="H212" s="188"/>
      <c r="I212" s="188"/>
      <c r="J212" s="169"/>
      <c r="K212" s="190"/>
      <c r="L212" s="169"/>
      <c r="M212" s="171"/>
      <c r="N212" s="171"/>
      <c r="O212" s="191"/>
      <c r="P212" s="191"/>
      <c r="Q212" s="109"/>
      <c r="R212" s="109"/>
      <c r="S212" s="192"/>
    </row>
    <row r="213" spans="1:19" s="193" customFormat="1" ht="18" customHeight="1">
      <c r="A213" s="188"/>
      <c r="B213" s="188"/>
      <c r="C213" s="188"/>
      <c r="D213" s="188"/>
      <c r="E213" s="188"/>
      <c r="F213" s="188"/>
      <c r="G213" s="189"/>
      <c r="H213" s="188"/>
      <c r="I213" s="188"/>
      <c r="J213" s="169"/>
      <c r="K213" s="190"/>
      <c r="L213" s="169"/>
      <c r="M213" s="171"/>
      <c r="N213" s="171"/>
      <c r="O213" s="191"/>
      <c r="P213" s="191"/>
      <c r="Q213" s="109"/>
      <c r="R213" s="109"/>
      <c r="S213" s="192"/>
    </row>
    <row r="214" spans="1:19" s="193" customFormat="1" ht="18" customHeight="1">
      <c r="A214" s="188"/>
      <c r="B214" s="188"/>
      <c r="C214" s="188"/>
      <c r="D214" s="188"/>
      <c r="E214" s="188"/>
      <c r="F214" s="188"/>
      <c r="G214" s="189"/>
      <c r="H214" s="188"/>
      <c r="I214" s="188"/>
      <c r="J214" s="169"/>
      <c r="K214" s="190"/>
      <c r="L214" s="169"/>
      <c r="M214" s="171"/>
      <c r="N214" s="171"/>
      <c r="O214" s="191"/>
      <c r="P214" s="191"/>
      <c r="Q214" s="109"/>
      <c r="R214" s="109"/>
      <c r="S214" s="192"/>
    </row>
    <row r="215" spans="1:19" s="193" customFormat="1" ht="18" customHeight="1">
      <c r="A215" s="188"/>
      <c r="B215" s="188"/>
      <c r="C215" s="188"/>
      <c r="D215" s="188"/>
      <c r="E215" s="188"/>
      <c r="F215" s="188"/>
      <c r="G215" s="189"/>
      <c r="H215" s="188"/>
      <c r="I215" s="188"/>
      <c r="J215" s="169"/>
      <c r="K215" s="190"/>
      <c r="L215" s="169"/>
      <c r="M215" s="171"/>
      <c r="N215" s="171"/>
      <c r="O215" s="191"/>
      <c r="P215" s="191"/>
      <c r="Q215" s="109"/>
      <c r="R215" s="109"/>
      <c r="S215" s="192"/>
    </row>
    <row r="216" spans="1:19" s="193" customFormat="1" ht="18" customHeight="1">
      <c r="A216" s="188"/>
      <c r="B216" s="188"/>
      <c r="C216" s="188"/>
      <c r="D216" s="188"/>
      <c r="E216" s="188"/>
      <c r="F216" s="188"/>
      <c r="G216" s="189"/>
      <c r="H216" s="188"/>
      <c r="I216" s="188"/>
      <c r="J216" s="169"/>
      <c r="K216" s="190"/>
      <c r="L216" s="169"/>
      <c r="M216" s="171"/>
      <c r="N216" s="171"/>
      <c r="O216" s="191"/>
      <c r="P216" s="191"/>
      <c r="Q216" s="109"/>
      <c r="R216" s="109"/>
      <c r="S216" s="192"/>
    </row>
    <row r="217" spans="1:19" s="193" customFormat="1" ht="18" customHeight="1">
      <c r="A217" s="188"/>
      <c r="B217" s="188"/>
      <c r="C217" s="188"/>
      <c r="D217" s="188"/>
      <c r="E217" s="188"/>
      <c r="F217" s="188"/>
      <c r="G217" s="189"/>
      <c r="H217" s="188"/>
      <c r="I217" s="188"/>
      <c r="J217" s="169"/>
      <c r="K217" s="190"/>
      <c r="L217" s="169"/>
      <c r="M217" s="171"/>
      <c r="N217" s="171"/>
      <c r="O217" s="191"/>
      <c r="P217" s="191"/>
      <c r="Q217" s="109"/>
      <c r="R217" s="109"/>
      <c r="S217" s="192"/>
    </row>
    <row r="218" spans="1:19" s="193" customFormat="1" ht="18" customHeight="1">
      <c r="A218" s="188"/>
      <c r="B218" s="188"/>
      <c r="C218" s="188"/>
      <c r="D218" s="188"/>
      <c r="E218" s="188"/>
      <c r="F218" s="188"/>
      <c r="G218" s="189"/>
      <c r="H218" s="188"/>
      <c r="I218" s="188"/>
      <c r="J218" s="169"/>
      <c r="K218" s="190"/>
      <c r="L218" s="169"/>
      <c r="M218" s="171"/>
      <c r="N218" s="171"/>
      <c r="O218" s="191"/>
      <c r="P218" s="191"/>
      <c r="Q218" s="109"/>
      <c r="R218" s="109"/>
      <c r="S218" s="192"/>
    </row>
    <row r="219" spans="1:19" s="193" customFormat="1" ht="18" customHeight="1">
      <c r="A219" s="188"/>
      <c r="B219" s="188"/>
      <c r="C219" s="188"/>
      <c r="D219" s="188"/>
      <c r="E219" s="188"/>
      <c r="F219" s="188"/>
      <c r="G219" s="189"/>
      <c r="H219" s="188"/>
      <c r="I219" s="188"/>
      <c r="J219" s="169"/>
      <c r="K219" s="190"/>
      <c r="L219" s="169"/>
      <c r="M219" s="171"/>
      <c r="N219" s="171"/>
      <c r="O219" s="191"/>
      <c r="P219" s="191"/>
      <c r="Q219" s="109"/>
      <c r="R219" s="109"/>
      <c r="S219" s="192"/>
    </row>
    <row r="220" spans="1:19" s="193" customFormat="1" ht="18" customHeight="1">
      <c r="A220" s="188"/>
      <c r="B220" s="188"/>
      <c r="C220" s="188"/>
      <c r="D220" s="188"/>
      <c r="E220" s="188"/>
      <c r="F220" s="188"/>
      <c r="G220" s="189"/>
      <c r="H220" s="188"/>
      <c r="I220" s="188"/>
      <c r="J220" s="169"/>
      <c r="K220" s="190"/>
      <c r="L220" s="169"/>
      <c r="M220" s="171"/>
      <c r="N220" s="171"/>
      <c r="O220" s="191"/>
      <c r="P220" s="191"/>
      <c r="Q220" s="109"/>
      <c r="R220" s="109"/>
      <c r="S220" s="192"/>
    </row>
    <row r="221" spans="1:19" s="193" customFormat="1" ht="18" customHeight="1">
      <c r="A221" s="188"/>
      <c r="B221" s="188"/>
      <c r="C221" s="188"/>
      <c r="D221" s="188"/>
      <c r="E221" s="188"/>
      <c r="F221" s="188"/>
      <c r="G221" s="189"/>
      <c r="H221" s="188"/>
      <c r="I221" s="188"/>
      <c r="J221" s="169"/>
      <c r="K221" s="190"/>
      <c r="L221" s="169"/>
      <c r="M221" s="171"/>
      <c r="N221" s="171"/>
      <c r="O221" s="191"/>
      <c r="P221" s="191"/>
      <c r="Q221" s="109"/>
      <c r="R221" s="109"/>
      <c r="S221" s="192"/>
    </row>
    <row r="222" spans="1:19" s="193" customFormat="1" ht="18" customHeight="1">
      <c r="A222" s="188"/>
      <c r="B222" s="188"/>
      <c r="C222" s="188"/>
      <c r="D222" s="188"/>
      <c r="E222" s="188"/>
      <c r="F222" s="188"/>
      <c r="G222" s="189"/>
      <c r="H222" s="188"/>
      <c r="I222" s="188"/>
      <c r="J222" s="169"/>
      <c r="K222" s="190"/>
      <c r="L222" s="169"/>
      <c r="M222" s="171"/>
      <c r="N222" s="171"/>
      <c r="O222" s="191"/>
      <c r="P222" s="191"/>
      <c r="Q222" s="109"/>
      <c r="R222" s="109"/>
      <c r="S222" s="192"/>
    </row>
    <row r="223" spans="1:19" s="193" customFormat="1" ht="18" customHeight="1">
      <c r="A223" s="188"/>
      <c r="B223" s="188"/>
      <c r="C223" s="188"/>
      <c r="D223" s="188"/>
      <c r="E223" s="188"/>
      <c r="F223" s="188"/>
      <c r="G223" s="189"/>
      <c r="H223" s="188"/>
      <c r="I223" s="188"/>
      <c r="J223" s="169"/>
      <c r="K223" s="190"/>
      <c r="L223" s="169"/>
      <c r="M223" s="171"/>
      <c r="N223" s="171"/>
      <c r="O223" s="191"/>
      <c r="P223" s="191"/>
      <c r="Q223" s="109"/>
      <c r="R223" s="109"/>
      <c r="S223" s="192"/>
    </row>
    <row r="224" spans="1:19" s="193" customFormat="1" ht="18" customHeight="1">
      <c r="A224" s="188"/>
      <c r="B224" s="188"/>
      <c r="C224" s="188"/>
      <c r="D224" s="188"/>
      <c r="E224" s="188"/>
      <c r="F224" s="188"/>
      <c r="G224" s="189"/>
      <c r="H224" s="188"/>
      <c r="I224" s="188"/>
      <c r="J224" s="169"/>
      <c r="K224" s="190"/>
      <c r="L224" s="169"/>
      <c r="M224" s="171"/>
      <c r="N224" s="171"/>
      <c r="O224" s="191"/>
      <c r="P224" s="191"/>
      <c r="Q224" s="109"/>
      <c r="R224" s="109"/>
      <c r="S224" s="192"/>
    </row>
    <row r="225" spans="1:19" s="193" customFormat="1" ht="18" customHeight="1">
      <c r="A225" s="188"/>
      <c r="B225" s="188"/>
      <c r="C225" s="188"/>
      <c r="D225" s="188"/>
      <c r="E225" s="188"/>
      <c r="F225" s="188"/>
      <c r="G225" s="189"/>
      <c r="H225" s="188"/>
      <c r="I225" s="188"/>
      <c r="J225" s="169"/>
      <c r="K225" s="190"/>
      <c r="L225" s="169"/>
      <c r="M225" s="171"/>
      <c r="N225" s="171"/>
      <c r="O225" s="191"/>
      <c r="P225" s="191"/>
      <c r="Q225" s="109"/>
      <c r="R225" s="109"/>
      <c r="S225" s="192"/>
    </row>
    <row r="226" spans="1:19" s="193" customFormat="1" ht="18" customHeight="1">
      <c r="A226" s="188"/>
      <c r="B226" s="188"/>
      <c r="C226" s="188"/>
      <c r="D226" s="188"/>
      <c r="E226" s="188"/>
      <c r="F226" s="188"/>
      <c r="G226" s="189"/>
      <c r="H226" s="188"/>
      <c r="I226" s="188"/>
      <c r="J226" s="169"/>
      <c r="K226" s="190"/>
      <c r="L226" s="169"/>
      <c r="M226" s="171"/>
      <c r="N226" s="171"/>
      <c r="O226" s="191"/>
      <c r="P226" s="191"/>
      <c r="Q226" s="109"/>
      <c r="R226" s="109"/>
      <c r="S226" s="192"/>
    </row>
    <row r="227" spans="1:19" s="193" customFormat="1" ht="20.100000000000001" customHeight="1">
      <c r="A227" s="1263" t="s">
        <v>986</v>
      </c>
      <c r="B227" s="1263"/>
      <c r="C227" s="1263"/>
      <c r="D227" s="1263"/>
      <c r="E227" s="1263"/>
      <c r="F227" s="1263"/>
      <c r="G227" s="1263"/>
      <c r="H227" s="1263"/>
      <c r="I227" s="1263"/>
      <c r="J227" s="1263"/>
      <c r="K227" s="1263"/>
      <c r="L227" s="1263"/>
      <c r="M227" s="1263"/>
      <c r="N227" s="1058"/>
      <c r="O227" s="191"/>
      <c r="P227" s="191"/>
      <c r="Q227" s="109"/>
      <c r="R227" s="109"/>
      <c r="S227" s="192"/>
    </row>
    <row r="228" spans="1:19" s="193" customFormat="1" ht="18" customHeight="1">
      <c r="A228" s="1319" t="s">
        <v>1675</v>
      </c>
      <c r="B228" s="1319"/>
      <c r="C228" s="1319"/>
      <c r="D228" s="1319"/>
      <c r="E228" s="1319"/>
      <c r="F228" s="1319"/>
      <c r="G228" s="1319"/>
      <c r="H228" s="1319"/>
      <c r="I228" s="1319"/>
      <c r="J228" s="1319"/>
      <c r="K228" s="1319"/>
      <c r="L228" s="1319"/>
      <c r="M228" s="1319"/>
      <c r="N228" s="1048"/>
      <c r="O228" s="191"/>
      <c r="P228" s="191"/>
      <c r="Q228" s="109"/>
      <c r="R228" s="109"/>
      <c r="S228" s="192"/>
    </row>
    <row r="229" spans="1:19" s="193" customFormat="1" ht="18" customHeight="1">
      <c r="A229" s="1320" t="s">
        <v>358</v>
      </c>
      <c r="B229" s="1320"/>
      <c r="C229" s="1320"/>
      <c r="D229" s="1320"/>
      <c r="E229" s="1320"/>
      <c r="F229" s="1320"/>
      <c r="G229" s="1320"/>
      <c r="H229" s="1320"/>
      <c r="I229" s="1320"/>
      <c r="J229" s="1320"/>
      <c r="K229" s="1320"/>
      <c r="L229" s="1320"/>
      <c r="M229" s="1320"/>
      <c r="N229" s="1049"/>
      <c r="O229" s="191"/>
      <c r="P229" s="191"/>
      <c r="Q229" s="109"/>
      <c r="R229" s="109"/>
      <c r="S229" s="192"/>
    </row>
    <row r="230" spans="1:19" s="193" customFormat="1" ht="18" customHeight="1">
      <c r="A230" s="1321"/>
      <c r="B230" s="1321"/>
      <c r="C230" s="1321"/>
      <c r="D230" s="1321"/>
      <c r="E230" s="1321"/>
      <c r="F230" s="1321"/>
      <c r="G230" s="1321"/>
      <c r="H230" s="1321"/>
      <c r="I230" s="1321"/>
      <c r="J230" s="1321"/>
      <c r="K230" s="1321"/>
      <c r="L230" s="1321"/>
      <c r="M230" s="1321"/>
      <c r="N230" s="1050"/>
      <c r="O230" s="191"/>
      <c r="P230" s="191"/>
      <c r="Q230" s="109"/>
      <c r="R230" s="109"/>
      <c r="S230" s="192"/>
    </row>
    <row r="231" spans="1:19" s="193" customFormat="1" ht="18" customHeight="1">
      <c r="A231" s="1050"/>
      <c r="B231" s="1050"/>
      <c r="C231" s="1050"/>
      <c r="D231" s="1050"/>
      <c r="E231" s="1050"/>
      <c r="F231" s="1050"/>
      <c r="G231" s="1050"/>
      <c r="H231" s="1050"/>
      <c r="I231" s="1050"/>
      <c r="J231" s="1050"/>
      <c r="K231" s="1050"/>
      <c r="L231" s="1050"/>
      <c r="M231" s="1050"/>
      <c r="N231" s="1050"/>
      <c r="O231" s="191"/>
      <c r="P231" s="191"/>
      <c r="Q231" s="109"/>
      <c r="R231" s="109"/>
      <c r="S231" s="192"/>
    </row>
    <row r="232" spans="1:19" s="193" customFormat="1" ht="18" customHeight="1">
      <c r="A232" s="111" t="s">
        <v>450</v>
      </c>
      <c r="B232" s="111"/>
      <c r="C232" s="1050" t="s">
        <v>448</v>
      </c>
      <c r="D232" s="111" t="s">
        <v>299</v>
      </c>
      <c r="E232" s="118"/>
      <c r="F232" s="111"/>
      <c r="G232" s="1050"/>
      <c r="H232" s="1050"/>
      <c r="I232" s="1050"/>
      <c r="J232" s="1050"/>
      <c r="K232" s="1050"/>
      <c r="L232" s="1050"/>
      <c r="M232" s="1050"/>
      <c r="N232" s="1050"/>
      <c r="O232" s="191"/>
      <c r="P232" s="191"/>
      <c r="Q232" s="109"/>
      <c r="R232" s="109"/>
      <c r="S232" s="192"/>
    </row>
    <row r="233" spans="1:19" s="193" customFormat="1" ht="18" customHeight="1">
      <c r="A233" s="111" t="s">
        <v>451</v>
      </c>
      <c r="B233" s="111"/>
      <c r="C233" s="1050" t="s">
        <v>448</v>
      </c>
      <c r="D233" s="111" t="s">
        <v>453</v>
      </c>
      <c r="E233" s="118"/>
      <c r="F233" s="111"/>
      <c r="G233" s="1050"/>
      <c r="H233" s="1050"/>
      <c r="I233" s="1050"/>
      <c r="J233" s="1050"/>
      <c r="K233" s="1050"/>
      <c r="L233" s="1050"/>
      <c r="M233" s="1050"/>
      <c r="N233" s="1050"/>
      <c r="O233" s="191"/>
      <c r="P233" s="191"/>
      <c r="Q233" s="109"/>
      <c r="R233" s="109"/>
      <c r="S233" s="192"/>
    </row>
    <row r="234" spans="1:19" s="193" customFormat="1" ht="18" customHeight="1" thickBot="1">
      <c r="A234" s="111" t="s">
        <v>452</v>
      </c>
      <c r="B234" s="111"/>
      <c r="C234" s="1050" t="s">
        <v>448</v>
      </c>
      <c r="D234" s="111" t="s">
        <v>454</v>
      </c>
      <c r="E234" s="118"/>
      <c r="F234" s="111"/>
      <c r="G234" s="1050"/>
      <c r="H234" s="1050"/>
      <c r="I234" s="1050"/>
      <c r="J234" s="1050"/>
      <c r="K234" s="1050"/>
      <c r="L234" s="1050"/>
      <c r="M234" s="1050"/>
      <c r="N234" s="1050"/>
      <c r="O234" s="191"/>
      <c r="P234" s="191"/>
      <c r="Q234" s="109"/>
      <c r="R234" s="109"/>
      <c r="S234" s="192"/>
    </row>
    <row r="235" spans="1:19" s="146" customFormat="1" ht="18" customHeight="1">
      <c r="A235" s="1322" t="s">
        <v>631</v>
      </c>
      <c r="B235" s="1323"/>
      <c r="C235" s="1323"/>
      <c r="D235" s="1323"/>
      <c r="E235" s="1324"/>
      <c r="F235" s="1323"/>
      <c r="G235" s="1325"/>
      <c r="H235" s="1051"/>
      <c r="I235" s="1326" t="s">
        <v>635</v>
      </c>
      <c r="J235" s="1327"/>
      <c r="K235" s="1326" t="s">
        <v>635</v>
      </c>
      <c r="L235" s="1327"/>
      <c r="M235" s="122"/>
      <c r="N235" s="1012"/>
      <c r="O235" s="115"/>
      <c r="P235" s="115"/>
      <c r="Q235" s="116"/>
      <c r="R235" s="116"/>
      <c r="S235" s="117"/>
    </row>
    <row r="236" spans="1:19" s="146" customFormat="1" ht="18" customHeight="1">
      <c r="A236" s="123" t="s">
        <v>632</v>
      </c>
      <c r="B236" s="1311" t="s">
        <v>633</v>
      </c>
      <c r="C236" s="1312"/>
      <c r="D236" s="1313"/>
      <c r="E236" s="1314" t="s">
        <v>44</v>
      </c>
      <c r="F236" s="1315"/>
      <c r="G236" s="1316"/>
      <c r="H236" s="1054" t="s">
        <v>45</v>
      </c>
      <c r="I236" s="1314" t="s">
        <v>1502</v>
      </c>
      <c r="J236" s="1316"/>
      <c r="K236" s="1315" t="s">
        <v>1676</v>
      </c>
      <c r="L236" s="1316"/>
      <c r="M236" s="124" t="s">
        <v>46</v>
      </c>
      <c r="N236" s="1013"/>
      <c r="O236" s="115"/>
      <c r="P236" s="115"/>
      <c r="Q236" s="116"/>
      <c r="R236" s="116"/>
      <c r="S236" s="117"/>
    </row>
    <row r="237" spans="1:19" s="146" customFormat="1" ht="18" customHeight="1">
      <c r="A237" s="125"/>
      <c r="B237" s="1054"/>
      <c r="C237" s="1055"/>
      <c r="D237" s="1055"/>
      <c r="E237" s="1054"/>
      <c r="F237" s="1055"/>
      <c r="G237" s="1056"/>
      <c r="H237" s="1054" t="s">
        <v>47</v>
      </c>
      <c r="I237" s="1317"/>
      <c r="J237" s="1318"/>
      <c r="K237" s="1317"/>
      <c r="L237" s="1318"/>
      <c r="M237" s="124" t="s">
        <v>48</v>
      </c>
      <c r="N237" s="1013"/>
      <c r="O237" s="115"/>
      <c r="P237" s="115"/>
      <c r="Q237" s="116"/>
      <c r="R237" s="116"/>
      <c r="S237" s="117"/>
    </row>
    <row r="238" spans="1:19" s="146" customFormat="1" ht="18" customHeight="1">
      <c r="A238" s="125"/>
      <c r="B238" s="1054"/>
      <c r="C238" s="1055"/>
      <c r="D238" s="1055"/>
      <c r="E238" s="1054"/>
      <c r="F238" s="1055"/>
      <c r="G238" s="126"/>
      <c r="H238" s="127"/>
      <c r="I238" s="128" t="s">
        <v>634</v>
      </c>
      <c r="J238" s="129" t="s">
        <v>49</v>
      </c>
      <c r="K238" s="128" t="s">
        <v>634</v>
      </c>
      <c r="L238" s="129" t="s">
        <v>49</v>
      </c>
      <c r="M238" s="124"/>
      <c r="N238" s="120" t="s">
        <v>1628</v>
      </c>
      <c r="O238" s="115"/>
      <c r="P238" s="115"/>
      <c r="Q238" s="116"/>
      <c r="R238" s="116"/>
      <c r="S238" s="117"/>
    </row>
    <row r="239" spans="1:19" s="146" customFormat="1" ht="18" customHeight="1" thickBot="1">
      <c r="A239" s="130"/>
      <c r="B239" s="1307"/>
      <c r="C239" s="1308"/>
      <c r="D239" s="1309"/>
      <c r="E239" s="1307"/>
      <c r="F239" s="1308"/>
      <c r="G239" s="1309"/>
      <c r="H239" s="131"/>
      <c r="I239" s="131"/>
      <c r="J239" s="131"/>
      <c r="K239" s="131"/>
      <c r="L239" s="131"/>
      <c r="M239" s="132"/>
      <c r="N239" s="1019" t="s">
        <v>1629</v>
      </c>
      <c r="O239" s="115"/>
      <c r="P239" s="115"/>
      <c r="Q239" s="116"/>
      <c r="R239" s="116"/>
      <c r="S239" s="117"/>
    </row>
    <row r="240" spans="1:19" s="146" customFormat="1" ht="18" customHeight="1">
      <c r="A240" s="183"/>
      <c r="B240" s="1060"/>
      <c r="C240" s="1060"/>
      <c r="D240" s="1060"/>
      <c r="E240" s="154"/>
      <c r="F240" s="1060"/>
      <c r="G240" s="140"/>
      <c r="H240" s="141"/>
      <c r="I240" s="185"/>
      <c r="J240" s="143"/>
      <c r="K240" s="185"/>
      <c r="L240" s="143"/>
      <c r="M240" s="144"/>
      <c r="N240" s="1015"/>
      <c r="O240" s="115"/>
      <c r="P240" s="115"/>
      <c r="Q240" s="116"/>
      <c r="R240" s="116"/>
      <c r="S240" s="117"/>
    </row>
    <row r="241" spans="1:19" s="146" customFormat="1" ht="18" customHeight="1">
      <c r="A241" s="183">
        <v>12</v>
      </c>
      <c r="B241" s="1060"/>
      <c r="C241" s="1060"/>
      <c r="D241" s="1060"/>
      <c r="E241" s="154" t="s">
        <v>70</v>
      </c>
      <c r="F241" s="1060"/>
      <c r="G241" s="140"/>
      <c r="H241" s="141" t="s">
        <v>71</v>
      </c>
      <c r="I241" s="184" t="s">
        <v>111</v>
      </c>
      <c r="J241" s="143">
        <v>959376</v>
      </c>
      <c r="K241" s="184" t="s">
        <v>111</v>
      </c>
      <c r="L241" s="143">
        <v>977820</v>
      </c>
      <c r="M241" s="144">
        <f>L241-J241</f>
        <v>18444</v>
      </c>
      <c r="N241" s="1015">
        <f>L241/12</f>
        <v>81485</v>
      </c>
      <c r="O241" s="115">
        <f>L241-J241</f>
        <v>18444</v>
      </c>
      <c r="P241" s="115">
        <f>O241-M241</f>
        <v>0</v>
      </c>
      <c r="Q241" s="116">
        <v>66124</v>
      </c>
      <c r="R241" s="116">
        <f>Q241*12</f>
        <v>793488</v>
      </c>
      <c r="S241" s="145">
        <f>R241-L241</f>
        <v>-184332</v>
      </c>
    </row>
    <row r="242" spans="1:19" s="146" customFormat="1" ht="18" customHeight="1">
      <c r="A242" s="183"/>
      <c r="B242" s="1060"/>
      <c r="C242" s="1060"/>
      <c r="D242" s="1060"/>
      <c r="E242" s="139" t="s">
        <v>72</v>
      </c>
      <c r="F242" s="1060"/>
      <c r="G242" s="195"/>
      <c r="H242" s="141"/>
      <c r="I242" s="184"/>
      <c r="J242" s="143"/>
      <c r="K242" s="184" t="s">
        <v>1707</v>
      </c>
      <c r="L242" s="143">
        <v>993792</v>
      </c>
      <c r="M242" s="144">
        <v>5324</v>
      </c>
      <c r="N242" s="1015"/>
      <c r="O242" s="115"/>
      <c r="P242" s="115"/>
      <c r="Q242" s="116"/>
      <c r="R242" s="116"/>
      <c r="S242" s="117"/>
    </row>
    <row r="243" spans="1:19" s="146" customFormat="1" ht="18" customHeight="1">
      <c r="A243" s="183"/>
      <c r="B243" s="1060"/>
      <c r="C243" s="1060"/>
      <c r="D243" s="1060"/>
      <c r="E243" s="139"/>
      <c r="F243" s="1060"/>
      <c r="G243" s="195"/>
      <c r="H243" s="141"/>
      <c r="I243" s="184"/>
      <c r="J243" s="143"/>
      <c r="K243" s="184"/>
      <c r="L243" s="149">
        <v>44805</v>
      </c>
      <c r="M243" s="144"/>
      <c r="N243" s="1015"/>
      <c r="O243" s="115"/>
      <c r="P243" s="115"/>
      <c r="Q243" s="116"/>
      <c r="R243" s="116"/>
      <c r="S243" s="117"/>
    </row>
    <row r="244" spans="1:19" s="146" customFormat="1" ht="18" customHeight="1">
      <c r="A244" s="183"/>
      <c r="B244" s="1060"/>
      <c r="C244" s="1060"/>
      <c r="D244" s="1060"/>
      <c r="E244" s="139"/>
      <c r="F244" s="1060"/>
      <c r="G244" s="195"/>
      <c r="H244" s="141"/>
      <c r="I244" s="184"/>
      <c r="J244" s="143"/>
      <c r="K244" s="184"/>
      <c r="L244" s="143"/>
      <c r="M244" s="144"/>
      <c r="N244" s="1015"/>
      <c r="O244" s="115"/>
      <c r="P244" s="115"/>
      <c r="Q244" s="116"/>
      <c r="R244" s="116"/>
      <c r="S244" s="117"/>
    </row>
    <row r="245" spans="1:19" s="146" customFormat="1" ht="18" customHeight="1">
      <c r="A245" s="183"/>
      <c r="B245" s="1060"/>
      <c r="C245" s="1060"/>
      <c r="D245" s="1060"/>
      <c r="E245" s="154"/>
      <c r="F245" s="1060"/>
      <c r="G245" s="140"/>
      <c r="H245" s="141"/>
      <c r="I245" s="185"/>
      <c r="J245" s="149"/>
      <c r="K245" s="185"/>
      <c r="L245" s="149"/>
      <c r="M245" s="144"/>
      <c r="N245" s="1015"/>
      <c r="O245" s="115"/>
      <c r="P245" s="115"/>
      <c r="Q245" s="116"/>
      <c r="R245" s="116"/>
      <c r="S245" s="117"/>
    </row>
    <row r="246" spans="1:19" s="146" customFormat="1" ht="18" customHeight="1">
      <c r="A246" s="183">
        <v>13</v>
      </c>
      <c r="B246" s="1060"/>
      <c r="C246" s="1060"/>
      <c r="D246" s="1060"/>
      <c r="E246" s="154" t="s">
        <v>73</v>
      </c>
      <c r="F246" s="1060"/>
      <c r="G246" s="140"/>
      <c r="H246" s="141" t="s">
        <v>1452</v>
      </c>
      <c r="I246" s="184" t="s">
        <v>392</v>
      </c>
      <c r="J246" s="143">
        <v>243540</v>
      </c>
      <c r="K246" s="184" t="s">
        <v>392</v>
      </c>
      <c r="L246" s="143">
        <v>259476</v>
      </c>
      <c r="M246" s="144">
        <f>L246-J246</f>
        <v>15936</v>
      </c>
      <c r="N246" s="1015">
        <f>L246/12</f>
        <v>21623</v>
      </c>
      <c r="O246" s="115">
        <f>L246-J246</f>
        <v>15936</v>
      </c>
      <c r="P246" s="115">
        <f>O246-M246</f>
        <v>0</v>
      </c>
      <c r="Q246" s="116">
        <v>17152</v>
      </c>
      <c r="R246" s="116">
        <f>Q246*12</f>
        <v>205824</v>
      </c>
      <c r="S246" s="145">
        <f>R246-L246</f>
        <v>-53652</v>
      </c>
    </row>
    <row r="247" spans="1:19" s="146" customFormat="1" ht="18" customHeight="1">
      <c r="A247" s="183"/>
      <c r="B247" s="1060"/>
      <c r="C247" s="1060"/>
      <c r="D247" s="1060"/>
      <c r="E247" s="154"/>
      <c r="F247" s="1060"/>
      <c r="G247" s="140"/>
      <c r="H247" s="141"/>
      <c r="I247" s="184"/>
      <c r="J247" s="143"/>
      <c r="K247" s="184" t="s">
        <v>134</v>
      </c>
      <c r="L247" s="143">
        <v>262380</v>
      </c>
      <c r="M247" s="144">
        <v>2420</v>
      </c>
      <c r="N247" s="1015"/>
      <c r="O247" s="115"/>
      <c r="P247" s="115"/>
      <c r="Q247" s="116"/>
      <c r="R247" s="116"/>
      <c r="S247" s="145"/>
    </row>
    <row r="248" spans="1:19" s="146" customFormat="1" ht="18" customHeight="1">
      <c r="A248" s="183"/>
      <c r="B248" s="1060"/>
      <c r="C248" s="1060"/>
      <c r="D248" s="1060"/>
      <c r="E248" s="154"/>
      <c r="F248" s="1060"/>
      <c r="G248" s="140"/>
      <c r="H248" s="141"/>
      <c r="I248" s="184"/>
      <c r="J248" s="143"/>
      <c r="K248" s="184"/>
      <c r="L248" s="149">
        <v>44638</v>
      </c>
      <c r="M248" s="144"/>
      <c r="N248" s="1015"/>
      <c r="O248" s="115"/>
      <c r="P248" s="115"/>
      <c r="Q248" s="116"/>
      <c r="R248" s="116"/>
      <c r="S248" s="145"/>
    </row>
    <row r="249" spans="1:19" s="146" customFormat="1" ht="18" customHeight="1">
      <c r="A249" s="183"/>
      <c r="B249" s="1060"/>
      <c r="C249" s="1060"/>
      <c r="D249" s="1060"/>
      <c r="E249" s="154"/>
      <c r="F249" s="1060"/>
      <c r="G249" s="140"/>
      <c r="H249" s="141"/>
      <c r="I249" s="184"/>
      <c r="J249" s="143"/>
      <c r="K249" s="184"/>
      <c r="L249" s="143"/>
      <c r="M249" s="144"/>
      <c r="N249" s="1015"/>
      <c r="O249" s="115"/>
      <c r="P249" s="115"/>
      <c r="Q249" s="116"/>
      <c r="R249" s="116"/>
      <c r="S249" s="145"/>
    </row>
    <row r="250" spans="1:19" s="146" customFormat="1" ht="18" customHeight="1">
      <c r="A250" s="183"/>
      <c r="B250" s="1060"/>
      <c r="C250" s="1060"/>
      <c r="D250" s="1060"/>
      <c r="E250" s="154"/>
      <c r="F250" s="1060"/>
      <c r="G250" s="140"/>
      <c r="H250" s="141"/>
      <c r="I250" s="185"/>
      <c r="J250" s="143"/>
      <c r="K250" s="185"/>
      <c r="L250" s="143"/>
      <c r="M250" s="144"/>
      <c r="N250" s="1015"/>
      <c r="O250" s="115"/>
      <c r="P250" s="115"/>
      <c r="Q250" s="116"/>
      <c r="R250" s="116"/>
      <c r="S250" s="117"/>
    </row>
    <row r="251" spans="1:19" s="146" customFormat="1" ht="18" customHeight="1">
      <c r="A251" s="183">
        <v>14</v>
      </c>
      <c r="B251" s="1060"/>
      <c r="C251" s="1060"/>
      <c r="D251" s="1060"/>
      <c r="E251" s="154" t="s">
        <v>54</v>
      </c>
      <c r="F251" s="1060"/>
      <c r="G251" s="140"/>
      <c r="H251" s="141" t="s">
        <v>1467</v>
      </c>
      <c r="I251" s="184" t="s">
        <v>109</v>
      </c>
      <c r="J251" s="143">
        <v>148008</v>
      </c>
      <c r="K251" s="184" t="s">
        <v>109</v>
      </c>
      <c r="L251" s="143">
        <v>154116</v>
      </c>
      <c r="M251" s="144">
        <f>L251-J251</f>
        <v>6108</v>
      </c>
      <c r="N251" s="1015">
        <f t="shared" ref="N251" si="2">L251/12</f>
        <v>12843</v>
      </c>
      <c r="O251" s="115">
        <f>L251-J251</f>
        <v>6108</v>
      </c>
      <c r="P251" s="115">
        <f>O251-M251</f>
        <v>0</v>
      </c>
      <c r="Q251" s="116">
        <v>11410</v>
      </c>
      <c r="R251" s="116">
        <f>Q251*12</f>
        <v>136920</v>
      </c>
      <c r="S251" s="145">
        <f>R251-L251</f>
        <v>-17196</v>
      </c>
    </row>
    <row r="252" spans="1:19" s="146" customFormat="1" ht="18" customHeight="1">
      <c r="A252" s="183"/>
      <c r="B252" s="1060"/>
      <c r="C252" s="1060"/>
      <c r="D252" s="1060"/>
      <c r="E252" s="154"/>
      <c r="F252" s="1060"/>
      <c r="G252" s="140"/>
      <c r="H252" s="141"/>
      <c r="I252" s="185"/>
      <c r="J252" s="149"/>
      <c r="K252" s="184"/>
      <c r="L252" s="149"/>
      <c r="M252" s="144"/>
      <c r="N252" s="1015"/>
      <c r="O252" s="115"/>
      <c r="P252" s="115"/>
      <c r="Q252" s="116"/>
      <c r="R252" s="116"/>
      <c r="S252" s="117"/>
    </row>
    <row r="253" spans="1:19" s="146" customFormat="1" ht="18" customHeight="1">
      <c r="A253" s="183"/>
      <c r="B253" s="1060"/>
      <c r="C253" s="1060"/>
      <c r="D253" s="1060"/>
      <c r="E253" s="154"/>
      <c r="F253" s="1060"/>
      <c r="G253" s="140"/>
      <c r="H253" s="141"/>
      <c r="I253" s="185"/>
      <c r="J253" s="149"/>
      <c r="K253" s="185"/>
      <c r="L253" s="149"/>
      <c r="M253" s="144"/>
      <c r="N253" s="1015"/>
      <c r="O253" s="115"/>
      <c r="P253" s="115"/>
      <c r="Q253" s="116"/>
      <c r="R253" s="116"/>
      <c r="S253" s="117"/>
    </row>
    <row r="254" spans="1:19" s="146" customFormat="1" ht="18" customHeight="1">
      <c r="A254" s="183">
        <v>15</v>
      </c>
      <c r="B254" s="1060"/>
      <c r="C254" s="1060"/>
      <c r="D254" s="1060"/>
      <c r="E254" s="154" t="s">
        <v>54</v>
      </c>
      <c r="F254" s="1060"/>
      <c r="G254" s="140"/>
      <c r="H254" s="141" t="s">
        <v>280</v>
      </c>
      <c r="I254" s="184" t="s">
        <v>244</v>
      </c>
      <c r="J254" s="143">
        <v>149148</v>
      </c>
      <c r="K254" s="184" t="s">
        <v>244</v>
      </c>
      <c r="L254" s="143">
        <v>155280</v>
      </c>
      <c r="M254" s="144">
        <f>L254-J254</f>
        <v>6132</v>
      </c>
      <c r="N254" s="1015">
        <f>L254/12</f>
        <v>12940</v>
      </c>
      <c r="O254" s="115">
        <f>L254-J254</f>
        <v>6132</v>
      </c>
      <c r="P254" s="115">
        <f>O254-M254</f>
        <v>0</v>
      </c>
      <c r="Q254" s="116">
        <v>10861</v>
      </c>
      <c r="R254" s="116">
        <f>Q254*12</f>
        <v>130332</v>
      </c>
      <c r="S254" s="145">
        <f>R254-L254</f>
        <v>-24948</v>
      </c>
    </row>
    <row r="255" spans="1:19" s="146" customFormat="1" ht="18" customHeight="1">
      <c r="A255" s="183"/>
      <c r="B255" s="1060"/>
      <c r="C255" s="1060"/>
      <c r="D255" s="1060"/>
      <c r="E255" s="154"/>
      <c r="F255" s="1060"/>
      <c r="G255" s="140"/>
      <c r="H255" s="141"/>
      <c r="I255" s="184"/>
      <c r="J255" s="149"/>
      <c r="K255" s="184"/>
      <c r="L255" s="149"/>
      <c r="M255" s="144"/>
      <c r="N255" s="1015"/>
      <c r="O255" s="115"/>
      <c r="P255" s="115"/>
      <c r="Q255" s="116"/>
      <c r="R255" s="116"/>
      <c r="S255" s="145"/>
    </row>
    <row r="256" spans="1:19" s="146" customFormat="1" ht="18" customHeight="1">
      <c r="A256" s="183"/>
      <c r="B256" s="1060"/>
      <c r="C256" s="1060"/>
      <c r="D256" s="1060"/>
      <c r="E256" s="154"/>
      <c r="F256" s="1060"/>
      <c r="G256" s="140"/>
      <c r="H256" s="141"/>
      <c r="I256" s="185"/>
      <c r="J256" s="143"/>
      <c r="K256" s="185"/>
      <c r="L256" s="143"/>
      <c r="M256" s="144"/>
      <c r="N256" s="1015"/>
      <c r="O256" s="115"/>
      <c r="P256" s="115"/>
      <c r="Q256" s="116"/>
      <c r="R256" s="116"/>
      <c r="S256" s="117"/>
    </row>
    <row r="257" spans="1:19" s="146" customFormat="1" ht="18" customHeight="1">
      <c r="A257" s="183">
        <v>16</v>
      </c>
      <c r="B257" s="1060"/>
      <c r="C257" s="1060"/>
      <c r="D257" s="1060"/>
      <c r="E257" s="154" t="s">
        <v>75</v>
      </c>
      <c r="F257" s="1060"/>
      <c r="G257" s="140"/>
      <c r="H257" s="141" t="s">
        <v>74</v>
      </c>
      <c r="I257" s="184" t="s">
        <v>439</v>
      </c>
      <c r="J257" s="143">
        <v>166512</v>
      </c>
      <c r="K257" s="184" t="s">
        <v>439</v>
      </c>
      <c r="L257" s="143">
        <v>173472</v>
      </c>
      <c r="M257" s="144">
        <f>L257-J257</f>
        <v>6960</v>
      </c>
      <c r="N257" s="1015">
        <f t="shared" ref="N257" si="3">L257/12</f>
        <v>14456</v>
      </c>
      <c r="O257" s="115">
        <f>L257-J257</f>
        <v>6960</v>
      </c>
      <c r="P257" s="115">
        <f>O257-M257</f>
        <v>0</v>
      </c>
      <c r="Q257" s="116">
        <v>12912</v>
      </c>
      <c r="R257" s="116">
        <f>Q257*12</f>
        <v>154944</v>
      </c>
      <c r="S257" s="145">
        <f>R257-L257</f>
        <v>-18528</v>
      </c>
    </row>
    <row r="258" spans="1:19" s="146" customFormat="1" ht="18" customHeight="1">
      <c r="A258" s="183"/>
      <c r="B258" s="1060"/>
      <c r="C258" s="1060"/>
      <c r="D258" s="1060"/>
      <c r="E258" s="154"/>
      <c r="F258" s="1060"/>
      <c r="G258" s="140"/>
      <c r="H258" s="141"/>
      <c r="I258" s="184"/>
      <c r="J258" s="170"/>
      <c r="K258" s="184"/>
      <c r="L258" s="207"/>
      <c r="M258" s="144"/>
      <c r="N258" s="1015"/>
      <c r="O258" s="115"/>
      <c r="P258" s="115"/>
      <c r="Q258" s="116"/>
      <c r="R258" s="116"/>
      <c r="S258" s="145"/>
    </row>
    <row r="259" spans="1:19" s="146" customFormat="1" ht="18" customHeight="1">
      <c r="A259" s="183"/>
      <c r="B259" s="1060"/>
      <c r="C259" s="1060"/>
      <c r="D259" s="1060"/>
      <c r="E259" s="154"/>
      <c r="F259" s="1060"/>
      <c r="G259" s="140"/>
      <c r="H259" s="141"/>
      <c r="I259" s="184"/>
      <c r="J259" s="170"/>
      <c r="K259" s="184"/>
      <c r="L259" s="170"/>
      <c r="M259" s="144"/>
      <c r="N259" s="1015"/>
      <c r="O259" s="115"/>
      <c r="P259" s="115"/>
      <c r="Q259" s="116"/>
      <c r="R259" s="116"/>
      <c r="S259" s="145"/>
    </row>
    <row r="260" spans="1:19" s="146" customFormat="1" ht="18" customHeight="1">
      <c r="A260" s="183">
        <v>17</v>
      </c>
      <c r="B260" s="1060"/>
      <c r="C260" s="1060"/>
      <c r="D260" s="1060"/>
      <c r="E260" s="154" t="s">
        <v>1708</v>
      </c>
      <c r="F260" s="1060"/>
      <c r="G260" s="140"/>
      <c r="H260" s="141" t="s">
        <v>76</v>
      </c>
      <c r="I260" s="184" t="s">
        <v>391</v>
      </c>
      <c r="J260" s="170">
        <v>187848</v>
      </c>
      <c r="K260" s="184" t="s">
        <v>391</v>
      </c>
      <c r="L260" s="170">
        <v>195540</v>
      </c>
      <c r="M260" s="144">
        <f>L260-J260</f>
        <v>7692</v>
      </c>
      <c r="N260" s="1015">
        <f t="shared" ref="N260" si="4">L260/12</f>
        <v>16295</v>
      </c>
      <c r="O260" s="115">
        <f>L260-J260</f>
        <v>7692</v>
      </c>
      <c r="P260" s="115">
        <f>O260-M260</f>
        <v>0</v>
      </c>
      <c r="Q260" s="116">
        <v>13840</v>
      </c>
      <c r="R260" s="116">
        <f>Q260*12</f>
        <v>166080</v>
      </c>
      <c r="S260" s="145">
        <f>R260-L260</f>
        <v>-29460</v>
      </c>
    </row>
    <row r="261" spans="1:19" s="146" customFormat="1" ht="18" customHeight="1">
      <c r="A261" s="183"/>
      <c r="B261" s="1060"/>
      <c r="C261" s="1060"/>
      <c r="D261" s="1060"/>
      <c r="E261" s="154"/>
      <c r="F261" s="1060"/>
      <c r="G261" s="140"/>
      <c r="H261" s="141"/>
      <c r="I261" s="184"/>
      <c r="J261" s="170"/>
      <c r="K261" s="184"/>
      <c r="L261" s="207"/>
      <c r="M261" s="144"/>
      <c r="N261" s="1015"/>
      <c r="O261" s="115"/>
      <c r="P261" s="115"/>
      <c r="Q261" s="116"/>
      <c r="R261" s="116"/>
      <c r="S261" s="145"/>
    </row>
    <row r="262" spans="1:19" s="146" customFormat="1" ht="18" customHeight="1">
      <c r="A262" s="183"/>
      <c r="B262" s="1060"/>
      <c r="C262" s="1060"/>
      <c r="D262" s="1060"/>
      <c r="E262" s="154"/>
      <c r="F262" s="1060"/>
      <c r="G262" s="140"/>
      <c r="H262" s="141"/>
      <c r="I262" s="184"/>
      <c r="J262" s="170"/>
      <c r="K262" s="184"/>
      <c r="L262" s="170"/>
      <c r="M262" s="144"/>
      <c r="N262" s="1015"/>
      <c r="O262" s="115"/>
      <c r="P262" s="115"/>
      <c r="Q262" s="116"/>
      <c r="R262" s="116"/>
      <c r="S262" s="145"/>
    </row>
    <row r="263" spans="1:19" s="146" customFormat="1" ht="18" customHeight="1">
      <c r="A263" s="183">
        <v>18</v>
      </c>
      <c r="B263" s="1060"/>
      <c r="C263" s="1060"/>
      <c r="D263" s="1060"/>
      <c r="E263" s="154" t="s">
        <v>146</v>
      </c>
      <c r="F263" s="1060"/>
      <c r="G263" s="140"/>
      <c r="H263" s="141" t="s">
        <v>1468</v>
      </c>
      <c r="I263" s="184" t="s">
        <v>151</v>
      </c>
      <c r="J263" s="170">
        <v>123768</v>
      </c>
      <c r="K263" s="184" t="s">
        <v>151</v>
      </c>
      <c r="L263" s="170">
        <v>128736</v>
      </c>
      <c r="M263" s="144">
        <f>L263-J263</f>
        <v>4968</v>
      </c>
      <c r="N263" s="1015">
        <f t="shared" ref="N263" si="5">L263/12</f>
        <v>10728</v>
      </c>
      <c r="O263" s="115">
        <f>L263-J263</f>
        <v>4968</v>
      </c>
      <c r="P263" s="115">
        <f>O263-M263</f>
        <v>0</v>
      </c>
      <c r="Q263" s="116">
        <v>8934</v>
      </c>
      <c r="R263" s="116">
        <f>Q263*12</f>
        <v>107208</v>
      </c>
      <c r="S263" s="145">
        <f>R263-L263</f>
        <v>-21528</v>
      </c>
    </row>
    <row r="264" spans="1:19" s="146" customFormat="1" ht="18" customHeight="1">
      <c r="A264" s="183"/>
      <c r="B264" s="1071"/>
      <c r="C264" s="1071"/>
      <c r="D264" s="1071"/>
      <c r="E264" s="154"/>
      <c r="F264" s="1071"/>
      <c r="G264" s="140"/>
      <c r="H264" s="141"/>
      <c r="I264" s="184"/>
      <c r="J264" s="170"/>
      <c r="K264" s="184"/>
      <c r="L264" s="170"/>
      <c r="M264" s="144"/>
      <c r="N264" s="1015"/>
      <c r="O264" s="115"/>
      <c r="P264" s="115"/>
      <c r="Q264" s="116"/>
      <c r="R264" s="116"/>
      <c r="S264" s="145"/>
    </row>
    <row r="265" spans="1:19" s="146" customFormat="1" ht="18" customHeight="1">
      <c r="A265" s="183"/>
      <c r="B265" s="1071"/>
      <c r="C265" s="1071"/>
      <c r="D265" s="1071"/>
      <c r="E265" s="154"/>
      <c r="F265" s="1071"/>
      <c r="G265" s="140"/>
      <c r="H265" s="141"/>
      <c r="I265" s="184"/>
      <c r="J265" s="170"/>
      <c r="K265" s="184"/>
      <c r="L265" s="170"/>
      <c r="M265" s="144"/>
      <c r="N265" s="1015"/>
      <c r="O265" s="115"/>
      <c r="P265" s="115"/>
      <c r="Q265" s="116"/>
      <c r="R265" s="116"/>
      <c r="S265" s="145"/>
    </row>
    <row r="266" spans="1:19" s="146" customFormat="1" ht="18" customHeight="1">
      <c r="A266" s="183"/>
      <c r="B266" s="1328">
        <v>19</v>
      </c>
      <c r="C266" s="1329"/>
      <c r="D266" s="1330"/>
      <c r="E266" s="154" t="s">
        <v>1739</v>
      </c>
      <c r="F266" s="1071"/>
      <c r="G266" s="140"/>
      <c r="H266" s="141" t="s">
        <v>104</v>
      </c>
      <c r="I266" s="184"/>
      <c r="J266" s="143"/>
      <c r="K266" s="184" t="s">
        <v>141</v>
      </c>
      <c r="L266" s="143">
        <v>226344</v>
      </c>
      <c r="M266" s="144">
        <f>L266-J266</f>
        <v>226344</v>
      </c>
      <c r="N266" s="1015">
        <f>L266/12</f>
        <v>18862</v>
      </c>
      <c r="O266" s="115">
        <f>L266-J266</f>
        <v>226344</v>
      </c>
      <c r="P266" s="115">
        <f>O266-M266</f>
        <v>0</v>
      </c>
      <c r="Q266" s="116">
        <v>62304</v>
      </c>
      <c r="R266" s="116">
        <f>Q266*12</f>
        <v>747648</v>
      </c>
      <c r="S266" s="145">
        <f>R266-L266</f>
        <v>521304</v>
      </c>
    </row>
    <row r="267" spans="1:19" s="146" customFormat="1" ht="18" customHeight="1">
      <c r="A267" s="183"/>
      <c r="B267" s="1073"/>
      <c r="C267" s="1073"/>
      <c r="D267" s="1073"/>
      <c r="E267" s="154"/>
      <c r="F267" s="1073"/>
      <c r="G267" s="140"/>
      <c r="H267" s="141" t="s">
        <v>1897</v>
      </c>
      <c r="I267" s="184"/>
      <c r="J267" s="170"/>
      <c r="K267" s="184"/>
      <c r="L267" s="170"/>
      <c r="M267" s="144"/>
      <c r="N267" s="1015"/>
      <c r="O267" s="115"/>
      <c r="P267" s="115"/>
      <c r="Q267" s="116"/>
      <c r="R267" s="116"/>
      <c r="S267" s="145"/>
    </row>
    <row r="268" spans="1:19" s="146" customFormat="1" ht="18" customHeight="1">
      <c r="A268" s="183"/>
      <c r="B268" s="1071"/>
      <c r="C268" s="1071"/>
      <c r="D268" s="1071"/>
      <c r="E268" s="154"/>
      <c r="F268" s="1071"/>
      <c r="G268" s="140"/>
      <c r="H268" s="141"/>
      <c r="I268" s="184"/>
      <c r="J268" s="170"/>
      <c r="K268" s="184"/>
      <c r="L268" s="170"/>
      <c r="M268" s="144"/>
      <c r="N268" s="1015"/>
      <c r="O268" s="115"/>
      <c r="P268" s="115"/>
      <c r="Q268" s="116"/>
      <c r="R268" s="116"/>
      <c r="S268" s="145"/>
    </row>
    <row r="269" spans="1:19" s="146" customFormat="1" ht="18" customHeight="1">
      <c r="A269" s="1070"/>
      <c r="B269" s="1328">
        <v>20</v>
      </c>
      <c r="C269" s="1329"/>
      <c r="D269" s="1330"/>
      <c r="E269" s="139" t="s">
        <v>58</v>
      </c>
      <c r="F269" s="1071"/>
      <c r="G269" s="140"/>
      <c r="H269" s="141" t="s">
        <v>104</v>
      </c>
      <c r="I269" s="142"/>
      <c r="J269" s="143"/>
      <c r="K269" s="142" t="s">
        <v>246</v>
      </c>
      <c r="L269" s="143">
        <f>144072</f>
        <v>144072</v>
      </c>
      <c r="M269" s="144">
        <f>L269-J269</f>
        <v>144072</v>
      </c>
      <c r="N269" s="1015">
        <f>L269/12</f>
        <v>12006</v>
      </c>
      <c r="O269" s="115">
        <f>L269-J269</f>
        <v>144072</v>
      </c>
      <c r="P269" s="115">
        <f>O269-M269</f>
        <v>0</v>
      </c>
      <c r="Q269" s="116">
        <v>24659</v>
      </c>
      <c r="R269" s="116">
        <f>Q269*12</f>
        <v>295908</v>
      </c>
      <c r="S269" s="145">
        <f>R269-L269</f>
        <v>151836</v>
      </c>
    </row>
    <row r="270" spans="1:19" s="146" customFormat="1" ht="18" customHeight="1">
      <c r="A270" s="183"/>
      <c r="B270" s="1071"/>
      <c r="C270" s="1071"/>
      <c r="D270" s="1071"/>
      <c r="E270" s="154"/>
      <c r="F270" s="1071"/>
      <c r="G270" s="140"/>
      <c r="H270" s="141" t="s">
        <v>1898</v>
      </c>
      <c r="I270" s="184"/>
      <c r="J270" s="170"/>
      <c r="K270" s="184"/>
      <c r="L270" s="170"/>
      <c r="M270" s="144"/>
      <c r="N270" s="1015"/>
      <c r="O270" s="115"/>
      <c r="P270" s="115"/>
      <c r="Q270" s="116"/>
      <c r="R270" s="116"/>
      <c r="S270" s="145"/>
    </row>
    <row r="271" spans="1:19" s="146" customFormat="1" ht="18" customHeight="1">
      <c r="A271" s="183"/>
      <c r="B271" s="1071"/>
      <c r="C271" s="1071"/>
      <c r="D271" s="1071"/>
      <c r="E271" s="154"/>
      <c r="F271" s="1071"/>
      <c r="G271" s="140"/>
      <c r="H271" s="141"/>
      <c r="I271" s="184"/>
      <c r="J271" s="170"/>
      <c r="K271" s="184"/>
      <c r="L271" s="170"/>
      <c r="M271" s="144"/>
      <c r="N271" s="1015"/>
      <c r="O271" s="115"/>
      <c r="P271" s="115"/>
      <c r="Q271" s="116"/>
      <c r="R271" s="116"/>
      <c r="S271" s="145"/>
    </row>
    <row r="272" spans="1:19" s="146" customFormat="1" ht="18" customHeight="1">
      <c r="A272" s="183"/>
      <c r="B272" s="1071"/>
      <c r="C272" s="1071"/>
      <c r="D272" s="1071"/>
      <c r="E272" s="154"/>
      <c r="F272" s="1071"/>
      <c r="G272" s="140"/>
      <c r="H272" s="141"/>
      <c r="I272" s="184"/>
      <c r="J272" s="170"/>
      <c r="K272" s="184"/>
      <c r="L272" s="170"/>
      <c r="M272" s="144"/>
      <c r="N272" s="1015"/>
      <c r="O272" s="115"/>
      <c r="P272" s="115"/>
      <c r="Q272" s="116"/>
      <c r="R272" s="116"/>
      <c r="S272" s="145"/>
    </row>
    <row r="273" spans="1:19" s="146" customFormat="1" ht="18" customHeight="1">
      <c r="A273" s="183"/>
      <c r="B273" s="1071"/>
      <c r="C273" s="1071"/>
      <c r="D273" s="1071"/>
      <c r="E273" s="154"/>
      <c r="F273" s="1071"/>
      <c r="G273" s="140"/>
      <c r="H273" s="141"/>
      <c r="I273" s="184"/>
      <c r="J273" s="170"/>
      <c r="K273" s="184"/>
      <c r="L273" s="170"/>
      <c r="M273" s="144"/>
      <c r="N273" s="1015"/>
      <c r="O273" s="115"/>
      <c r="P273" s="115"/>
      <c r="Q273" s="116"/>
      <c r="R273" s="116"/>
      <c r="S273" s="145"/>
    </row>
    <row r="274" spans="1:19" s="146" customFormat="1" ht="18" customHeight="1">
      <c r="A274" s="183"/>
      <c r="B274" s="1071"/>
      <c r="C274" s="1071"/>
      <c r="D274" s="1071"/>
      <c r="E274" s="154"/>
      <c r="F274" s="1071"/>
      <c r="G274" s="140"/>
      <c r="H274" s="141"/>
      <c r="I274" s="184"/>
      <c r="J274" s="170"/>
      <c r="K274" s="184"/>
      <c r="L274" s="170"/>
      <c r="M274" s="144"/>
      <c r="N274" s="1015"/>
      <c r="O274" s="115"/>
      <c r="P274" s="115"/>
      <c r="Q274" s="116"/>
      <c r="R274" s="116"/>
      <c r="S274" s="145"/>
    </row>
    <row r="275" spans="1:19" s="146" customFormat="1" ht="18" customHeight="1">
      <c r="A275" s="183"/>
      <c r="B275" s="1071"/>
      <c r="C275" s="1071"/>
      <c r="D275" s="1071"/>
      <c r="E275" s="154"/>
      <c r="F275" s="1071"/>
      <c r="G275" s="140"/>
      <c r="H275" s="141"/>
      <c r="I275" s="184"/>
      <c r="J275" s="170"/>
      <c r="K275" s="184"/>
      <c r="L275" s="170"/>
      <c r="M275" s="144"/>
      <c r="N275" s="1015"/>
      <c r="O275" s="115"/>
      <c r="P275" s="115"/>
      <c r="Q275" s="116"/>
      <c r="R275" s="116"/>
      <c r="S275" s="145"/>
    </row>
    <row r="276" spans="1:19" s="146" customFormat="1" ht="18" customHeight="1">
      <c r="A276" s="183"/>
      <c r="B276" s="1071"/>
      <c r="C276" s="1071"/>
      <c r="D276" s="1071"/>
      <c r="E276" s="154"/>
      <c r="F276" s="1071"/>
      <c r="G276" s="140"/>
      <c r="H276" s="141"/>
      <c r="I276" s="184"/>
      <c r="J276" s="170"/>
      <c r="K276" s="184"/>
      <c r="L276" s="170"/>
      <c r="M276" s="144"/>
      <c r="N276" s="1015"/>
      <c r="O276" s="115"/>
      <c r="P276" s="115"/>
      <c r="Q276" s="116"/>
      <c r="R276" s="116"/>
      <c r="S276" s="145"/>
    </row>
    <row r="277" spans="1:19" s="146" customFormat="1" ht="18" customHeight="1">
      <c r="A277" s="183"/>
      <c r="B277" s="1060"/>
      <c r="C277" s="1060"/>
      <c r="D277" s="1060"/>
      <c r="E277" s="1059"/>
      <c r="F277" s="1060"/>
      <c r="G277" s="140"/>
      <c r="H277" s="141"/>
      <c r="I277" s="184"/>
      <c r="J277" s="170"/>
      <c r="K277" s="184"/>
      <c r="L277" s="207"/>
      <c r="M277" s="144"/>
      <c r="N277" s="1015"/>
      <c r="O277" s="115"/>
      <c r="P277" s="115"/>
      <c r="Q277" s="116"/>
      <c r="R277" s="116"/>
      <c r="S277" s="117"/>
    </row>
    <row r="278" spans="1:19" s="146" customFormat="1" ht="18" customHeight="1">
      <c r="A278" s="196"/>
      <c r="B278" s="197"/>
      <c r="C278" s="197"/>
      <c r="D278" s="197"/>
      <c r="E278" s="198"/>
      <c r="F278" s="197"/>
      <c r="G278" s="199"/>
      <c r="H278" s="200"/>
      <c r="I278" s="201"/>
      <c r="J278" s="202"/>
      <c r="K278" s="201"/>
      <c r="L278" s="202"/>
      <c r="M278" s="203"/>
      <c r="N278" s="1015"/>
      <c r="O278" s="115"/>
      <c r="P278" s="115"/>
      <c r="Q278" s="116"/>
      <c r="R278" s="116"/>
      <c r="S278" s="117"/>
    </row>
    <row r="279" spans="1:19" s="146" customFormat="1" ht="18" customHeight="1">
      <c r="A279" s="183"/>
      <c r="B279" s="1060"/>
      <c r="C279" s="1060"/>
      <c r="D279" s="1060"/>
      <c r="E279" s="1059"/>
      <c r="F279" s="1060"/>
      <c r="G279" s="140"/>
      <c r="H279" s="204" t="s">
        <v>944</v>
      </c>
      <c r="I279" s="205"/>
      <c r="J279" s="881">
        <f>SUM(J241:J278)</f>
        <v>1978200</v>
      </c>
      <c r="K279" s="205"/>
      <c r="L279" s="207"/>
      <c r="M279" s="206">
        <f>SUM(M241:M278)</f>
        <v>444400</v>
      </c>
      <c r="N279" s="1017"/>
      <c r="O279" s="115"/>
      <c r="P279" s="115"/>
      <c r="Q279" s="116"/>
      <c r="R279" s="116"/>
      <c r="S279" s="117"/>
    </row>
    <row r="280" spans="1:19" s="168" customFormat="1" ht="18" customHeight="1" thickBot="1">
      <c r="A280" s="161"/>
      <c r="B280" s="158"/>
      <c r="C280" s="158"/>
      <c r="D280" s="158"/>
      <c r="E280" s="186"/>
      <c r="F280" s="158"/>
      <c r="G280" s="160"/>
      <c r="H280" s="208" t="s">
        <v>15</v>
      </c>
      <c r="I280" s="187"/>
      <c r="J280" s="163">
        <f>SUM(J279+J210)</f>
        <v>11906976</v>
      </c>
      <c r="K280" s="187"/>
      <c r="L280" s="163"/>
      <c r="M280" s="164">
        <f>SUM(M279+M210)</f>
        <v>710326</v>
      </c>
      <c r="N280" s="171"/>
      <c r="O280" s="165"/>
      <c r="P280" s="165"/>
      <c r="Q280" s="166"/>
      <c r="R280" s="166"/>
      <c r="S280" s="167"/>
    </row>
    <row r="281" spans="1:19" s="146" customFormat="1" ht="18" customHeight="1" thickTop="1">
      <c r="A281" s="1060"/>
      <c r="B281" s="1060"/>
      <c r="C281" s="1060"/>
      <c r="D281" s="1060"/>
      <c r="E281" s="1060"/>
      <c r="F281" s="1060"/>
      <c r="G281" s="155"/>
      <c r="H281" s="1060"/>
      <c r="I281" s="1060"/>
      <c r="J281" s="169"/>
      <c r="K281" s="152"/>
      <c r="L281" s="170"/>
      <c r="M281" s="171"/>
      <c r="N281" s="171"/>
      <c r="O281" s="115"/>
      <c r="P281" s="115"/>
      <c r="Q281" s="116"/>
      <c r="R281" s="116"/>
      <c r="S281" s="117"/>
    </row>
    <row r="282" spans="1:19" s="146" customFormat="1" ht="18" customHeight="1">
      <c r="A282" s="1060"/>
      <c r="B282" s="1060"/>
      <c r="C282" s="1060"/>
      <c r="D282" s="1060"/>
      <c r="E282" s="1060"/>
      <c r="F282" s="1060"/>
      <c r="G282" s="155"/>
      <c r="H282" s="155"/>
      <c r="I282" s="1060"/>
      <c r="J282" s="155"/>
      <c r="K282" s="152"/>
      <c r="L282" s="170"/>
      <c r="M282" s="170"/>
      <c r="N282" s="170"/>
      <c r="O282" s="115"/>
      <c r="P282" s="115"/>
      <c r="Q282" s="116"/>
      <c r="R282" s="116"/>
      <c r="S282" s="117"/>
    </row>
    <row r="283" spans="1:19" s="146" customFormat="1" ht="18" customHeight="1">
      <c r="A283" s="174"/>
      <c r="B283" s="174"/>
      <c r="C283" s="1053"/>
      <c r="D283" s="1053"/>
      <c r="E283" s="174"/>
      <c r="F283" s="174"/>
      <c r="G283" s="174"/>
      <c r="H283" s="174"/>
      <c r="I283" s="174"/>
      <c r="J283" s="174"/>
      <c r="K283" s="176"/>
      <c r="L283" s="175"/>
      <c r="M283" s="175"/>
      <c r="N283" s="175"/>
      <c r="O283" s="115"/>
      <c r="P283" s="115"/>
      <c r="Q283" s="116"/>
      <c r="R283" s="116"/>
      <c r="S283" s="117"/>
    </row>
    <row r="284" spans="1:19" s="146" customFormat="1" ht="18" customHeight="1">
      <c r="A284" s="173" t="s">
        <v>626</v>
      </c>
      <c r="B284" s="173"/>
      <c r="C284" s="1052"/>
      <c r="D284" s="1052"/>
      <c r="E284" s="174"/>
      <c r="F284" s="174"/>
      <c r="G284" s="174"/>
      <c r="H284" s="173" t="s">
        <v>627</v>
      </c>
      <c r="I284" s="174"/>
      <c r="K284" s="173" t="s">
        <v>258</v>
      </c>
      <c r="L284" s="175"/>
      <c r="M284" s="175"/>
      <c r="N284" s="175"/>
      <c r="O284" s="115"/>
      <c r="P284" s="115"/>
      <c r="Q284" s="116"/>
      <c r="R284" s="116"/>
      <c r="S284" s="117"/>
    </row>
    <row r="285" spans="1:19" s="146" customFormat="1" ht="18" customHeight="1">
      <c r="A285" s="174"/>
      <c r="B285" s="174"/>
      <c r="C285" s="1053"/>
      <c r="D285" s="1053"/>
      <c r="E285" s="174"/>
      <c r="F285" s="174"/>
      <c r="G285" s="174"/>
      <c r="H285" s="174"/>
      <c r="I285" s="174"/>
      <c r="J285" s="174"/>
      <c r="K285" s="176"/>
      <c r="L285" s="175"/>
      <c r="M285" s="175"/>
      <c r="N285" s="175"/>
      <c r="O285" s="115"/>
      <c r="P285" s="115"/>
      <c r="Q285" s="116"/>
      <c r="R285" s="116"/>
      <c r="S285" s="117"/>
    </row>
    <row r="286" spans="1:19" s="146" customFormat="1" ht="18" customHeight="1">
      <c r="A286" s="1310" t="s">
        <v>65</v>
      </c>
      <c r="B286" s="1310"/>
      <c r="C286" s="1310"/>
      <c r="D286" s="1310"/>
      <c r="E286" s="1310"/>
      <c r="F286" s="1310"/>
      <c r="G286" s="174"/>
      <c r="H286" s="1310" t="s">
        <v>17</v>
      </c>
      <c r="I286" s="1310"/>
      <c r="J286" s="174"/>
      <c r="K286" s="1310" t="s">
        <v>1454</v>
      </c>
      <c r="L286" s="1310"/>
      <c r="M286" s="1310"/>
      <c r="N286" s="1052"/>
      <c r="O286" s="115"/>
      <c r="P286" s="115"/>
      <c r="Q286" s="116"/>
      <c r="R286" s="116"/>
      <c r="S286" s="117"/>
    </row>
    <row r="287" spans="1:19" s="146" customFormat="1" ht="18" customHeight="1">
      <c r="A287" s="1294" t="s">
        <v>430</v>
      </c>
      <c r="B287" s="1294"/>
      <c r="C287" s="1294"/>
      <c r="D287" s="1294"/>
      <c r="E287" s="1294"/>
      <c r="F287" s="1294"/>
      <c r="G287" s="177"/>
      <c r="H287" s="1294" t="s">
        <v>18</v>
      </c>
      <c r="I287" s="1294"/>
      <c r="J287" s="1052"/>
      <c r="K287" s="1294" t="s">
        <v>14</v>
      </c>
      <c r="L287" s="1294"/>
      <c r="M287" s="1294"/>
      <c r="N287" s="1053"/>
      <c r="O287" s="115"/>
      <c r="P287" s="115"/>
      <c r="Q287" s="116"/>
      <c r="R287" s="116"/>
      <c r="S287" s="117"/>
    </row>
    <row r="288" spans="1:19" ht="18" customHeight="1">
      <c r="A288" s="111"/>
      <c r="B288" s="111"/>
      <c r="C288" s="1050"/>
      <c r="D288" s="1050"/>
      <c r="E288" s="1321"/>
      <c r="F288" s="1321"/>
      <c r="G288" s="1321"/>
      <c r="H288" s="1050"/>
      <c r="I288" s="1050"/>
      <c r="J288" s="1050"/>
      <c r="K288" s="1321"/>
      <c r="L288" s="1321"/>
      <c r="M288" s="1321"/>
      <c r="N288" s="1050"/>
    </row>
    <row r="289" spans="1:14" ht="18" customHeight="1">
      <c r="A289" s="111"/>
      <c r="B289" s="111"/>
      <c r="C289" s="1050"/>
      <c r="D289" s="1050"/>
      <c r="E289" s="1050"/>
      <c r="F289" s="1050"/>
      <c r="G289" s="1050"/>
      <c r="H289" s="1050"/>
      <c r="I289" s="1050"/>
      <c r="J289" s="1050"/>
      <c r="K289" s="1050"/>
      <c r="L289" s="1050"/>
      <c r="M289" s="1050"/>
      <c r="N289" s="1050"/>
    </row>
    <row r="290" spans="1:14" ht="18" customHeight="1">
      <c r="A290" s="111"/>
      <c r="B290" s="111"/>
      <c r="C290" s="1050"/>
      <c r="D290" s="1050"/>
      <c r="E290" s="1050"/>
      <c r="F290" s="1050"/>
      <c r="G290" s="1050"/>
      <c r="H290" s="1050"/>
      <c r="I290" s="1050"/>
      <c r="J290" s="1050"/>
      <c r="K290" s="1050"/>
      <c r="L290" s="1050"/>
      <c r="M290" s="1050"/>
      <c r="N290" s="1050"/>
    </row>
    <row r="291" spans="1:14" ht="18" customHeight="1">
      <c r="A291" s="111"/>
      <c r="B291" s="111"/>
      <c r="C291" s="1050"/>
      <c r="D291" s="1050"/>
      <c r="E291" s="1050"/>
      <c r="F291" s="1050"/>
      <c r="G291" s="1050"/>
      <c r="H291" s="1050"/>
      <c r="I291" s="1050"/>
      <c r="J291" s="1050"/>
      <c r="K291" s="1050"/>
      <c r="L291" s="1050"/>
      <c r="M291" s="1050"/>
      <c r="N291" s="1050"/>
    </row>
    <row r="292" spans="1:14" ht="18" customHeight="1">
      <c r="A292" s="111"/>
      <c r="B292" s="111"/>
      <c r="C292" s="1050"/>
      <c r="D292" s="1050"/>
      <c r="E292" s="1050"/>
      <c r="F292" s="1050"/>
      <c r="G292" s="1050"/>
      <c r="H292" s="1050"/>
      <c r="I292" s="1050"/>
      <c r="J292" s="1050"/>
      <c r="K292" s="1050"/>
      <c r="L292" s="1050"/>
      <c r="M292" s="1050"/>
      <c r="N292" s="1050"/>
    </row>
    <row r="293" spans="1:14" ht="18" customHeight="1">
      <c r="A293" s="111"/>
      <c r="B293" s="111"/>
      <c r="C293" s="1050"/>
      <c r="D293" s="1050"/>
      <c r="E293" s="1050"/>
      <c r="F293" s="1050"/>
      <c r="G293" s="1050"/>
      <c r="H293" s="1050"/>
      <c r="I293" s="1050"/>
      <c r="J293" s="1050"/>
      <c r="K293" s="1050"/>
      <c r="L293" s="1050"/>
      <c r="M293" s="1050"/>
      <c r="N293" s="1050"/>
    </row>
    <row r="294" spans="1:14" ht="18" customHeight="1">
      <c r="A294" s="111"/>
      <c r="B294" s="111"/>
      <c r="C294" s="1050"/>
      <c r="D294" s="1050"/>
      <c r="E294" s="1050"/>
      <c r="F294" s="1050"/>
      <c r="G294" s="1050"/>
      <c r="H294" s="1050"/>
      <c r="I294" s="1050"/>
      <c r="J294" s="1050"/>
      <c r="K294" s="1050"/>
      <c r="L294" s="1050"/>
      <c r="M294" s="1050"/>
      <c r="N294" s="1050"/>
    </row>
    <row r="295" spans="1:14" ht="18" customHeight="1">
      <c r="A295" s="111"/>
      <c r="B295" s="111"/>
      <c r="C295" s="1050"/>
      <c r="D295" s="1050"/>
      <c r="E295" s="1050"/>
      <c r="F295" s="1050"/>
      <c r="G295" s="1050"/>
      <c r="H295" s="1050"/>
      <c r="I295" s="1050"/>
      <c r="J295" s="1050"/>
      <c r="K295" s="1050"/>
      <c r="L295" s="1050"/>
      <c r="M295" s="1050"/>
      <c r="N295" s="1050"/>
    </row>
    <row r="296" spans="1:14" ht="18" customHeight="1">
      <c r="A296" s="111"/>
      <c r="B296" s="111"/>
      <c r="C296" s="1050"/>
      <c r="D296" s="1050"/>
      <c r="E296" s="1050"/>
      <c r="F296" s="1050"/>
      <c r="G296" s="1050"/>
      <c r="H296" s="1050"/>
      <c r="I296" s="1050"/>
      <c r="J296" s="1050"/>
      <c r="K296" s="1050"/>
      <c r="L296" s="1050"/>
      <c r="M296" s="1050"/>
      <c r="N296" s="1050"/>
    </row>
    <row r="297" spans="1:14" ht="18" customHeight="1">
      <c r="A297" s="111"/>
      <c r="B297" s="111"/>
      <c r="C297" s="1050"/>
      <c r="D297" s="1050"/>
      <c r="E297" s="1050"/>
      <c r="F297" s="1050"/>
      <c r="G297" s="1050"/>
      <c r="H297" s="1050"/>
      <c r="I297" s="1050"/>
      <c r="J297" s="1050"/>
      <c r="K297" s="1050"/>
      <c r="L297" s="1050"/>
      <c r="M297" s="1050"/>
      <c r="N297" s="1050"/>
    </row>
    <row r="298" spans="1:14" ht="18" customHeight="1">
      <c r="A298" s="111"/>
      <c r="B298" s="111"/>
      <c r="C298" s="1050"/>
      <c r="D298" s="1050"/>
      <c r="E298" s="1050"/>
      <c r="F298" s="1050"/>
      <c r="G298" s="1050"/>
      <c r="H298" s="1050"/>
      <c r="I298" s="1050"/>
      <c r="J298" s="1050"/>
      <c r="K298" s="1050"/>
      <c r="L298" s="1050"/>
      <c r="M298" s="1050"/>
      <c r="N298" s="1050"/>
    </row>
    <row r="299" spans="1:14" ht="18" customHeight="1">
      <c r="A299" s="111"/>
      <c r="B299" s="111"/>
      <c r="C299" s="1050"/>
      <c r="D299" s="1050"/>
      <c r="E299" s="1050"/>
      <c r="F299" s="1050"/>
      <c r="G299" s="1050"/>
      <c r="H299" s="1050"/>
      <c r="I299" s="1050"/>
      <c r="J299" s="1050"/>
      <c r="K299" s="1050"/>
      <c r="L299" s="1050"/>
      <c r="M299" s="1050"/>
      <c r="N299" s="1050"/>
    </row>
    <row r="300" spans="1:14" ht="18" customHeight="1">
      <c r="A300" s="111"/>
      <c r="B300" s="111"/>
      <c r="C300" s="1050"/>
      <c r="D300" s="1050"/>
      <c r="E300" s="1050"/>
      <c r="F300" s="1050"/>
      <c r="G300" s="1050"/>
      <c r="H300" s="1050"/>
      <c r="I300" s="1050"/>
      <c r="J300" s="1050"/>
      <c r="K300" s="1050"/>
      <c r="L300" s="1050"/>
      <c r="M300" s="1050"/>
      <c r="N300" s="1050"/>
    </row>
    <row r="301" spans="1:14" ht="18" customHeight="1">
      <c r="A301" s="111"/>
      <c r="B301" s="111"/>
      <c r="C301" s="1050"/>
      <c r="D301" s="1050"/>
      <c r="E301" s="1050"/>
      <c r="F301" s="1050"/>
      <c r="G301" s="1050"/>
      <c r="H301" s="1050"/>
      <c r="I301" s="1050"/>
      <c r="J301" s="1050"/>
      <c r="K301" s="1050"/>
      <c r="L301" s="1050"/>
      <c r="M301" s="1050"/>
      <c r="N301" s="1050"/>
    </row>
    <row r="302" spans="1:14" ht="18" customHeight="1">
      <c r="A302" s="111"/>
      <c r="B302" s="111"/>
      <c r="C302" s="1050"/>
      <c r="D302" s="1050"/>
      <c r="E302" s="1050"/>
      <c r="F302" s="1050"/>
      <c r="G302" s="1050"/>
      <c r="H302" s="1050"/>
      <c r="I302" s="1050"/>
      <c r="J302" s="1050"/>
      <c r="K302" s="1050"/>
      <c r="L302" s="1050"/>
      <c r="M302" s="1050"/>
      <c r="N302" s="1050"/>
    </row>
    <row r="303" spans="1:14" ht="18" customHeight="1">
      <c r="A303" s="111"/>
      <c r="B303" s="111"/>
      <c r="C303" s="1050"/>
      <c r="D303" s="1050"/>
      <c r="E303" s="1050"/>
      <c r="F303" s="1050"/>
      <c r="G303" s="1050"/>
      <c r="H303" s="1050"/>
      <c r="I303" s="1050"/>
      <c r="J303" s="1050"/>
      <c r="K303" s="1050"/>
      <c r="L303" s="1050"/>
      <c r="M303" s="1050"/>
      <c r="N303" s="1050"/>
    </row>
    <row r="304" spans="1:14" ht="18" customHeight="1">
      <c r="A304" s="111"/>
      <c r="B304" s="111"/>
      <c r="C304" s="1050"/>
      <c r="D304" s="1050"/>
      <c r="E304" s="1050"/>
      <c r="F304" s="1050"/>
      <c r="G304" s="1050"/>
      <c r="H304" s="1050"/>
      <c r="I304" s="1050"/>
      <c r="J304" s="1050"/>
      <c r="K304" s="1050"/>
      <c r="L304" s="1050"/>
      <c r="M304" s="1050"/>
      <c r="N304" s="1050"/>
    </row>
    <row r="305" spans="1:14" ht="18" customHeight="1">
      <c r="A305" s="111"/>
      <c r="B305" s="111"/>
      <c r="C305" s="1050"/>
      <c r="D305" s="1050"/>
      <c r="E305" s="1050"/>
      <c r="F305" s="1050"/>
      <c r="G305" s="1050"/>
      <c r="H305" s="1050"/>
      <c r="I305" s="1050"/>
      <c r="J305" s="1050"/>
      <c r="K305" s="1050"/>
      <c r="L305" s="1050"/>
      <c r="M305" s="1050"/>
      <c r="N305" s="1050"/>
    </row>
    <row r="306" spans="1:14" ht="18" customHeight="1">
      <c r="A306" s="111"/>
      <c r="B306" s="111"/>
      <c r="C306" s="1050"/>
      <c r="D306" s="1050"/>
      <c r="E306" s="1050"/>
      <c r="F306" s="1050"/>
      <c r="G306" s="1050"/>
      <c r="H306" s="1050"/>
      <c r="I306" s="1050"/>
      <c r="J306" s="1050"/>
      <c r="K306" s="1050"/>
      <c r="L306" s="1050"/>
      <c r="M306" s="1050"/>
      <c r="N306" s="1050"/>
    </row>
    <row r="307" spans="1:14" ht="18" customHeight="1">
      <c r="A307" s="111"/>
      <c r="B307" s="111"/>
      <c r="C307" s="1050"/>
      <c r="D307" s="1050"/>
      <c r="E307" s="1050"/>
      <c r="F307" s="1050"/>
      <c r="G307" s="1050"/>
      <c r="H307" s="1050"/>
      <c r="I307" s="1050"/>
      <c r="J307" s="1050"/>
      <c r="K307" s="1050"/>
      <c r="L307" s="1050"/>
      <c r="M307" s="1050"/>
      <c r="N307" s="1050"/>
    </row>
    <row r="308" spans="1:14" ht="18" customHeight="1">
      <c r="A308" s="111"/>
      <c r="B308" s="111"/>
      <c r="C308" s="1050"/>
      <c r="D308" s="1050"/>
      <c r="E308" s="1050"/>
      <c r="F308" s="1050"/>
      <c r="G308" s="1050"/>
      <c r="H308" s="1050"/>
      <c r="I308" s="1050"/>
      <c r="J308" s="1050"/>
      <c r="K308" s="1050"/>
      <c r="L308" s="1050"/>
      <c r="M308" s="1050"/>
      <c r="N308" s="1050"/>
    </row>
    <row r="309" spans="1:14" ht="18" customHeight="1">
      <c r="A309" s="111"/>
      <c r="B309" s="111"/>
      <c r="C309" s="1050"/>
      <c r="D309" s="1050"/>
      <c r="E309" s="1050"/>
      <c r="F309" s="1050"/>
      <c r="G309" s="1050"/>
      <c r="H309" s="1050"/>
      <c r="I309" s="1050"/>
      <c r="J309" s="1050"/>
      <c r="K309" s="1050"/>
      <c r="L309" s="1050"/>
      <c r="M309" s="1050"/>
      <c r="N309" s="1050"/>
    </row>
    <row r="310" spans="1:14" ht="18" customHeight="1">
      <c r="A310" s="111"/>
      <c r="B310" s="111"/>
      <c r="C310" s="1050"/>
      <c r="D310" s="1050"/>
      <c r="E310" s="1050"/>
      <c r="F310" s="1050"/>
      <c r="G310" s="1050"/>
      <c r="H310" s="1050"/>
      <c r="I310" s="1050"/>
      <c r="J310" s="1050"/>
      <c r="K310" s="1050"/>
      <c r="L310" s="1050"/>
      <c r="M310" s="1050"/>
      <c r="N310" s="1050"/>
    </row>
    <row r="311" spans="1:14" ht="18" customHeight="1">
      <c r="A311" s="111"/>
      <c r="B311" s="111"/>
      <c r="C311" s="1050"/>
      <c r="D311" s="1050"/>
      <c r="E311" s="1050"/>
      <c r="F311" s="1050"/>
      <c r="G311" s="1050"/>
      <c r="H311" s="1050"/>
      <c r="I311" s="1050"/>
      <c r="J311" s="1050"/>
      <c r="K311" s="1050"/>
      <c r="L311" s="1050"/>
      <c r="M311" s="1050"/>
      <c r="N311" s="1050"/>
    </row>
    <row r="312" spans="1:14" ht="18" customHeight="1">
      <c r="A312" s="111"/>
      <c r="B312" s="111"/>
      <c r="C312" s="1050"/>
      <c r="D312" s="1050"/>
      <c r="E312" s="1050"/>
      <c r="F312" s="1050"/>
      <c r="G312" s="1050"/>
      <c r="H312" s="1050"/>
      <c r="I312" s="1050"/>
      <c r="J312" s="1050"/>
      <c r="K312" s="1050"/>
      <c r="L312" s="1050"/>
      <c r="M312" s="1050"/>
      <c r="N312" s="1050"/>
    </row>
    <row r="313" spans="1:14" ht="18" customHeight="1"/>
    <row r="314" spans="1:14" ht="19.5" customHeight="1">
      <c r="A314" s="1263" t="s">
        <v>987</v>
      </c>
      <c r="B314" s="1263"/>
      <c r="C314" s="1263"/>
      <c r="D314" s="1263"/>
      <c r="E314" s="1263"/>
      <c r="F314" s="1263"/>
      <c r="G314" s="1263"/>
      <c r="H314" s="1263"/>
      <c r="I314" s="1263"/>
      <c r="J314" s="1263"/>
      <c r="K314" s="1263"/>
      <c r="L314" s="1263"/>
      <c r="M314" s="1263"/>
      <c r="N314" s="1058"/>
    </row>
    <row r="315" spans="1:14" ht="18" customHeight="1">
      <c r="A315" s="110"/>
      <c r="B315" s="110"/>
      <c r="C315" s="1057"/>
      <c r="D315" s="1057"/>
      <c r="E315" s="111"/>
      <c r="F315" s="111"/>
      <c r="G315" s="111"/>
      <c r="H315" s="111"/>
      <c r="I315" s="111"/>
      <c r="J315" s="111"/>
      <c r="K315" s="112"/>
      <c r="M315" s="114"/>
      <c r="N315" s="114"/>
    </row>
    <row r="316" spans="1:14" ht="18" customHeight="1">
      <c r="A316" s="1319" t="s">
        <v>1675</v>
      </c>
      <c r="B316" s="1319"/>
      <c r="C316" s="1319"/>
      <c r="D316" s="1319"/>
      <c r="E316" s="1319"/>
      <c r="F316" s="1319"/>
      <c r="G316" s="1319"/>
      <c r="H316" s="1319"/>
      <c r="I316" s="1319"/>
      <c r="J316" s="1319"/>
      <c r="K316" s="1319"/>
      <c r="L316" s="1319"/>
      <c r="M316" s="1319"/>
      <c r="N316" s="1048"/>
    </row>
    <row r="317" spans="1:14" ht="18" customHeight="1">
      <c r="A317" s="1320" t="s">
        <v>358</v>
      </c>
      <c r="B317" s="1320"/>
      <c r="C317" s="1320"/>
      <c r="D317" s="1320"/>
      <c r="E317" s="1320"/>
      <c r="F317" s="1320"/>
      <c r="G317" s="1320"/>
      <c r="H317" s="1320"/>
      <c r="I317" s="1320"/>
      <c r="J317" s="1320"/>
      <c r="K317" s="1320"/>
      <c r="L317" s="1320"/>
      <c r="M317" s="1320"/>
      <c r="N317" s="1049"/>
    </row>
    <row r="318" spans="1:14" ht="18" customHeight="1">
      <c r="A318" s="1321"/>
      <c r="B318" s="1321"/>
      <c r="C318" s="1321"/>
      <c r="D318" s="1321"/>
      <c r="E318" s="1321"/>
      <c r="F318" s="1321"/>
      <c r="G318" s="1321"/>
      <c r="H318" s="1321"/>
      <c r="I318" s="1321"/>
      <c r="J318" s="1321"/>
      <c r="K318" s="1321"/>
      <c r="L318" s="1321"/>
      <c r="M318" s="1321"/>
      <c r="N318" s="1050"/>
    </row>
    <row r="319" spans="1:14" ht="18" customHeight="1">
      <c r="A319" s="1050"/>
      <c r="B319" s="1050"/>
      <c r="C319" s="1050"/>
      <c r="D319" s="1050"/>
      <c r="E319" s="1050"/>
      <c r="F319" s="1050"/>
      <c r="G319" s="1050"/>
      <c r="H319" s="1050"/>
      <c r="I319" s="1050"/>
      <c r="J319" s="1050"/>
      <c r="K319" s="1050"/>
      <c r="L319" s="1050"/>
      <c r="M319" s="1050"/>
      <c r="N319" s="1050"/>
    </row>
    <row r="320" spans="1:14" ht="18" customHeight="1">
      <c r="A320" s="111" t="s">
        <v>450</v>
      </c>
      <c r="B320" s="111"/>
      <c r="C320" s="111" t="s">
        <v>448</v>
      </c>
      <c r="D320" s="111" t="s">
        <v>456</v>
      </c>
      <c r="E320" s="111"/>
      <c r="F320" s="111"/>
      <c r="G320" s="111"/>
      <c r="H320" s="1050"/>
      <c r="I320" s="1050"/>
      <c r="J320" s="1050"/>
      <c r="K320" s="1050"/>
      <c r="L320" s="1050"/>
      <c r="M320" s="1050"/>
      <c r="N320" s="1050"/>
    </row>
    <row r="321" spans="1:19" ht="18" customHeight="1">
      <c r="A321" s="111" t="s">
        <v>451</v>
      </c>
      <c r="B321" s="111"/>
      <c r="C321" s="111" t="s">
        <v>448</v>
      </c>
      <c r="D321" s="111" t="s">
        <v>457</v>
      </c>
      <c r="E321" s="111"/>
      <c r="F321" s="111"/>
      <c r="G321" s="111"/>
      <c r="H321" s="1050"/>
      <c r="I321" s="1050"/>
      <c r="J321" s="1050"/>
      <c r="K321" s="1050"/>
      <c r="L321" s="1050"/>
      <c r="M321" s="1050"/>
      <c r="N321" s="1050"/>
    </row>
    <row r="322" spans="1:19" ht="18" customHeight="1" thickBot="1">
      <c r="A322" s="111" t="s">
        <v>455</v>
      </c>
      <c r="B322" s="111"/>
      <c r="C322" s="111" t="s">
        <v>448</v>
      </c>
      <c r="D322" s="111" t="s">
        <v>674</v>
      </c>
      <c r="E322" s="111"/>
      <c r="F322" s="111"/>
      <c r="G322" s="111"/>
      <c r="H322" s="1050"/>
      <c r="I322" s="1050"/>
      <c r="J322" s="1050"/>
      <c r="K322" s="1050"/>
      <c r="L322" s="1050"/>
      <c r="M322" s="1050"/>
      <c r="N322" s="1050"/>
    </row>
    <row r="323" spans="1:19" ht="18" customHeight="1">
      <c r="A323" s="1322" t="s">
        <v>631</v>
      </c>
      <c r="B323" s="1323"/>
      <c r="C323" s="1323"/>
      <c r="D323" s="1323"/>
      <c r="E323" s="1324"/>
      <c r="F323" s="1323"/>
      <c r="G323" s="1325"/>
      <c r="H323" s="121"/>
      <c r="I323" s="1326" t="s">
        <v>635</v>
      </c>
      <c r="J323" s="1327"/>
      <c r="K323" s="1326" t="s">
        <v>635</v>
      </c>
      <c r="L323" s="1327"/>
      <c r="M323" s="122"/>
      <c r="N323" s="1012"/>
      <c r="O323" s="180"/>
    </row>
    <row r="324" spans="1:19" ht="18" customHeight="1">
      <c r="A324" s="123" t="s">
        <v>632</v>
      </c>
      <c r="B324" s="1311" t="s">
        <v>633</v>
      </c>
      <c r="C324" s="1312"/>
      <c r="D324" s="1313"/>
      <c r="E324" s="1314" t="s">
        <v>44</v>
      </c>
      <c r="F324" s="1315"/>
      <c r="G324" s="1316"/>
      <c r="H324" s="1054" t="s">
        <v>45</v>
      </c>
      <c r="I324" s="1314" t="s">
        <v>1502</v>
      </c>
      <c r="J324" s="1316"/>
      <c r="K324" s="1315" t="s">
        <v>1676</v>
      </c>
      <c r="L324" s="1316"/>
      <c r="M324" s="124" t="s">
        <v>46</v>
      </c>
      <c r="N324" s="1013"/>
      <c r="O324" s="180"/>
    </row>
    <row r="325" spans="1:19" ht="18" customHeight="1">
      <c r="A325" s="125"/>
      <c r="B325" s="1054"/>
      <c r="C325" s="1055"/>
      <c r="D325" s="1055"/>
      <c r="E325" s="1054"/>
      <c r="F325" s="1055"/>
      <c r="G325" s="1056"/>
      <c r="H325" s="1054" t="s">
        <v>47</v>
      </c>
      <c r="I325" s="1317"/>
      <c r="J325" s="1318"/>
      <c r="K325" s="1317"/>
      <c r="L325" s="1318"/>
      <c r="M325" s="124" t="s">
        <v>48</v>
      </c>
      <c r="N325" s="1013"/>
      <c r="O325" s="180"/>
    </row>
    <row r="326" spans="1:19" ht="18" customHeight="1">
      <c r="A326" s="125"/>
      <c r="B326" s="1054"/>
      <c r="C326" s="1055"/>
      <c r="D326" s="1055"/>
      <c r="E326" s="1054"/>
      <c r="F326" s="1055"/>
      <c r="G326" s="126"/>
      <c r="H326" s="127"/>
      <c r="I326" s="128" t="s">
        <v>634</v>
      </c>
      <c r="J326" s="129" t="s">
        <v>49</v>
      </c>
      <c r="K326" s="128" t="s">
        <v>634</v>
      </c>
      <c r="L326" s="129" t="s">
        <v>49</v>
      </c>
      <c r="M326" s="124"/>
      <c r="N326" s="120" t="s">
        <v>1628</v>
      </c>
      <c r="O326" s="180"/>
    </row>
    <row r="327" spans="1:19" ht="18" customHeight="1" thickBot="1">
      <c r="A327" s="130"/>
      <c r="B327" s="1307"/>
      <c r="C327" s="1308"/>
      <c r="D327" s="1309"/>
      <c r="E327" s="1307"/>
      <c r="F327" s="1308"/>
      <c r="G327" s="1309"/>
      <c r="H327" s="131"/>
      <c r="I327" s="131"/>
      <c r="J327" s="131"/>
      <c r="K327" s="131"/>
      <c r="L327" s="131"/>
      <c r="M327" s="132"/>
      <c r="N327" s="1019" t="s">
        <v>1629</v>
      </c>
    </row>
    <row r="328" spans="1:19" s="146" customFormat="1" ht="18" customHeight="1">
      <c r="A328" s="183"/>
      <c r="B328" s="1060"/>
      <c r="C328" s="1060"/>
      <c r="D328" s="1060"/>
      <c r="E328" s="1059"/>
      <c r="F328" s="1060"/>
      <c r="G328" s="140"/>
      <c r="H328" s="141"/>
      <c r="I328" s="210"/>
      <c r="J328" s="211"/>
      <c r="K328" s="210"/>
      <c r="L328" s="211"/>
      <c r="M328" s="143"/>
      <c r="N328" s="170"/>
      <c r="O328" s="115"/>
      <c r="P328" s="115"/>
      <c r="Q328" s="116"/>
      <c r="R328" s="116"/>
      <c r="S328" s="117"/>
    </row>
    <row r="329" spans="1:19" s="146" customFormat="1" ht="18" customHeight="1">
      <c r="A329" s="183">
        <v>1</v>
      </c>
      <c r="B329" s="1060"/>
      <c r="C329" s="1060"/>
      <c r="D329" s="1060"/>
      <c r="E329" s="154" t="s">
        <v>77</v>
      </c>
      <c r="F329" s="1060"/>
      <c r="G329" s="140"/>
      <c r="H329" s="141" t="s">
        <v>52</v>
      </c>
      <c r="I329" s="184" t="s">
        <v>248</v>
      </c>
      <c r="J329" s="211">
        <v>913884</v>
      </c>
      <c r="K329" s="184" t="s">
        <v>248</v>
      </c>
      <c r="L329" s="211">
        <v>931464</v>
      </c>
      <c r="M329" s="144">
        <f>L329-J329</f>
        <v>17580</v>
      </c>
      <c r="N329" s="1015">
        <f>L329/12</f>
        <v>77622</v>
      </c>
      <c r="O329" s="115">
        <f>L329-J329</f>
        <v>17580</v>
      </c>
      <c r="P329" s="115">
        <f>O329-M329</f>
        <v>0</v>
      </c>
      <c r="Q329" s="116">
        <v>63237</v>
      </c>
      <c r="R329" s="116">
        <f>Q329*12</f>
        <v>758844</v>
      </c>
      <c r="S329" s="145">
        <f>R329-L329</f>
        <v>-172620</v>
      </c>
    </row>
    <row r="330" spans="1:19" s="146" customFormat="1" ht="18" customHeight="1">
      <c r="A330" s="183"/>
      <c r="B330" s="1060"/>
      <c r="C330" s="1060"/>
      <c r="D330" s="1060"/>
      <c r="E330" s="154" t="s">
        <v>1574</v>
      </c>
      <c r="F330" s="1060"/>
      <c r="G330" s="140"/>
      <c r="H330" s="141"/>
      <c r="I330" s="184"/>
      <c r="J330" s="211"/>
      <c r="K330" s="184"/>
      <c r="L330" s="211"/>
      <c r="M330" s="144"/>
      <c r="N330" s="1015"/>
      <c r="O330" s="115"/>
      <c r="P330" s="115"/>
      <c r="Q330" s="116"/>
      <c r="R330" s="116"/>
      <c r="S330" s="145"/>
    </row>
    <row r="331" spans="1:19" s="146" customFormat="1" ht="18" customHeight="1">
      <c r="A331" s="183"/>
      <c r="B331" s="1060"/>
      <c r="C331" s="1060"/>
      <c r="D331" s="1060"/>
      <c r="E331" s="154"/>
      <c r="F331" s="1060"/>
      <c r="G331" s="140"/>
      <c r="H331" s="141"/>
      <c r="I331" s="184"/>
      <c r="J331" s="212"/>
      <c r="K331" s="184"/>
      <c r="L331" s="212"/>
      <c r="M331" s="144"/>
      <c r="N331" s="1015"/>
      <c r="O331" s="115"/>
      <c r="P331" s="115"/>
      <c r="Q331" s="116"/>
      <c r="R331" s="116"/>
      <c r="S331" s="117"/>
    </row>
    <row r="332" spans="1:19" s="146" customFormat="1" ht="18" customHeight="1">
      <c r="A332" s="183"/>
      <c r="B332" s="1060"/>
      <c r="C332" s="1060"/>
      <c r="D332" s="1060"/>
      <c r="E332" s="154"/>
      <c r="F332" s="1060"/>
      <c r="G332" s="140"/>
      <c r="H332" s="141"/>
      <c r="I332" s="184"/>
      <c r="J332" s="212"/>
      <c r="K332" s="184"/>
      <c r="L332" s="212"/>
      <c r="M332" s="144"/>
      <c r="N332" s="1015"/>
      <c r="O332" s="115"/>
      <c r="P332" s="115"/>
      <c r="Q332" s="116"/>
      <c r="R332" s="116"/>
      <c r="S332" s="117"/>
    </row>
    <row r="333" spans="1:19" s="146" customFormat="1" ht="18" customHeight="1">
      <c r="A333" s="183"/>
      <c r="B333" s="1060"/>
      <c r="C333" s="1060"/>
      <c r="D333" s="1060"/>
      <c r="E333" s="154"/>
      <c r="F333" s="1060"/>
      <c r="G333" s="140"/>
      <c r="H333" s="141"/>
      <c r="I333" s="185"/>
      <c r="J333" s="211"/>
      <c r="K333" s="185"/>
      <c r="L333" s="211"/>
      <c r="M333" s="143"/>
      <c r="N333" s="170"/>
      <c r="O333" s="115"/>
      <c r="P333" s="115"/>
      <c r="Q333" s="116"/>
      <c r="R333" s="116"/>
      <c r="S333" s="117"/>
    </row>
    <row r="334" spans="1:19" s="146" customFormat="1" ht="18" customHeight="1">
      <c r="A334" s="183">
        <v>2</v>
      </c>
      <c r="B334" s="1060"/>
      <c r="C334" s="1060"/>
      <c r="D334" s="1060"/>
      <c r="E334" s="154" t="s">
        <v>1709</v>
      </c>
      <c r="F334" s="1060"/>
      <c r="G334" s="140"/>
      <c r="H334" s="141"/>
      <c r="I334" s="184" t="s">
        <v>243</v>
      </c>
      <c r="J334" s="211">
        <v>165240</v>
      </c>
      <c r="K334" s="184" t="s">
        <v>273</v>
      </c>
      <c r="L334" s="1063" t="s">
        <v>1710</v>
      </c>
      <c r="M334" s="144">
        <v>-165240</v>
      </c>
      <c r="N334" s="1015"/>
      <c r="O334" s="115"/>
      <c r="P334" s="115"/>
      <c r="Q334" s="116"/>
      <c r="R334" s="116">
        <f>Q334*12</f>
        <v>0</v>
      </c>
      <c r="S334" s="145" t="e">
        <f>R334-L334</f>
        <v>#VALUE!</v>
      </c>
    </row>
    <row r="335" spans="1:19" s="146" customFormat="1" ht="18" customHeight="1">
      <c r="A335" s="183"/>
      <c r="B335" s="1060"/>
      <c r="C335" s="1060"/>
      <c r="D335" s="1060"/>
      <c r="E335" s="154"/>
      <c r="F335" s="1060"/>
      <c r="G335" s="140"/>
      <c r="H335" s="141"/>
      <c r="I335" s="184"/>
      <c r="J335" s="211"/>
      <c r="K335" s="184"/>
      <c r="L335" s="211"/>
      <c r="M335" s="144"/>
      <c r="N335" s="1015"/>
      <c r="O335" s="115"/>
      <c r="P335" s="115"/>
      <c r="Q335" s="116"/>
      <c r="R335" s="116"/>
      <c r="S335" s="117"/>
    </row>
    <row r="336" spans="1:19" s="146" customFormat="1" ht="18" customHeight="1">
      <c r="A336" s="183"/>
      <c r="B336" s="1060"/>
      <c r="C336" s="1060"/>
      <c r="D336" s="1060"/>
      <c r="E336" s="154"/>
      <c r="F336" s="1060"/>
      <c r="G336" s="140"/>
      <c r="H336" s="141"/>
      <c r="I336" s="184"/>
      <c r="J336" s="211"/>
      <c r="K336" s="184"/>
      <c r="L336" s="211"/>
      <c r="M336" s="144"/>
      <c r="N336" s="1015"/>
      <c r="O336" s="115"/>
      <c r="P336" s="115"/>
      <c r="Q336" s="116"/>
      <c r="R336" s="116"/>
      <c r="S336" s="117"/>
    </row>
    <row r="337" spans="1:19" s="146" customFormat="1" ht="18" customHeight="1">
      <c r="A337" s="183"/>
      <c r="B337" s="1060"/>
      <c r="C337" s="1060"/>
      <c r="D337" s="1060"/>
      <c r="E337" s="154"/>
      <c r="F337" s="1060"/>
      <c r="G337" s="140"/>
      <c r="H337" s="141"/>
      <c r="I337" s="185"/>
      <c r="J337" s="211"/>
      <c r="K337" s="185"/>
      <c r="L337" s="211"/>
      <c r="M337" s="143"/>
      <c r="N337" s="170"/>
      <c r="O337" s="115"/>
      <c r="P337" s="115"/>
      <c r="Q337" s="116"/>
      <c r="R337" s="116"/>
      <c r="S337" s="117"/>
    </row>
    <row r="338" spans="1:19" s="146" customFormat="1" ht="18" customHeight="1">
      <c r="A338" s="183">
        <v>3</v>
      </c>
      <c r="B338" s="1060"/>
      <c r="C338" s="1060"/>
      <c r="D338" s="1060"/>
      <c r="E338" s="154" t="s">
        <v>54</v>
      </c>
      <c r="F338" s="1060"/>
      <c r="G338" s="140"/>
      <c r="H338" s="141" t="s">
        <v>104</v>
      </c>
      <c r="I338" s="184" t="s">
        <v>109</v>
      </c>
      <c r="J338" s="211">
        <v>148008</v>
      </c>
      <c r="K338" s="184" t="s">
        <v>56</v>
      </c>
      <c r="L338" s="211">
        <v>152928</v>
      </c>
      <c r="M338" s="144">
        <f>L338-J338</f>
        <v>4920</v>
      </c>
      <c r="N338" s="1015">
        <f>L338/12</f>
        <v>12744</v>
      </c>
      <c r="O338" s="115">
        <f>L338-J338</f>
        <v>4920</v>
      </c>
      <c r="P338" s="115">
        <f>O338-M338</f>
        <v>0</v>
      </c>
      <c r="Q338" s="116">
        <v>10773</v>
      </c>
      <c r="R338" s="116">
        <f>Q338*12</f>
        <v>129276</v>
      </c>
      <c r="S338" s="145">
        <f>R338-L338</f>
        <v>-23652</v>
      </c>
    </row>
    <row r="339" spans="1:19" s="146" customFormat="1" ht="18" customHeight="1">
      <c r="A339" s="183"/>
      <c r="B339" s="1060"/>
      <c r="C339" s="1060"/>
      <c r="D339" s="1060"/>
      <c r="E339" s="154"/>
      <c r="F339" s="1060"/>
      <c r="G339" s="140"/>
      <c r="H339" s="141"/>
      <c r="I339" s="184"/>
      <c r="J339" s="211"/>
      <c r="K339" s="184"/>
      <c r="L339" s="211"/>
      <c r="M339" s="144"/>
      <c r="N339" s="1015"/>
      <c r="O339" s="115"/>
      <c r="P339" s="115"/>
      <c r="Q339" s="116"/>
      <c r="R339" s="116"/>
      <c r="S339" s="145"/>
    </row>
    <row r="340" spans="1:19" s="146" customFormat="1" ht="18" customHeight="1">
      <c r="A340" s="183"/>
      <c r="B340" s="1060"/>
      <c r="C340" s="1060"/>
      <c r="D340" s="1060"/>
      <c r="E340" s="1059"/>
      <c r="F340" s="1060"/>
      <c r="G340" s="140"/>
      <c r="H340" s="141"/>
      <c r="I340" s="185"/>
      <c r="J340" s="212"/>
      <c r="K340" s="185"/>
      <c r="L340" s="212"/>
      <c r="M340" s="143"/>
      <c r="N340" s="170"/>
      <c r="O340" s="115"/>
      <c r="P340" s="115"/>
      <c r="Q340" s="116"/>
      <c r="R340" s="116"/>
      <c r="S340" s="117"/>
    </row>
    <row r="341" spans="1:19" s="146" customFormat="1" ht="18" customHeight="1">
      <c r="A341" s="183"/>
      <c r="B341" s="1060"/>
      <c r="C341" s="1060"/>
      <c r="D341" s="1060"/>
      <c r="E341" s="1059"/>
      <c r="F341" s="1060"/>
      <c r="G341" s="140"/>
      <c r="H341" s="141"/>
      <c r="I341" s="142"/>
      <c r="J341" s="143"/>
      <c r="K341" s="142"/>
      <c r="L341" s="143"/>
      <c r="M341" s="143"/>
      <c r="N341" s="170"/>
      <c r="O341" s="115"/>
      <c r="P341" s="115"/>
      <c r="Q341" s="116"/>
      <c r="R341" s="116"/>
      <c r="S341" s="117"/>
    </row>
    <row r="342" spans="1:19" s="146" customFormat="1" ht="18" customHeight="1">
      <c r="A342" s="183">
        <v>4</v>
      </c>
      <c r="B342" s="1328"/>
      <c r="C342" s="1329"/>
      <c r="D342" s="1330"/>
      <c r="E342" s="154" t="s">
        <v>1573</v>
      </c>
      <c r="F342" s="1060"/>
      <c r="G342" s="140"/>
      <c r="H342" s="141" t="s">
        <v>998</v>
      </c>
      <c r="I342" s="184" t="s">
        <v>392</v>
      </c>
      <c r="J342" s="211">
        <v>243540</v>
      </c>
      <c r="K342" s="184" t="s">
        <v>392</v>
      </c>
      <c r="L342" s="211">
        <v>259476</v>
      </c>
      <c r="M342" s="144">
        <f>L342-J342</f>
        <v>15936</v>
      </c>
      <c r="N342" s="1015">
        <f>L342/12</f>
        <v>21623</v>
      </c>
      <c r="O342" s="115">
        <f>L342-J342</f>
        <v>15936</v>
      </c>
      <c r="P342" s="115">
        <f>O342-M342</f>
        <v>0</v>
      </c>
      <c r="Q342" s="116">
        <v>10773</v>
      </c>
      <c r="R342" s="116">
        <f>Q342*12</f>
        <v>129276</v>
      </c>
      <c r="S342" s="145">
        <f>R342-L342</f>
        <v>-130200</v>
      </c>
    </row>
    <row r="343" spans="1:19" s="146" customFormat="1" ht="18" customHeight="1">
      <c r="A343" s="183"/>
      <c r="B343" s="1060"/>
      <c r="C343" s="1060"/>
      <c r="D343" s="1060"/>
      <c r="E343" s="1059"/>
      <c r="F343" s="1060"/>
      <c r="G343" s="140"/>
      <c r="H343" s="141"/>
      <c r="I343" s="142"/>
      <c r="J343" s="143"/>
      <c r="K343" s="142"/>
      <c r="L343" s="143"/>
      <c r="M343" s="143"/>
      <c r="N343" s="170"/>
      <c r="O343" s="115"/>
      <c r="P343" s="115"/>
      <c r="Q343" s="116"/>
      <c r="R343" s="116"/>
      <c r="S343" s="117"/>
    </row>
    <row r="344" spans="1:19" s="146" customFormat="1" ht="18" customHeight="1">
      <c r="A344" s="183"/>
      <c r="B344" s="1060"/>
      <c r="C344" s="1060"/>
      <c r="D344" s="1060"/>
      <c r="E344" s="1059"/>
      <c r="F344" s="1060"/>
      <c r="G344" s="140"/>
      <c r="H344" s="141"/>
      <c r="I344" s="142"/>
      <c r="J344" s="143"/>
      <c r="K344" s="142"/>
      <c r="L344" s="143"/>
      <c r="M344" s="143"/>
      <c r="N344" s="170"/>
      <c r="O344" s="115"/>
      <c r="P344" s="115"/>
      <c r="Q344" s="116"/>
      <c r="R344" s="116"/>
      <c r="S344" s="117"/>
    </row>
    <row r="345" spans="1:19" s="146" customFormat="1" ht="18" customHeight="1">
      <c r="A345" s="183"/>
      <c r="B345" s="1060"/>
      <c r="C345" s="1060"/>
      <c r="D345" s="1060"/>
      <c r="E345" s="1059"/>
      <c r="F345" s="1060"/>
      <c r="G345" s="140"/>
      <c r="H345" s="141"/>
      <c r="I345" s="142"/>
      <c r="J345" s="143"/>
      <c r="K345" s="142"/>
      <c r="L345" s="143"/>
      <c r="M345" s="143"/>
      <c r="N345" s="170"/>
      <c r="O345" s="115"/>
      <c r="P345" s="115"/>
      <c r="Q345" s="116"/>
      <c r="R345" s="116"/>
      <c r="S345" s="117"/>
    </row>
    <row r="346" spans="1:19" s="146" customFormat="1" ht="18" customHeight="1">
      <c r="A346" s="183"/>
      <c r="B346" s="1060"/>
      <c r="C346" s="1060"/>
      <c r="D346" s="1060"/>
      <c r="E346" s="1059"/>
      <c r="F346" s="1060"/>
      <c r="G346" s="140"/>
      <c r="H346" s="141"/>
      <c r="I346" s="142"/>
      <c r="J346" s="143"/>
      <c r="K346" s="142"/>
      <c r="L346" s="143"/>
      <c r="M346" s="143"/>
      <c r="N346" s="170"/>
      <c r="O346" s="115"/>
      <c r="P346" s="115"/>
      <c r="Q346" s="116"/>
      <c r="R346" s="116"/>
      <c r="S346" s="117"/>
    </row>
    <row r="347" spans="1:19" s="146" customFormat="1" ht="18" customHeight="1">
      <c r="A347" s="183"/>
      <c r="B347" s="1060"/>
      <c r="C347" s="1060"/>
      <c r="D347" s="1060"/>
      <c r="E347" s="1059"/>
      <c r="F347" s="1060"/>
      <c r="G347" s="140"/>
      <c r="H347" s="141"/>
      <c r="I347" s="142"/>
      <c r="J347" s="143"/>
      <c r="K347" s="142"/>
      <c r="L347" s="143"/>
      <c r="M347" s="143"/>
      <c r="N347" s="170"/>
      <c r="O347" s="115"/>
      <c r="P347" s="115"/>
      <c r="Q347" s="116"/>
      <c r="R347" s="116"/>
      <c r="S347" s="117"/>
    </row>
    <row r="348" spans="1:19" s="146" customFormat="1" ht="18" customHeight="1">
      <c r="A348" s="183"/>
      <c r="B348" s="1060"/>
      <c r="C348" s="1060"/>
      <c r="D348" s="1060"/>
      <c r="E348" s="1059"/>
      <c r="F348" s="1060"/>
      <c r="G348" s="140"/>
      <c r="H348" s="141"/>
      <c r="I348" s="210"/>
      <c r="J348" s="143"/>
      <c r="K348" s="210"/>
      <c r="L348" s="143"/>
      <c r="M348" s="143"/>
      <c r="N348" s="170"/>
      <c r="O348" s="115"/>
      <c r="P348" s="115"/>
      <c r="Q348" s="116"/>
      <c r="R348" s="116"/>
      <c r="S348" s="117"/>
    </row>
    <row r="349" spans="1:19" s="146" customFormat="1" ht="18" customHeight="1">
      <c r="A349" s="183"/>
      <c r="B349" s="1060"/>
      <c r="C349" s="1060"/>
      <c r="D349" s="1060"/>
      <c r="E349" s="1059"/>
      <c r="F349" s="1060"/>
      <c r="G349" s="140"/>
      <c r="H349" s="141"/>
      <c r="I349" s="210"/>
      <c r="J349" s="143"/>
      <c r="K349" s="210"/>
      <c r="L349" s="143"/>
      <c r="M349" s="143"/>
      <c r="N349" s="170"/>
      <c r="O349" s="115"/>
      <c r="P349" s="115"/>
      <c r="Q349" s="116"/>
      <c r="R349" s="116"/>
      <c r="S349" s="117"/>
    </row>
    <row r="350" spans="1:19" s="146" customFormat="1" ht="18" customHeight="1">
      <c r="A350" s="183"/>
      <c r="B350" s="1060"/>
      <c r="C350" s="1060"/>
      <c r="D350" s="1060"/>
      <c r="E350" s="1059"/>
      <c r="F350" s="1060"/>
      <c r="G350" s="140"/>
      <c r="H350" s="141"/>
      <c r="I350" s="210"/>
      <c r="J350" s="143"/>
      <c r="K350" s="210"/>
      <c r="L350" s="143"/>
      <c r="M350" s="143"/>
      <c r="N350" s="170"/>
      <c r="O350" s="115"/>
      <c r="P350" s="115"/>
      <c r="Q350" s="116"/>
      <c r="R350" s="116"/>
      <c r="S350" s="117"/>
    </row>
    <row r="351" spans="1:19" s="146" customFormat="1" ht="18" customHeight="1">
      <c r="A351" s="183"/>
      <c r="B351" s="1060"/>
      <c r="C351" s="1060"/>
      <c r="D351" s="1060"/>
      <c r="E351" s="1059"/>
      <c r="F351" s="1060"/>
      <c r="G351" s="140"/>
      <c r="H351" s="141"/>
      <c r="I351" s="210"/>
      <c r="J351" s="143"/>
      <c r="K351" s="210"/>
      <c r="L351" s="143"/>
      <c r="M351" s="143"/>
      <c r="N351" s="170"/>
      <c r="O351" s="115"/>
      <c r="P351" s="115"/>
      <c r="Q351" s="116"/>
      <c r="R351" s="116"/>
      <c r="S351" s="117"/>
    </row>
    <row r="352" spans="1:19" s="146" customFormat="1" ht="18" customHeight="1">
      <c r="A352" s="183"/>
      <c r="B352" s="1060"/>
      <c r="C352" s="1060"/>
      <c r="D352" s="1060"/>
      <c r="E352" s="1059"/>
      <c r="F352" s="1060"/>
      <c r="G352" s="140"/>
      <c r="H352" s="141"/>
      <c r="I352" s="210"/>
      <c r="J352" s="143"/>
      <c r="K352" s="210"/>
      <c r="L352" s="143"/>
      <c r="M352" s="143"/>
      <c r="N352" s="170"/>
      <c r="O352" s="115"/>
      <c r="P352" s="115"/>
      <c r="Q352" s="116"/>
      <c r="R352" s="116"/>
      <c r="S352" s="117"/>
    </row>
    <row r="353" spans="1:19" s="146" customFormat="1" ht="18" customHeight="1">
      <c r="A353" s="183"/>
      <c r="B353" s="1060"/>
      <c r="C353" s="1060"/>
      <c r="D353" s="1060"/>
      <c r="E353" s="1059"/>
      <c r="F353" s="1060"/>
      <c r="G353" s="140"/>
      <c r="H353" s="141"/>
      <c r="I353" s="210"/>
      <c r="J353" s="143"/>
      <c r="K353" s="210"/>
      <c r="L353" s="143"/>
      <c r="M353" s="143"/>
      <c r="N353" s="170"/>
      <c r="O353" s="115"/>
      <c r="P353" s="115"/>
      <c r="Q353" s="116"/>
      <c r="R353" s="116"/>
      <c r="S353" s="117"/>
    </row>
    <row r="354" spans="1:19" s="146" customFormat="1" ht="18" customHeight="1">
      <c r="A354" s="183"/>
      <c r="B354" s="1060"/>
      <c r="C354" s="1060"/>
      <c r="D354" s="1060"/>
      <c r="E354" s="1059"/>
      <c r="F354" s="1060"/>
      <c r="G354" s="140"/>
      <c r="H354" s="141"/>
      <c r="I354" s="210"/>
      <c r="J354" s="143"/>
      <c r="K354" s="210"/>
      <c r="L354" s="143"/>
      <c r="M354" s="143"/>
      <c r="N354" s="170"/>
      <c r="O354" s="115"/>
      <c r="P354" s="115"/>
      <c r="Q354" s="116"/>
      <c r="R354" s="116"/>
      <c r="S354" s="117"/>
    </row>
    <row r="355" spans="1:19" s="146" customFormat="1" ht="18" customHeight="1">
      <c r="A355" s="183"/>
      <c r="B355" s="1060"/>
      <c r="C355" s="1060"/>
      <c r="D355" s="1060"/>
      <c r="E355" s="1059"/>
      <c r="F355" s="1060"/>
      <c r="G355" s="140"/>
      <c r="H355" s="141"/>
      <c r="I355" s="210"/>
      <c r="J355" s="143"/>
      <c r="K355" s="210"/>
      <c r="L355" s="143"/>
      <c r="M355" s="143"/>
      <c r="N355" s="170"/>
      <c r="O355" s="115"/>
      <c r="P355" s="115"/>
      <c r="Q355" s="116"/>
      <c r="R355" s="116"/>
      <c r="S355" s="117"/>
    </row>
    <row r="356" spans="1:19" s="146" customFormat="1" ht="18" customHeight="1">
      <c r="A356" s="183"/>
      <c r="B356" s="1060"/>
      <c r="C356" s="1060"/>
      <c r="D356" s="1060"/>
      <c r="E356" s="1059"/>
      <c r="F356" s="1060"/>
      <c r="G356" s="140"/>
      <c r="H356" s="141"/>
      <c r="I356" s="210"/>
      <c r="J356" s="143"/>
      <c r="K356" s="210"/>
      <c r="L356" s="143"/>
      <c r="M356" s="143"/>
      <c r="N356" s="170"/>
      <c r="O356" s="115"/>
      <c r="P356" s="115"/>
      <c r="Q356" s="116"/>
      <c r="R356" s="116"/>
      <c r="S356" s="117"/>
    </row>
    <row r="357" spans="1:19" s="146" customFormat="1" ht="18" customHeight="1">
      <c r="A357" s="183"/>
      <c r="B357" s="1060"/>
      <c r="C357" s="1060"/>
      <c r="D357" s="1060"/>
      <c r="E357" s="1059"/>
      <c r="F357" s="1060"/>
      <c r="G357" s="140"/>
      <c r="H357" s="141"/>
      <c r="I357" s="210"/>
      <c r="J357" s="143"/>
      <c r="K357" s="210"/>
      <c r="L357" s="143"/>
      <c r="M357" s="143"/>
      <c r="N357" s="170"/>
      <c r="O357" s="115"/>
      <c r="P357" s="115"/>
      <c r="Q357" s="116"/>
      <c r="R357" s="116"/>
      <c r="S357" s="117"/>
    </row>
    <row r="358" spans="1:19" s="146" customFormat="1" ht="18" customHeight="1">
      <c r="A358" s="183"/>
      <c r="B358" s="1060"/>
      <c r="C358" s="1060"/>
      <c r="D358" s="1060"/>
      <c r="E358" s="1059"/>
      <c r="F358" s="1060"/>
      <c r="G358" s="140"/>
      <c r="H358" s="141"/>
      <c r="I358" s="210"/>
      <c r="J358" s="143"/>
      <c r="K358" s="210"/>
      <c r="L358" s="143"/>
      <c r="M358" s="143"/>
      <c r="N358" s="170"/>
      <c r="O358" s="115"/>
      <c r="P358" s="115"/>
      <c r="Q358" s="116"/>
      <c r="R358" s="116"/>
      <c r="S358" s="117"/>
    </row>
    <row r="359" spans="1:19" s="146" customFormat="1" ht="18" customHeight="1">
      <c r="A359" s="141"/>
      <c r="B359" s="155"/>
      <c r="C359" s="1060"/>
      <c r="D359" s="1060"/>
      <c r="E359" s="154"/>
      <c r="F359" s="155"/>
      <c r="G359" s="140"/>
      <c r="H359" s="141"/>
      <c r="I359" s="210"/>
      <c r="J359" s="143"/>
      <c r="K359" s="210"/>
      <c r="L359" s="143"/>
      <c r="M359" s="143"/>
      <c r="N359" s="170"/>
      <c r="O359" s="115"/>
      <c r="P359" s="115"/>
      <c r="Q359" s="116"/>
      <c r="R359" s="116"/>
      <c r="S359" s="117"/>
    </row>
    <row r="360" spans="1:19" s="146" customFormat="1" ht="18" customHeight="1">
      <c r="A360" s="141"/>
      <c r="B360" s="155"/>
      <c r="C360" s="1060"/>
      <c r="D360" s="1060"/>
      <c r="E360" s="154"/>
      <c r="F360" s="155"/>
      <c r="G360" s="140"/>
      <c r="H360" s="141"/>
      <c r="I360" s="210"/>
      <c r="J360" s="143"/>
      <c r="K360" s="210"/>
      <c r="L360" s="143"/>
      <c r="M360" s="143"/>
      <c r="N360" s="170"/>
      <c r="O360" s="115"/>
      <c r="P360" s="115"/>
      <c r="Q360" s="116"/>
      <c r="R360" s="116"/>
      <c r="S360" s="117"/>
    </row>
    <row r="361" spans="1:19" s="146" customFormat="1" ht="18" customHeight="1">
      <c r="A361" s="141"/>
      <c r="B361" s="155"/>
      <c r="C361" s="1060"/>
      <c r="D361" s="1060"/>
      <c r="E361" s="154"/>
      <c r="F361" s="155"/>
      <c r="G361" s="140"/>
      <c r="H361" s="141"/>
      <c r="I361" s="210"/>
      <c r="J361" s="143"/>
      <c r="K361" s="210"/>
      <c r="L361" s="143"/>
      <c r="M361" s="143"/>
      <c r="N361" s="170"/>
      <c r="O361" s="115"/>
      <c r="P361" s="115"/>
      <c r="Q361" s="116"/>
      <c r="R361" s="116"/>
      <c r="S361" s="117"/>
    </row>
    <row r="362" spans="1:19" s="146" customFormat="1" ht="18" customHeight="1">
      <c r="A362" s="141"/>
      <c r="B362" s="155"/>
      <c r="C362" s="1060"/>
      <c r="D362" s="1060"/>
      <c r="E362" s="154"/>
      <c r="F362" s="155"/>
      <c r="G362" s="140"/>
      <c r="H362" s="141"/>
      <c r="I362" s="210"/>
      <c r="J362" s="143"/>
      <c r="K362" s="210"/>
      <c r="L362" s="143"/>
      <c r="M362" s="143"/>
      <c r="N362" s="170"/>
      <c r="O362" s="115"/>
      <c r="P362" s="115"/>
      <c r="Q362" s="116"/>
      <c r="R362" s="116"/>
      <c r="S362" s="117"/>
    </row>
    <row r="363" spans="1:19" s="146" customFormat="1" ht="18" customHeight="1">
      <c r="A363" s="141"/>
      <c r="B363" s="155"/>
      <c r="C363" s="1060"/>
      <c r="D363" s="1060"/>
      <c r="E363" s="154"/>
      <c r="F363" s="155"/>
      <c r="G363" s="140"/>
      <c r="H363" s="141"/>
      <c r="I363" s="210"/>
      <c r="J363" s="143"/>
      <c r="K363" s="210"/>
      <c r="L363" s="143"/>
      <c r="M363" s="143"/>
      <c r="N363" s="170"/>
      <c r="O363" s="115"/>
      <c r="P363" s="115"/>
      <c r="Q363" s="116"/>
      <c r="R363" s="116"/>
      <c r="S363" s="117"/>
    </row>
    <row r="364" spans="1:19" s="146" customFormat="1" ht="18" customHeight="1">
      <c r="A364" s="141"/>
      <c r="B364" s="155"/>
      <c r="C364" s="1060"/>
      <c r="D364" s="1060"/>
      <c r="E364" s="154"/>
      <c r="F364" s="155"/>
      <c r="G364" s="140"/>
      <c r="H364" s="141"/>
      <c r="I364" s="210"/>
      <c r="J364" s="143"/>
      <c r="K364" s="210"/>
      <c r="L364" s="143"/>
      <c r="M364" s="143"/>
      <c r="N364" s="170"/>
      <c r="O364" s="115"/>
      <c r="P364" s="115"/>
      <c r="Q364" s="116"/>
      <c r="R364" s="116"/>
      <c r="S364" s="117"/>
    </row>
    <row r="365" spans="1:19" s="146" customFormat="1" ht="18" customHeight="1">
      <c r="A365" s="141"/>
      <c r="B365" s="155"/>
      <c r="C365" s="1060"/>
      <c r="D365" s="1060"/>
      <c r="E365" s="154"/>
      <c r="F365" s="155"/>
      <c r="G365" s="140"/>
      <c r="H365" s="141"/>
      <c r="I365" s="210"/>
      <c r="J365" s="143"/>
      <c r="K365" s="210"/>
      <c r="L365" s="143"/>
      <c r="M365" s="143"/>
      <c r="N365" s="170"/>
      <c r="O365" s="115"/>
      <c r="P365" s="115"/>
      <c r="Q365" s="116"/>
      <c r="R365" s="116"/>
      <c r="S365" s="117"/>
    </row>
    <row r="366" spans="1:19" s="146" customFormat="1" ht="18" customHeight="1">
      <c r="A366" s="141"/>
      <c r="B366" s="155"/>
      <c r="C366" s="1060"/>
      <c r="D366" s="1060"/>
      <c r="E366" s="154"/>
      <c r="F366" s="155"/>
      <c r="G366" s="140"/>
      <c r="H366" s="141"/>
      <c r="I366" s="210"/>
      <c r="J366" s="143"/>
      <c r="K366" s="210"/>
      <c r="L366" s="143"/>
      <c r="M366" s="143"/>
      <c r="N366" s="170"/>
      <c r="O366" s="115"/>
      <c r="P366" s="115"/>
      <c r="Q366" s="116"/>
      <c r="R366" s="116"/>
      <c r="S366" s="117"/>
    </row>
    <row r="367" spans="1:19" s="146" customFormat="1" ht="18" customHeight="1">
      <c r="A367" s="141"/>
      <c r="B367" s="155"/>
      <c r="C367" s="1060"/>
      <c r="D367" s="1060"/>
      <c r="E367" s="154"/>
      <c r="F367" s="155"/>
      <c r="G367" s="140"/>
      <c r="H367" s="141"/>
      <c r="I367" s="210"/>
      <c r="J367" s="143"/>
      <c r="K367" s="210"/>
      <c r="L367" s="143"/>
      <c r="M367" s="143"/>
      <c r="N367" s="170"/>
      <c r="O367" s="115"/>
      <c r="P367" s="115"/>
      <c r="Q367" s="116"/>
      <c r="R367" s="116"/>
      <c r="S367" s="117"/>
    </row>
    <row r="368" spans="1:19" s="168" customFormat="1" ht="18" customHeight="1" thickBot="1">
      <c r="A368" s="162"/>
      <c r="B368" s="159"/>
      <c r="C368" s="158"/>
      <c r="D368" s="158"/>
      <c r="E368" s="157"/>
      <c r="F368" s="159"/>
      <c r="G368" s="213"/>
      <c r="H368" s="161" t="s">
        <v>15</v>
      </c>
      <c r="I368" s="214"/>
      <c r="J368" s="163">
        <f>SUM(J329:J342)</f>
        <v>1470672</v>
      </c>
      <c r="K368" s="214"/>
      <c r="L368" s="163">
        <f>SUM(L329:L342)</f>
        <v>1343868</v>
      </c>
      <c r="M368" s="163">
        <f>SUM(M329:M342)</f>
        <v>-126804</v>
      </c>
      <c r="N368" s="169"/>
      <c r="O368" s="165"/>
      <c r="P368" s="165"/>
      <c r="Q368" s="166"/>
      <c r="R368" s="166"/>
      <c r="S368" s="167"/>
    </row>
    <row r="369" spans="1:23" s="146" customFormat="1" ht="18" customHeight="1" thickTop="1">
      <c r="A369" s="155"/>
      <c r="B369" s="155"/>
      <c r="C369" s="1060"/>
      <c r="D369" s="1060"/>
      <c r="E369" s="155"/>
      <c r="F369" s="155"/>
      <c r="G369" s="1060"/>
      <c r="H369" s="155"/>
      <c r="I369" s="155"/>
      <c r="J369" s="169"/>
      <c r="K369" s="172"/>
      <c r="L369" s="171"/>
      <c r="M369" s="171"/>
      <c r="N369" s="171"/>
      <c r="O369" s="115"/>
      <c r="P369" s="115"/>
      <c r="Q369" s="116"/>
      <c r="R369" s="116"/>
      <c r="S369" s="117"/>
    </row>
    <row r="370" spans="1:23" s="146" customFormat="1" ht="18" customHeight="1">
      <c r="A370" s="155"/>
      <c r="B370" s="155"/>
      <c r="C370" s="1060"/>
      <c r="D370" s="1060"/>
      <c r="E370" s="155"/>
      <c r="F370" s="155"/>
      <c r="G370" s="155"/>
      <c r="H370" s="155"/>
      <c r="I370" s="155"/>
      <c r="J370" s="155"/>
      <c r="K370" s="172"/>
      <c r="L370" s="170"/>
      <c r="M370" s="170"/>
      <c r="N370" s="170"/>
      <c r="O370" s="115"/>
      <c r="P370" s="115"/>
      <c r="Q370" s="116"/>
      <c r="R370" s="116"/>
      <c r="S370" s="117"/>
    </row>
    <row r="371" spans="1:23" s="146" customFormat="1" ht="18" customHeight="1">
      <c r="A371" s="155"/>
      <c r="B371" s="155"/>
      <c r="C371" s="1060"/>
      <c r="D371" s="1060"/>
      <c r="E371" s="155"/>
      <c r="F371" s="155"/>
      <c r="G371" s="155"/>
      <c r="H371" s="155"/>
      <c r="I371" s="155"/>
      <c r="J371" s="155"/>
      <c r="K371" s="172"/>
      <c r="L371" s="170"/>
      <c r="M371" s="170"/>
      <c r="N371" s="170"/>
      <c r="O371" s="115"/>
      <c r="P371" s="115"/>
      <c r="Q371" s="116"/>
      <c r="R371" s="116"/>
      <c r="S371" s="117"/>
    </row>
    <row r="372" spans="1:23" s="146" customFormat="1" ht="18" customHeight="1">
      <c r="A372" s="173" t="s">
        <v>626</v>
      </c>
      <c r="B372" s="173"/>
      <c r="C372" s="1052"/>
      <c r="D372" s="1052"/>
      <c r="E372" s="174"/>
      <c r="F372" s="174"/>
      <c r="G372" s="174"/>
      <c r="H372" s="173" t="s">
        <v>627</v>
      </c>
      <c r="I372" s="174"/>
      <c r="K372" s="173" t="s">
        <v>258</v>
      </c>
      <c r="L372" s="175"/>
      <c r="M372" s="175"/>
      <c r="N372" s="175"/>
      <c r="O372" s="115"/>
      <c r="P372" s="115"/>
      <c r="Q372" s="116"/>
      <c r="R372" s="116"/>
      <c r="S372" s="117"/>
    </row>
    <row r="373" spans="1:23" s="146" customFormat="1" ht="18" customHeight="1">
      <c r="A373" s="174"/>
      <c r="B373" s="174"/>
      <c r="C373" s="1053"/>
      <c r="D373" s="1053"/>
      <c r="E373" s="174"/>
      <c r="F373" s="174"/>
      <c r="G373" s="174"/>
      <c r="H373" s="174"/>
      <c r="I373" s="174"/>
      <c r="J373" s="174"/>
      <c r="K373" s="176"/>
      <c r="L373" s="175"/>
      <c r="M373" s="175"/>
      <c r="N373" s="175"/>
      <c r="O373" s="115"/>
      <c r="P373" s="115"/>
      <c r="Q373" s="116"/>
      <c r="R373" s="116"/>
      <c r="S373" s="117"/>
    </row>
    <row r="374" spans="1:23" s="146" customFormat="1" ht="18" customHeight="1">
      <c r="A374" s="1310" t="s">
        <v>65</v>
      </c>
      <c r="B374" s="1310"/>
      <c r="C374" s="1310"/>
      <c r="D374" s="1310"/>
      <c r="E374" s="1310"/>
      <c r="F374" s="1310"/>
      <c r="G374" s="174"/>
      <c r="H374" s="1310" t="s">
        <v>17</v>
      </c>
      <c r="I374" s="1310"/>
      <c r="J374" s="174"/>
      <c r="K374" s="1310" t="s">
        <v>1454</v>
      </c>
      <c r="L374" s="1310"/>
      <c r="M374" s="1310"/>
      <c r="N374" s="1052"/>
      <c r="O374" s="115"/>
      <c r="P374" s="115"/>
      <c r="Q374" s="116"/>
      <c r="R374" s="116"/>
      <c r="S374" s="117"/>
    </row>
    <row r="375" spans="1:23" s="146" customFormat="1" ht="18" customHeight="1">
      <c r="A375" s="1294" t="s">
        <v>430</v>
      </c>
      <c r="B375" s="1294"/>
      <c r="C375" s="1294"/>
      <c r="D375" s="1294"/>
      <c r="E375" s="1294"/>
      <c r="F375" s="1294"/>
      <c r="G375" s="177"/>
      <c r="H375" s="1294" t="s">
        <v>18</v>
      </c>
      <c r="I375" s="1294"/>
      <c r="J375" s="1052"/>
      <c r="K375" s="1294" t="s">
        <v>14</v>
      </c>
      <c r="L375" s="1294"/>
      <c r="M375" s="1294"/>
      <c r="N375" s="1053"/>
      <c r="O375" s="115"/>
      <c r="P375" s="115"/>
      <c r="Q375" s="116"/>
      <c r="R375" s="116"/>
      <c r="S375" s="117"/>
    </row>
    <row r="376" spans="1:23" ht="18" customHeight="1">
      <c r="A376" s="111"/>
      <c r="B376" s="111"/>
      <c r="C376" s="1050"/>
      <c r="D376" s="1050"/>
      <c r="E376" s="1321"/>
      <c r="F376" s="1321"/>
      <c r="G376" s="1321"/>
      <c r="H376" s="1050"/>
      <c r="I376" s="1050"/>
      <c r="J376" s="1050"/>
      <c r="K376" s="1321"/>
      <c r="L376" s="1321"/>
      <c r="M376" s="1321"/>
      <c r="N376" s="1050"/>
    </row>
    <row r="377" spans="1:23" ht="18" customHeight="1">
      <c r="A377" s="111"/>
      <c r="B377" s="111"/>
      <c r="C377" s="1050"/>
      <c r="D377" s="1050"/>
      <c r="E377" s="111"/>
      <c r="F377" s="111"/>
      <c r="G377" s="111"/>
      <c r="H377" s="111"/>
      <c r="I377" s="111"/>
      <c r="J377" s="111"/>
      <c r="K377" s="112"/>
      <c r="M377" s="113"/>
      <c r="N377" s="113"/>
    </row>
    <row r="378" spans="1:23" ht="18" customHeight="1">
      <c r="A378" s="111"/>
      <c r="B378" s="111"/>
      <c r="C378" s="1050"/>
      <c r="D378" s="1050"/>
      <c r="E378" s="111"/>
      <c r="F378" s="111"/>
      <c r="G378" s="111"/>
      <c r="H378" s="111"/>
      <c r="I378" s="111"/>
      <c r="J378" s="111"/>
      <c r="K378" s="112"/>
      <c r="M378" s="113"/>
      <c r="N378" s="113"/>
    </row>
    <row r="379" spans="1:23" ht="18" customHeight="1">
      <c r="A379" s="111"/>
      <c r="B379" s="111"/>
      <c r="C379" s="1050"/>
      <c r="D379" s="1050"/>
      <c r="E379" s="111"/>
      <c r="F379" s="111"/>
      <c r="G379" s="111"/>
      <c r="H379" s="111"/>
      <c r="I379" s="111"/>
      <c r="J379" s="111"/>
      <c r="K379" s="112"/>
      <c r="M379" s="113"/>
      <c r="N379" s="113"/>
    </row>
    <row r="380" spans="1:23" ht="18" customHeight="1">
      <c r="A380" s="111"/>
      <c r="B380" s="111"/>
      <c r="C380" s="1050"/>
      <c r="D380" s="1050"/>
      <c r="E380" s="111"/>
      <c r="F380" s="111"/>
      <c r="G380" s="111"/>
      <c r="H380" s="111"/>
      <c r="I380" s="111"/>
      <c r="J380" s="111"/>
      <c r="K380" s="112"/>
      <c r="M380" s="113"/>
      <c r="N380" s="113"/>
    </row>
    <row r="381" spans="1:23" ht="18" customHeight="1">
      <c r="A381" s="111"/>
      <c r="B381" s="111"/>
      <c r="C381" s="1050"/>
      <c r="D381" s="1050"/>
      <c r="E381" s="111"/>
      <c r="F381" s="111"/>
      <c r="G381" s="111"/>
      <c r="H381" s="111"/>
      <c r="I381" s="111"/>
      <c r="J381" s="111"/>
      <c r="K381" s="112"/>
      <c r="M381" s="113"/>
      <c r="N381" s="113"/>
    </row>
    <row r="382" spans="1:23" ht="18" customHeight="1">
      <c r="A382" s="111"/>
      <c r="B382" s="111"/>
      <c r="C382" s="1050"/>
      <c r="D382" s="1050"/>
      <c r="E382" s="111"/>
      <c r="F382" s="111"/>
      <c r="G382" s="111"/>
      <c r="H382" s="111"/>
      <c r="I382" s="111"/>
      <c r="J382" s="111"/>
      <c r="K382" s="112"/>
      <c r="M382" s="113"/>
      <c r="N382" s="113"/>
    </row>
    <row r="383" spans="1:23" s="115" customFormat="1" ht="18" customHeight="1">
      <c r="A383" s="111"/>
      <c r="B383" s="111"/>
      <c r="C383" s="1050"/>
      <c r="D383" s="1050"/>
      <c r="E383" s="111"/>
      <c r="F383" s="111"/>
      <c r="G383" s="111"/>
      <c r="H383" s="111"/>
      <c r="I383" s="111"/>
      <c r="J383" s="111"/>
      <c r="K383" s="112"/>
      <c r="L383" s="113"/>
      <c r="M383" s="113"/>
      <c r="N383" s="113"/>
      <c r="Q383" s="116"/>
      <c r="R383" s="116"/>
      <c r="S383" s="117"/>
      <c r="T383" s="118"/>
      <c r="U383" s="118"/>
      <c r="V383" s="118"/>
      <c r="W383" s="118"/>
    </row>
    <row r="384" spans="1:23" s="115" customFormat="1" ht="18" customHeight="1">
      <c r="A384" s="111"/>
      <c r="B384" s="111"/>
      <c r="C384" s="1050"/>
      <c r="D384" s="1050"/>
      <c r="E384" s="111"/>
      <c r="F384" s="111"/>
      <c r="G384" s="111"/>
      <c r="H384" s="111"/>
      <c r="I384" s="111"/>
      <c r="J384" s="111"/>
      <c r="K384" s="112"/>
      <c r="L384" s="113"/>
      <c r="M384" s="113"/>
      <c r="N384" s="113"/>
      <c r="Q384" s="116"/>
      <c r="R384" s="116"/>
      <c r="S384" s="117"/>
      <c r="T384" s="118"/>
      <c r="U384" s="118"/>
      <c r="V384" s="118"/>
      <c r="W384" s="118"/>
    </row>
    <row r="385" spans="1:23" s="115" customFormat="1" ht="18" customHeight="1">
      <c r="A385" s="111"/>
      <c r="B385" s="111"/>
      <c r="C385" s="1050"/>
      <c r="D385" s="1050"/>
      <c r="E385" s="111"/>
      <c r="F385" s="111"/>
      <c r="G385" s="111"/>
      <c r="H385" s="111"/>
      <c r="I385" s="111"/>
      <c r="J385" s="111"/>
      <c r="K385" s="112"/>
      <c r="L385" s="113"/>
      <c r="M385" s="113"/>
      <c r="N385" s="113"/>
      <c r="Q385" s="116"/>
      <c r="R385" s="116"/>
      <c r="S385" s="117"/>
      <c r="T385" s="118"/>
      <c r="U385" s="118"/>
      <c r="V385" s="118"/>
      <c r="W385" s="118"/>
    </row>
    <row r="386" spans="1:23" s="115" customFormat="1" ht="18" customHeight="1">
      <c r="A386" s="111"/>
      <c r="B386" s="111"/>
      <c r="C386" s="1050"/>
      <c r="D386" s="1050"/>
      <c r="E386" s="111"/>
      <c r="F386" s="111"/>
      <c r="G386" s="111"/>
      <c r="H386" s="111"/>
      <c r="I386" s="111"/>
      <c r="J386" s="111"/>
      <c r="K386" s="112"/>
      <c r="L386" s="113"/>
      <c r="M386" s="113"/>
      <c r="N386" s="113"/>
      <c r="Q386" s="116"/>
      <c r="R386" s="116"/>
      <c r="S386" s="117"/>
      <c r="T386" s="118"/>
      <c r="U386" s="118"/>
      <c r="V386" s="118"/>
      <c r="W386" s="118"/>
    </row>
    <row r="387" spans="1:23" s="115" customFormat="1" ht="18" customHeight="1">
      <c r="A387" s="111"/>
      <c r="B387" s="111"/>
      <c r="C387" s="1050"/>
      <c r="D387" s="1050"/>
      <c r="E387" s="111"/>
      <c r="F387" s="111"/>
      <c r="G387" s="111"/>
      <c r="H387" s="111"/>
      <c r="I387" s="111"/>
      <c r="J387" s="111"/>
      <c r="K387" s="112"/>
      <c r="L387" s="113"/>
      <c r="M387" s="113"/>
      <c r="N387" s="113"/>
      <c r="Q387" s="116"/>
      <c r="R387" s="116"/>
      <c r="S387" s="117"/>
      <c r="T387" s="118"/>
      <c r="U387" s="118"/>
      <c r="V387" s="118"/>
      <c r="W387" s="118"/>
    </row>
    <row r="388" spans="1:23" s="115" customFormat="1" ht="20.100000000000001" customHeight="1">
      <c r="A388" s="1263" t="s">
        <v>988</v>
      </c>
      <c r="B388" s="1263"/>
      <c r="C388" s="1263"/>
      <c r="D388" s="1263"/>
      <c r="E388" s="1263"/>
      <c r="F388" s="1263"/>
      <c r="G388" s="1263"/>
      <c r="H388" s="1263"/>
      <c r="I388" s="1263"/>
      <c r="J388" s="1263"/>
      <c r="K388" s="1263"/>
      <c r="L388" s="1263"/>
      <c r="M388" s="1263"/>
      <c r="N388" s="1058"/>
      <c r="Q388" s="116"/>
      <c r="R388" s="116"/>
      <c r="S388" s="117"/>
      <c r="T388" s="118"/>
      <c r="U388" s="118"/>
      <c r="V388" s="118"/>
      <c r="W388" s="118"/>
    </row>
    <row r="389" spans="1:23" s="115" customFormat="1" ht="18" customHeight="1">
      <c r="A389" s="110"/>
      <c r="B389" s="110"/>
      <c r="C389" s="1057"/>
      <c r="D389" s="1057"/>
      <c r="E389" s="111"/>
      <c r="F389" s="111"/>
      <c r="G389" s="111"/>
      <c r="H389" s="111"/>
      <c r="I389" s="111"/>
      <c r="J389" s="111"/>
      <c r="K389" s="112"/>
      <c r="L389" s="113"/>
      <c r="M389" s="114"/>
      <c r="N389" s="114"/>
      <c r="Q389" s="116"/>
      <c r="R389" s="116"/>
      <c r="S389" s="117"/>
      <c r="T389" s="118"/>
      <c r="U389" s="118"/>
      <c r="V389" s="118"/>
      <c r="W389" s="118"/>
    </row>
    <row r="390" spans="1:23" s="115" customFormat="1" ht="18" customHeight="1">
      <c r="A390" s="1319" t="s">
        <v>1675</v>
      </c>
      <c r="B390" s="1319"/>
      <c r="C390" s="1319"/>
      <c r="D390" s="1319"/>
      <c r="E390" s="1319"/>
      <c r="F390" s="1319"/>
      <c r="G390" s="1319"/>
      <c r="H390" s="1319"/>
      <c r="I390" s="1319"/>
      <c r="J390" s="1319"/>
      <c r="K390" s="1319"/>
      <c r="L390" s="1319"/>
      <c r="M390" s="1319"/>
      <c r="N390" s="1048"/>
      <c r="Q390" s="116"/>
      <c r="R390" s="116"/>
      <c r="S390" s="117"/>
      <c r="T390" s="118"/>
      <c r="U390" s="118"/>
      <c r="V390" s="118"/>
      <c r="W390" s="118"/>
    </row>
    <row r="391" spans="1:23" s="115" customFormat="1" ht="18" customHeight="1">
      <c r="A391" s="1320" t="s">
        <v>358</v>
      </c>
      <c r="B391" s="1320"/>
      <c r="C391" s="1320"/>
      <c r="D391" s="1320"/>
      <c r="E391" s="1320"/>
      <c r="F391" s="1320"/>
      <c r="G391" s="1320"/>
      <c r="H391" s="1320"/>
      <c r="I391" s="1320"/>
      <c r="J391" s="1320"/>
      <c r="K391" s="1320"/>
      <c r="L391" s="1320"/>
      <c r="M391" s="1320"/>
      <c r="N391" s="1049"/>
      <c r="Q391" s="116"/>
      <c r="R391" s="116"/>
      <c r="S391" s="117"/>
      <c r="T391" s="118"/>
      <c r="U391" s="118"/>
      <c r="V391" s="118"/>
      <c r="W391" s="118"/>
    </row>
    <row r="392" spans="1:23" s="115" customFormat="1" ht="18" customHeight="1">
      <c r="A392" s="1321"/>
      <c r="B392" s="1321"/>
      <c r="C392" s="1321"/>
      <c r="D392" s="1321"/>
      <c r="E392" s="1321"/>
      <c r="F392" s="1321"/>
      <c r="G392" s="1321"/>
      <c r="H392" s="1321"/>
      <c r="I392" s="1321"/>
      <c r="J392" s="1321"/>
      <c r="K392" s="1321"/>
      <c r="L392" s="1321"/>
      <c r="M392" s="1321"/>
      <c r="N392" s="1050"/>
      <c r="Q392" s="116"/>
      <c r="R392" s="116"/>
      <c r="S392" s="117"/>
      <c r="T392" s="118"/>
      <c r="U392" s="118"/>
      <c r="V392" s="118"/>
      <c r="W392" s="118"/>
    </row>
    <row r="393" spans="1:23" s="115" customFormat="1" ht="18" customHeight="1">
      <c r="A393" s="1050"/>
      <c r="B393" s="1050"/>
      <c r="C393" s="1050"/>
      <c r="D393" s="1050"/>
      <c r="E393" s="1050"/>
      <c r="F393" s="1050"/>
      <c r="G393" s="1050"/>
      <c r="H393" s="1050"/>
      <c r="I393" s="1050"/>
      <c r="J393" s="1050"/>
      <c r="K393" s="1050"/>
      <c r="L393" s="1050"/>
      <c r="M393" s="1050"/>
      <c r="N393" s="1050"/>
      <c r="Q393" s="116"/>
      <c r="R393" s="116"/>
      <c r="S393" s="117"/>
      <c r="T393" s="118"/>
      <c r="U393" s="118"/>
      <c r="V393" s="118"/>
      <c r="W393" s="118"/>
    </row>
    <row r="394" spans="1:23" s="115" customFormat="1" ht="18" customHeight="1">
      <c r="A394" s="111" t="s">
        <v>450</v>
      </c>
      <c r="B394" s="111"/>
      <c r="C394" s="111" t="s">
        <v>448</v>
      </c>
      <c r="D394" s="111" t="s">
        <v>460</v>
      </c>
      <c r="E394" s="111"/>
      <c r="F394" s="111"/>
      <c r="G394" s="111"/>
      <c r="H394" s="1050"/>
      <c r="I394" s="1050"/>
      <c r="J394" s="1050"/>
      <c r="K394" s="1050"/>
      <c r="L394" s="1050"/>
      <c r="M394" s="1050"/>
      <c r="N394" s="1050"/>
      <c r="Q394" s="116"/>
      <c r="R394" s="116"/>
      <c r="S394" s="117"/>
      <c r="T394" s="118"/>
      <c r="U394" s="118"/>
      <c r="V394" s="118"/>
      <c r="W394" s="118"/>
    </row>
    <row r="395" spans="1:23" s="115" customFormat="1" ht="18" customHeight="1">
      <c r="A395" s="111" t="s">
        <v>458</v>
      </c>
      <c r="B395" s="111"/>
      <c r="C395" s="111" t="s">
        <v>448</v>
      </c>
      <c r="D395" s="111" t="s">
        <v>461</v>
      </c>
      <c r="E395" s="111"/>
      <c r="F395" s="111"/>
      <c r="G395" s="111"/>
      <c r="H395" s="1050"/>
      <c r="I395" s="1050"/>
      <c r="J395" s="1050"/>
      <c r="K395" s="1050"/>
      <c r="L395" s="1050"/>
      <c r="M395" s="1050"/>
      <c r="N395" s="1050"/>
      <c r="O395" s="180"/>
      <c r="Q395" s="116"/>
      <c r="R395" s="116"/>
      <c r="S395" s="117"/>
      <c r="T395" s="118"/>
      <c r="U395" s="118"/>
      <c r="V395" s="118"/>
      <c r="W395" s="118"/>
    </row>
    <row r="396" spans="1:23" s="115" customFormat="1" ht="18" customHeight="1" thickBot="1">
      <c r="A396" s="111" t="s">
        <v>459</v>
      </c>
      <c r="B396" s="111"/>
      <c r="C396" s="111" t="s">
        <v>448</v>
      </c>
      <c r="D396" s="111" t="s">
        <v>462</v>
      </c>
      <c r="E396" s="111"/>
      <c r="F396" s="111"/>
      <c r="G396" s="111"/>
      <c r="H396" s="1050"/>
      <c r="I396" s="1050"/>
      <c r="J396" s="1050"/>
      <c r="K396" s="1050"/>
      <c r="L396" s="1050"/>
      <c r="M396" s="1050"/>
      <c r="N396" s="1050"/>
      <c r="O396" s="180"/>
      <c r="Q396" s="116"/>
      <c r="R396" s="116"/>
      <c r="S396" s="117"/>
      <c r="T396" s="118"/>
      <c r="U396" s="118"/>
      <c r="V396" s="118"/>
      <c r="W396" s="118"/>
    </row>
    <row r="397" spans="1:23" ht="18" customHeight="1">
      <c r="A397" s="1322" t="s">
        <v>631</v>
      </c>
      <c r="B397" s="1323"/>
      <c r="C397" s="1323"/>
      <c r="D397" s="1323"/>
      <c r="E397" s="1324"/>
      <c r="F397" s="1323"/>
      <c r="G397" s="1325"/>
      <c r="H397" s="121"/>
      <c r="I397" s="1326" t="s">
        <v>635</v>
      </c>
      <c r="J397" s="1327"/>
      <c r="K397" s="1326" t="s">
        <v>635</v>
      </c>
      <c r="L397" s="1327"/>
      <c r="M397" s="122"/>
      <c r="N397" s="1012"/>
      <c r="O397" s="180"/>
    </row>
    <row r="398" spans="1:23" ht="18" customHeight="1">
      <c r="A398" s="123" t="s">
        <v>632</v>
      </c>
      <c r="B398" s="1311" t="s">
        <v>633</v>
      </c>
      <c r="C398" s="1312"/>
      <c r="D398" s="1313"/>
      <c r="E398" s="1314" t="s">
        <v>44</v>
      </c>
      <c r="F398" s="1315"/>
      <c r="G398" s="1316"/>
      <c r="H398" s="1054" t="s">
        <v>45</v>
      </c>
      <c r="I398" s="1314" t="s">
        <v>1502</v>
      </c>
      <c r="J398" s="1316"/>
      <c r="K398" s="1315" t="s">
        <v>1676</v>
      </c>
      <c r="L398" s="1316"/>
      <c r="M398" s="124" t="s">
        <v>46</v>
      </c>
      <c r="N398" s="1013"/>
    </row>
    <row r="399" spans="1:23" ht="18" customHeight="1">
      <c r="A399" s="125"/>
      <c r="B399" s="1054"/>
      <c r="C399" s="1055"/>
      <c r="D399" s="1055"/>
      <c r="E399" s="1054"/>
      <c r="F399" s="1055"/>
      <c r="G399" s="1056"/>
      <c r="H399" s="1054" t="s">
        <v>47</v>
      </c>
      <c r="I399" s="1317"/>
      <c r="J399" s="1318"/>
      <c r="K399" s="1317"/>
      <c r="L399" s="1318"/>
      <c r="M399" s="124" t="s">
        <v>48</v>
      </c>
      <c r="N399" s="1013"/>
    </row>
    <row r="400" spans="1:23" ht="18" customHeight="1">
      <c r="A400" s="125"/>
      <c r="B400" s="1054"/>
      <c r="C400" s="1055"/>
      <c r="D400" s="1055"/>
      <c r="E400" s="1054"/>
      <c r="F400" s="1055"/>
      <c r="G400" s="126"/>
      <c r="H400" s="127"/>
      <c r="I400" s="128" t="s">
        <v>634</v>
      </c>
      <c r="J400" s="129" t="s">
        <v>49</v>
      </c>
      <c r="K400" s="128" t="s">
        <v>634</v>
      </c>
      <c r="L400" s="129" t="s">
        <v>49</v>
      </c>
      <c r="M400" s="124"/>
      <c r="N400" s="120" t="s">
        <v>1628</v>
      </c>
    </row>
    <row r="401" spans="1:19" ht="18" customHeight="1" thickBot="1">
      <c r="A401" s="130"/>
      <c r="B401" s="1307"/>
      <c r="C401" s="1308"/>
      <c r="D401" s="1309"/>
      <c r="E401" s="1307"/>
      <c r="F401" s="1308"/>
      <c r="G401" s="1309"/>
      <c r="H401" s="131"/>
      <c r="I401" s="131"/>
      <c r="J401" s="131"/>
      <c r="K401" s="131"/>
      <c r="L401" s="131"/>
      <c r="M401" s="132"/>
      <c r="N401" s="1019" t="s">
        <v>1629</v>
      </c>
    </row>
    <row r="402" spans="1:19" ht="18" customHeight="1">
      <c r="A402" s="181"/>
      <c r="B402" s="119"/>
      <c r="C402" s="119"/>
      <c r="D402" s="119"/>
      <c r="E402" s="133"/>
      <c r="F402" s="119"/>
      <c r="G402" s="134"/>
      <c r="H402" s="135"/>
      <c r="I402" s="182"/>
      <c r="J402" s="137"/>
      <c r="K402" s="182"/>
      <c r="L402" s="137"/>
      <c r="M402" s="137"/>
      <c r="N402" s="1016"/>
    </row>
    <row r="403" spans="1:19" s="146" customFormat="1" ht="18" customHeight="1">
      <c r="A403" s="183">
        <v>1</v>
      </c>
      <c r="B403" s="1060"/>
      <c r="C403" s="1060"/>
      <c r="D403" s="1060"/>
      <c r="E403" s="154" t="s">
        <v>77</v>
      </c>
      <c r="F403" s="1060"/>
      <c r="G403" s="140"/>
      <c r="H403" s="141" t="s">
        <v>23</v>
      </c>
      <c r="I403" s="184" t="s">
        <v>78</v>
      </c>
      <c r="J403" s="143">
        <v>990948</v>
      </c>
      <c r="K403" s="184" t="s">
        <v>78</v>
      </c>
      <c r="L403" s="143">
        <v>1010004</v>
      </c>
      <c r="M403" s="144">
        <f>L403-J403</f>
        <v>19056</v>
      </c>
      <c r="N403" s="1015">
        <f>L403/12</f>
        <v>84167</v>
      </c>
      <c r="O403" s="115">
        <f>L403-J403</f>
        <v>19056</v>
      </c>
      <c r="P403" s="115">
        <f>O403-M403</f>
        <v>0</v>
      </c>
      <c r="Q403" s="116">
        <v>69142</v>
      </c>
      <c r="R403" s="116">
        <f>Q403*12</f>
        <v>829704</v>
      </c>
      <c r="S403" s="145">
        <f>R403-L403</f>
        <v>-180300</v>
      </c>
    </row>
    <row r="404" spans="1:19" s="146" customFormat="1" ht="18" customHeight="1">
      <c r="A404" s="183"/>
      <c r="B404" s="1060"/>
      <c r="C404" s="1060"/>
      <c r="D404" s="1060"/>
      <c r="E404" s="154" t="s">
        <v>900</v>
      </c>
      <c r="F404" s="1060"/>
      <c r="G404" s="140"/>
      <c r="H404" s="141"/>
      <c r="I404" s="184"/>
      <c r="J404" s="143"/>
      <c r="K404" s="184"/>
      <c r="L404" s="143"/>
      <c r="M404" s="143"/>
      <c r="N404" s="170"/>
      <c r="O404" s="115"/>
      <c r="P404" s="115"/>
      <c r="Q404" s="116"/>
      <c r="R404" s="116"/>
      <c r="S404" s="117"/>
    </row>
    <row r="405" spans="1:19" s="146" customFormat="1" ht="18" customHeight="1">
      <c r="A405" s="183"/>
      <c r="B405" s="1060"/>
      <c r="C405" s="1060"/>
      <c r="D405" s="1060"/>
      <c r="E405" s="154"/>
      <c r="F405" s="1060"/>
      <c r="G405" s="140"/>
      <c r="H405" s="141"/>
      <c r="I405" s="184"/>
      <c r="J405" s="143"/>
      <c r="K405" s="184"/>
      <c r="L405" s="143"/>
      <c r="M405" s="143"/>
      <c r="N405" s="170"/>
      <c r="O405" s="115"/>
      <c r="P405" s="115"/>
      <c r="Q405" s="116"/>
      <c r="R405" s="116"/>
      <c r="S405" s="117"/>
    </row>
    <row r="406" spans="1:19" s="146" customFormat="1" ht="18" customHeight="1">
      <c r="A406" s="183"/>
      <c r="B406" s="1060"/>
      <c r="C406" s="1060"/>
      <c r="D406" s="1060"/>
      <c r="E406" s="154"/>
      <c r="F406" s="1060"/>
      <c r="G406" s="140"/>
      <c r="H406" s="141"/>
      <c r="I406" s="185"/>
      <c r="J406" s="149"/>
      <c r="K406" s="185"/>
      <c r="L406" s="149"/>
      <c r="M406" s="143"/>
      <c r="N406" s="170"/>
      <c r="O406" s="115"/>
      <c r="P406" s="115"/>
      <c r="Q406" s="116"/>
      <c r="R406" s="116"/>
      <c r="S406" s="117"/>
    </row>
    <row r="407" spans="1:19" s="146" customFormat="1" ht="18" customHeight="1">
      <c r="A407" s="183">
        <v>2</v>
      </c>
      <c r="B407" s="1060"/>
      <c r="C407" s="1060"/>
      <c r="D407" s="1060"/>
      <c r="E407" s="154" t="s">
        <v>82</v>
      </c>
      <c r="F407" s="1060"/>
      <c r="G407" s="140"/>
      <c r="H407" s="141" t="s">
        <v>86</v>
      </c>
      <c r="I407" s="184" t="s">
        <v>391</v>
      </c>
      <c r="J407" s="143">
        <v>187848</v>
      </c>
      <c r="K407" s="184" t="s">
        <v>391</v>
      </c>
      <c r="L407" s="143">
        <v>195540</v>
      </c>
      <c r="M407" s="144">
        <f>L407-J407</f>
        <v>7692</v>
      </c>
      <c r="N407" s="1015">
        <f>L407/12</f>
        <v>16295</v>
      </c>
      <c r="O407" s="115">
        <f>L407-J407</f>
        <v>7692</v>
      </c>
      <c r="P407" s="115">
        <f>O407-M407</f>
        <v>0</v>
      </c>
      <c r="Q407" s="116">
        <v>13840</v>
      </c>
      <c r="R407" s="116">
        <f>Q407*12</f>
        <v>166080</v>
      </c>
      <c r="S407" s="145">
        <f>R407-L407</f>
        <v>-29460</v>
      </c>
    </row>
    <row r="408" spans="1:19" s="146" customFormat="1" ht="18" customHeight="1">
      <c r="A408" s="183"/>
      <c r="B408" s="1060"/>
      <c r="C408" s="1060"/>
      <c r="D408" s="1060"/>
      <c r="E408" s="154" t="s">
        <v>84</v>
      </c>
      <c r="F408" s="1060"/>
      <c r="G408" s="140"/>
      <c r="H408" s="141"/>
      <c r="I408" s="184"/>
      <c r="J408" s="143"/>
      <c r="K408" s="184"/>
      <c r="L408" s="143"/>
      <c r="M408" s="144"/>
      <c r="N408" s="1015"/>
      <c r="O408" s="115"/>
      <c r="P408" s="115"/>
      <c r="Q408" s="116"/>
      <c r="R408" s="116"/>
      <c r="S408" s="117"/>
    </row>
    <row r="409" spans="1:19" s="146" customFormat="1" ht="18" customHeight="1">
      <c r="A409" s="183"/>
      <c r="B409" s="1060"/>
      <c r="C409" s="1060"/>
      <c r="D409" s="1060"/>
      <c r="E409" s="154"/>
      <c r="F409" s="1060"/>
      <c r="G409" s="140"/>
      <c r="H409" s="141"/>
      <c r="I409" s="184"/>
      <c r="J409" s="143"/>
      <c r="K409" s="184"/>
      <c r="L409" s="143"/>
      <c r="M409" s="144"/>
      <c r="N409" s="1015"/>
      <c r="O409" s="115"/>
      <c r="P409" s="115"/>
      <c r="Q409" s="116"/>
      <c r="R409" s="116"/>
      <c r="S409" s="117"/>
    </row>
    <row r="410" spans="1:19" s="146" customFormat="1" ht="18" customHeight="1">
      <c r="A410" s="183"/>
      <c r="B410" s="1060"/>
      <c r="C410" s="1060"/>
      <c r="D410" s="1060"/>
      <c r="E410" s="154"/>
      <c r="F410" s="1060"/>
      <c r="G410" s="140"/>
      <c r="H410" s="141"/>
      <c r="I410" s="185"/>
      <c r="J410" s="149"/>
      <c r="K410" s="185"/>
      <c r="L410" s="149"/>
      <c r="M410" s="143"/>
      <c r="N410" s="170"/>
      <c r="O410" s="115"/>
      <c r="P410" s="115"/>
      <c r="Q410" s="116"/>
      <c r="R410" s="116"/>
      <c r="S410" s="117"/>
    </row>
    <row r="411" spans="1:19" s="146" customFormat="1" ht="18" customHeight="1">
      <c r="A411" s="183">
        <v>3</v>
      </c>
      <c r="B411" s="1060"/>
      <c r="C411" s="1060"/>
      <c r="D411" s="1060"/>
      <c r="E411" s="154" t="s">
        <v>85</v>
      </c>
      <c r="F411" s="1060"/>
      <c r="G411" s="140"/>
      <c r="H411" s="141" t="s">
        <v>285</v>
      </c>
      <c r="I411" s="184" t="s">
        <v>109</v>
      </c>
      <c r="J411" s="143">
        <v>148008</v>
      </c>
      <c r="K411" s="184" t="s">
        <v>109</v>
      </c>
      <c r="L411" s="143">
        <v>154116</v>
      </c>
      <c r="M411" s="144">
        <f>L411-J411</f>
        <v>6108</v>
      </c>
      <c r="N411" s="1015">
        <f>L411/12</f>
        <v>12843</v>
      </c>
      <c r="O411" s="115">
        <f>L411-J411</f>
        <v>6108</v>
      </c>
      <c r="P411" s="115">
        <f>O411-M411</f>
        <v>0</v>
      </c>
      <c r="Q411" s="116">
        <v>10773</v>
      </c>
      <c r="R411" s="116">
        <f>Q411*12</f>
        <v>129276</v>
      </c>
      <c r="S411" s="145">
        <f>R411-L411</f>
        <v>-24840</v>
      </c>
    </row>
    <row r="412" spans="1:19" s="146" customFormat="1" ht="18" customHeight="1">
      <c r="A412" s="183"/>
      <c r="B412" s="1060"/>
      <c r="C412" s="1060"/>
      <c r="D412" s="1060"/>
      <c r="E412" s="1059"/>
      <c r="F412" s="1060"/>
      <c r="G412" s="140"/>
      <c r="H412" s="141"/>
      <c r="I412" s="185"/>
      <c r="J412" s="149"/>
      <c r="K412" s="185"/>
      <c r="L412" s="149"/>
      <c r="M412" s="143"/>
      <c r="N412" s="170"/>
      <c r="O412" s="115"/>
      <c r="P412" s="115"/>
      <c r="Q412" s="116"/>
      <c r="R412" s="116"/>
      <c r="S412" s="117"/>
    </row>
    <row r="413" spans="1:19" s="146" customFormat="1" ht="18" customHeight="1">
      <c r="A413" s="183"/>
      <c r="B413" s="1060"/>
      <c r="C413" s="1060"/>
      <c r="D413" s="1060"/>
      <c r="E413" s="1059"/>
      <c r="F413" s="1060"/>
      <c r="G413" s="140"/>
      <c r="H413" s="141"/>
      <c r="I413" s="185"/>
      <c r="J413" s="143"/>
      <c r="K413" s="185"/>
      <c r="L413" s="143"/>
      <c r="M413" s="143"/>
      <c r="N413" s="170"/>
      <c r="O413" s="115"/>
      <c r="P413" s="115"/>
      <c r="Q413" s="116"/>
      <c r="R413" s="116"/>
      <c r="S413" s="117"/>
    </row>
    <row r="414" spans="1:19" s="146" customFormat="1" ht="18" customHeight="1">
      <c r="A414" s="183"/>
      <c r="B414" s="1060"/>
      <c r="C414" s="1060"/>
      <c r="D414" s="1060"/>
      <c r="E414" s="1059"/>
      <c r="F414" s="1060"/>
      <c r="G414" s="140"/>
      <c r="H414" s="141"/>
      <c r="I414" s="142"/>
      <c r="J414" s="143"/>
      <c r="K414" s="142"/>
      <c r="L414" s="143"/>
      <c r="M414" s="143"/>
      <c r="N414" s="170"/>
      <c r="O414" s="115"/>
      <c r="P414" s="115"/>
      <c r="Q414" s="116"/>
      <c r="R414" s="116"/>
      <c r="S414" s="117"/>
    </row>
    <row r="415" spans="1:19" s="146" customFormat="1" ht="18" customHeight="1">
      <c r="A415" s="183"/>
      <c r="B415" s="1060"/>
      <c r="C415" s="1060"/>
      <c r="D415" s="1060"/>
      <c r="E415" s="1059"/>
      <c r="F415" s="1060"/>
      <c r="G415" s="140"/>
      <c r="H415" s="141"/>
      <c r="I415" s="142"/>
      <c r="J415" s="143"/>
      <c r="K415" s="142"/>
      <c r="L415" s="143"/>
      <c r="M415" s="143"/>
      <c r="N415" s="170"/>
      <c r="O415" s="115"/>
      <c r="P415" s="115"/>
      <c r="Q415" s="116"/>
      <c r="R415" s="116"/>
      <c r="S415" s="117"/>
    </row>
    <row r="416" spans="1:19" s="146" customFormat="1" ht="18" customHeight="1">
      <c r="A416" s="183"/>
      <c r="B416" s="1060"/>
      <c r="C416" s="1060"/>
      <c r="D416" s="1060"/>
      <c r="E416" s="1059"/>
      <c r="F416" s="1060"/>
      <c r="G416" s="140"/>
      <c r="H416" s="141"/>
      <c r="I416" s="142"/>
      <c r="J416" s="143"/>
      <c r="K416" s="142"/>
      <c r="L416" s="143"/>
      <c r="M416" s="143"/>
      <c r="N416" s="170"/>
      <c r="O416" s="115"/>
      <c r="P416" s="115"/>
      <c r="Q416" s="116"/>
      <c r="R416" s="116"/>
      <c r="S416" s="117"/>
    </row>
    <row r="417" spans="1:19" s="146" customFormat="1" ht="18" customHeight="1">
      <c r="A417" s="183"/>
      <c r="B417" s="1060"/>
      <c r="C417" s="1060"/>
      <c r="D417" s="1060"/>
      <c r="E417" s="1059"/>
      <c r="F417" s="1060"/>
      <c r="G417" s="140"/>
      <c r="H417" s="141"/>
      <c r="I417" s="142"/>
      <c r="J417" s="143"/>
      <c r="K417" s="142"/>
      <c r="L417" s="143"/>
      <c r="M417" s="143"/>
      <c r="N417" s="170"/>
      <c r="O417" s="115"/>
      <c r="P417" s="115"/>
      <c r="Q417" s="116"/>
      <c r="R417" s="116"/>
      <c r="S417" s="117"/>
    </row>
    <row r="418" spans="1:19" s="146" customFormat="1" ht="18" customHeight="1">
      <c r="A418" s="183"/>
      <c r="B418" s="1060"/>
      <c r="C418" s="1060"/>
      <c r="D418" s="1060"/>
      <c r="E418" s="1059"/>
      <c r="F418" s="1060"/>
      <c r="G418" s="140"/>
      <c r="H418" s="141"/>
      <c r="I418" s="142"/>
      <c r="J418" s="143"/>
      <c r="K418" s="142"/>
      <c r="L418" s="143"/>
      <c r="M418" s="143"/>
      <c r="N418" s="170"/>
      <c r="O418" s="115"/>
      <c r="P418" s="115"/>
      <c r="Q418" s="116"/>
      <c r="R418" s="116"/>
      <c r="S418" s="117"/>
    </row>
    <row r="419" spans="1:19" s="146" customFormat="1" ht="18" customHeight="1">
      <c r="A419" s="183"/>
      <c r="B419" s="1060"/>
      <c r="C419" s="1060"/>
      <c r="D419" s="1060"/>
      <c r="E419" s="1059"/>
      <c r="F419" s="1060"/>
      <c r="G419" s="140"/>
      <c r="H419" s="141"/>
      <c r="I419" s="142"/>
      <c r="J419" s="143"/>
      <c r="K419" s="142"/>
      <c r="L419" s="143"/>
      <c r="M419" s="143"/>
      <c r="N419" s="170"/>
      <c r="O419" s="115"/>
      <c r="P419" s="115"/>
      <c r="Q419" s="116"/>
      <c r="R419" s="116"/>
      <c r="S419" s="117"/>
    </row>
    <row r="420" spans="1:19" s="146" customFormat="1" ht="18" customHeight="1">
      <c r="A420" s="183"/>
      <c r="B420" s="1060"/>
      <c r="C420" s="1060"/>
      <c r="D420" s="1060"/>
      <c r="E420" s="1059"/>
      <c r="F420" s="1060"/>
      <c r="G420" s="140"/>
      <c r="H420" s="141"/>
      <c r="I420" s="142"/>
      <c r="J420" s="143"/>
      <c r="K420" s="142"/>
      <c r="L420" s="143"/>
      <c r="M420" s="143"/>
      <c r="N420" s="170"/>
      <c r="O420" s="115"/>
      <c r="P420" s="115"/>
      <c r="Q420" s="116"/>
      <c r="R420" s="116"/>
      <c r="S420" s="117"/>
    </row>
    <row r="421" spans="1:19" s="146" customFormat="1" ht="18" customHeight="1">
      <c r="A421" s="183"/>
      <c r="B421" s="1060"/>
      <c r="C421" s="1060"/>
      <c r="D421" s="1060"/>
      <c r="E421" s="1059"/>
      <c r="F421" s="1060"/>
      <c r="G421" s="140"/>
      <c r="H421" s="141"/>
      <c r="I421" s="142"/>
      <c r="J421" s="143"/>
      <c r="K421" s="142"/>
      <c r="L421" s="143"/>
      <c r="M421" s="143"/>
      <c r="N421" s="170"/>
      <c r="O421" s="115"/>
      <c r="P421" s="115"/>
      <c r="Q421" s="116"/>
      <c r="R421" s="116"/>
      <c r="S421" s="117"/>
    </row>
    <row r="422" spans="1:19" s="146" customFormat="1" ht="18" customHeight="1">
      <c r="A422" s="183"/>
      <c r="B422" s="1060"/>
      <c r="C422" s="1060"/>
      <c r="D422" s="1060"/>
      <c r="E422" s="1059"/>
      <c r="F422" s="1060"/>
      <c r="G422" s="140"/>
      <c r="H422" s="141"/>
      <c r="I422" s="142"/>
      <c r="J422" s="143"/>
      <c r="K422" s="142"/>
      <c r="L422" s="143"/>
      <c r="M422" s="143"/>
      <c r="N422" s="170"/>
      <c r="O422" s="115"/>
      <c r="P422" s="115"/>
      <c r="Q422" s="116"/>
      <c r="R422" s="116"/>
      <c r="S422" s="117"/>
    </row>
    <row r="423" spans="1:19" s="146" customFormat="1" ht="18" customHeight="1">
      <c r="A423" s="183"/>
      <c r="B423" s="1060"/>
      <c r="C423" s="1060"/>
      <c r="D423" s="1060"/>
      <c r="E423" s="1059"/>
      <c r="F423" s="1060"/>
      <c r="G423" s="140"/>
      <c r="H423" s="141"/>
      <c r="I423" s="142"/>
      <c r="J423" s="143"/>
      <c r="K423" s="142"/>
      <c r="L423" s="143"/>
      <c r="M423" s="143"/>
      <c r="N423" s="170"/>
      <c r="O423" s="115"/>
      <c r="P423" s="115"/>
      <c r="Q423" s="116"/>
      <c r="R423" s="116"/>
      <c r="S423" s="117"/>
    </row>
    <row r="424" spans="1:19" s="146" customFormat="1" ht="18" customHeight="1">
      <c r="A424" s="183"/>
      <c r="B424" s="1060"/>
      <c r="C424" s="1060"/>
      <c r="D424" s="1060"/>
      <c r="E424" s="1059"/>
      <c r="F424" s="1060"/>
      <c r="G424" s="140"/>
      <c r="H424" s="141"/>
      <c r="I424" s="142"/>
      <c r="J424" s="143"/>
      <c r="K424" s="142"/>
      <c r="L424" s="143"/>
      <c r="M424" s="143"/>
      <c r="N424" s="170"/>
      <c r="O424" s="115"/>
      <c r="P424" s="115"/>
      <c r="Q424" s="116"/>
      <c r="R424" s="116"/>
      <c r="S424" s="117"/>
    </row>
    <row r="425" spans="1:19" s="146" customFormat="1" ht="18" customHeight="1">
      <c r="A425" s="183"/>
      <c r="B425" s="1060"/>
      <c r="C425" s="1060"/>
      <c r="D425" s="1060"/>
      <c r="E425" s="1059"/>
      <c r="F425" s="1060"/>
      <c r="G425" s="140"/>
      <c r="H425" s="141"/>
      <c r="I425" s="142"/>
      <c r="J425" s="143"/>
      <c r="K425" s="142"/>
      <c r="L425" s="143"/>
      <c r="M425" s="143"/>
      <c r="N425" s="170"/>
      <c r="O425" s="115"/>
      <c r="P425" s="115"/>
      <c r="Q425" s="116"/>
      <c r="R425" s="116"/>
      <c r="S425" s="117"/>
    </row>
    <row r="426" spans="1:19" s="146" customFormat="1" ht="18" customHeight="1">
      <c r="A426" s="183"/>
      <c r="B426" s="1060"/>
      <c r="C426" s="1060"/>
      <c r="D426" s="1060"/>
      <c r="E426" s="1059"/>
      <c r="F426" s="1060"/>
      <c r="G426" s="140"/>
      <c r="H426" s="141"/>
      <c r="I426" s="142"/>
      <c r="J426" s="143"/>
      <c r="K426" s="142"/>
      <c r="L426" s="143"/>
      <c r="M426" s="143"/>
      <c r="N426" s="170"/>
      <c r="O426" s="115"/>
      <c r="P426" s="115"/>
      <c r="Q426" s="116"/>
      <c r="R426" s="116"/>
      <c r="S426" s="117"/>
    </row>
    <row r="427" spans="1:19" s="146" customFormat="1" ht="18" customHeight="1">
      <c r="A427" s="183"/>
      <c r="B427" s="1060"/>
      <c r="C427" s="1060"/>
      <c r="D427" s="1060"/>
      <c r="E427" s="1059"/>
      <c r="F427" s="1060"/>
      <c r="G427" s="140"/>
      <c r="H427" s="141"/>
      <c r="I427" s="142"/>
      <c r="J427" s="143"/>
      <c r="K427" s="142"/>
      <c r="L427" s="143"/>
      <c r="M427" s="143"/>
      <c r="N427" s="170"/>
      <c r="O427" s="115"/>
      <c r="P427" s="115"/>
      <c r="Q427" s="116"/>
      <c r="R427" s="116"/>
      <c r="S427" s="117"/>
    </row>
    <row r="428" spans="1:19" s="146" customFormat="1" ht="18" customHeight="1">
      <c r="A428" s="183"/>
      <c r="B428" s="1060"/>
      <c r="C428" s="1060"/>
      <c r="D428" s="1060"/>
      <c r="E428" s="1059"/>
      <c r="F428" s="1060"/>
      <c r="G428" s="140"/>
      <c r="H428" s="141"/>
      <c r="I428" s="142"/>
      <c r="J428" s="143"/>
      <c r="K428" s="142"/>
      <c r="L428" s="143"/>
      <c r="M428" s="143"/>
      <c r="N428" s="170"/>
      <c r="O428" s="115"/>
      <c r="P428" s="115"/>
      <c r="Q428" s="116"/>
      <c r="R428" s="116"/>
      <c r="S428" s="117"/>
    </row>
    <row r="429" spans="1:19" s="146" customFormat="1" ht="18" customHeight="1">
      <c r="A429" s="141"/>
      <c r="B429" s="155"/>
      <c r="C429" s="1060"/>
      <c r="D429" s="1060"/>
      <c r="E429" s="154"/>
      <c r="F429" s="155"/>
      <c r="G429" s="140"/>
      <c r="H429" s="141"/>
      <c r="I429" s="142"/>
      <c r="J429" s="143"/>
      <c r="K429" s="142"/>
      <c r="L429" s="143"/>
      <c r="M429" s="143"/>
      <c r="N429" s="170"/>
      <c r="O429" s="115"/>
      <c r="P429" s="115"/>
      <c r="Q429" s="116"/>
      <c r="R429" s="116"/>
      <c r="S429" s="117"/>
    </row>
    <row r="430" spans="1:19" s="146" customFormat="1" ht="18" customHeight="1">
      <c r="A430" s="141"/>
      <c r="B430" s="155"/>
      <c r="C430" s="1060"/>
      <c r="D430" s="1060"/>
      <c r="E430" s="154"/>
      <c r="F430" s="155"/>
      <c r="G430" s="140"/>
      <c r="H430" s="141"/>
      <c r="I430" s="142"/>
      <c r="J430" s="143"/>
      <c r="K430" s="142"/>
      <c r="L430" s="143"/>
      <c r="M430" s="143"/>
      <c r="N430" s="170"/>
      <c r="O430" s="115"/>
      <c r="P430" s="115"/>
      <c r="Q430" s="116"/>
      <c r="R430" s="116"/>
      <c r="S430" s="117"/>
    </row>
    <row r="431" spans="1:19" s="146" customFormat="1" ht="18" customHeight="1">
      <c r="A431" s="141"/>
      <c r="B431" s="155"/>
      <c r="C431" s="1060"/>
      <c r="D431" s="1060"/>
      <c r="E431" s="154"/>
      <c r="F431" s="155"/>
      <c r="G431" s="140"/>
      <c r="H431" s="141"/>
      <c r="I431" s="142"/>
      <c r="J431" s="143"/>
      <c r="K431" s="142"/>
      <c r="L431" s="143"/>
      <c r="M431" s="143"/>
      <c r="N431" s="170"/>
      <c r="O431" s="115"/>
      <c r="P431" s="115"/>
      <c r="Q431" s="116"/>
      <c r="R431" s="116"/>
      <c r="S431" s="117"/>
    </row>
    <row r="432" spans="1:19" s="146" customFormat="1" ht="18" customHeight="1">
      <c r="A432" s="141"/>
      <c r="B432" s="155"/>
      <c r="C432" s="1060"/>
      <c r="D432" s="1060"/>
      <c r="E432" s="154"/>
      <c r="F432" s="155"/>
      <c r="G432" s="140"/>
      <c r="H432" s="141"/>
      <c r="I432" s="142"/>
      <c r="J432" s="143"/>
      <c r="K432" s="142"/>
      <c r="L432" s="143"/>
      <c r="M432" s="143"/>
      <c r="N432" s="170"/>
      <c r="O432" s="115"/>
      <c r="P432" s="115"/>
      <c r="Q432" s="116"/>
      <c r="R432" s="116"/>
      <c r="S432" s="117"/>
    </row>
    <row r="433" spans="1:19" s="146" customFormat="1" ht="18" customHeight="1">
      <c r="A433" s="141"/>
      <c r="B433" s="155"/>
      <c r="C433" s="1060"/>
      <c r="D433" s="1060"/>
      <c r="E433" s="154"/>
      <c r="F433" s="155"/>
      <c r="G433" s="140"/>
      <c r="H433" s="141"/>
      <c r="I433" s="142"/>
      <c r="J433" s="143"/>
      <c r="K433" s="142"/>
      <c r="L433" s="143"/>
      <c r="M433" s="143"/>
      <c r="N433" s="170"/>
      <c r="O433" s="115"/>
      <c r="P433" s="115"/>
      <c r="Q433" s="116"/>
      <c r="R433" s="116"/>
      <c r="S433" s="117"/>
    </row>
    <row r="434" spans="1:19" s="146" customFormat="1" ht="18" customHeight="1">
      <c r="A434" s="141"/>
      <c r="B434" s="155"/>
      <c r="C434" s="1060"/>
      <c r="D434" s="1060"/>
      <c r="E434" s="154"/>
      <c r="F434" s="155"/>
      <c r="G434" s="140"/>
      <c r="H434" s="141"/>
      <c r="I434" s="210"/>
      <c r="J434" s="143"/>
      <c r="K434" s="210"/>
      <c r="L434" s="143"/>
      <c r="M434" s="143"/>
      <c r="N434" s="170"/>
      <c r="O434" s="115"/>
      <c r="P434" s="115"/>
      <c r="Q434" s="116"/>
      <c r="R434" s="116"/>
      <c r="S434" s="117"/>
    </row>
    <row r="435" spans="1:19" s="146" customFormat="1" ht="18" customHeight="1">
      <c r="A435" s="141"/>
      <c r="B435" s="155"/>
      <c r="C435" s="1060"/>
      <c r="D435" s="1060"/>
      <c r="E435" s="154"/>
      <c r="F435" s="155"/>
      <c r="G435" s="140"/>
      <c r="H435" s="141"/>
      <c r="I435" s="210"/>
      <c r="J435" s="143"/>
      <c r="K435" s="210"/>
      <c r="L435" s="143"/>
      <c r="M435" s="143"/>
      <c r="N435" s="170"/>
      <c r="O435" s="115"/>
      <c r="P435" s="115"/>
      <c r="Q435" s="116"/>
      <c r="R435" s="116"/>
      <c r="S435" s="117"/>
    </row>
    <row r="436" spans="1:19" s="146" customFormat="1" ht="18" customHeight="1">
      <c r="A436" s="141"/>
      <c r="B436" s="155"/>
      <c r="C436" s="1060"/>
      <c r="D436" s="1060"/>
      <c r="E436" s="154"/>
      <c r="F436" s="155"/>
      <c r="G436" s="140"/>
      <c r="H436" s="141"/>
      <c r="I436" s="210"/>
      <c r="J436" s="143"/>
      <c r="K436" s="210"/>
      <c r="L436" s="143"/>
      <c r="M436" s="143"/>
      <c r="N436" s="170"/>
      <c r="O436" s="115"/>
      <c r="P436" s="115"/>
      <c r="Q436" s="116"/>
      <c r="R436" s="116"/>
      <c r="S436" s="117"/>
    </row>
    <row r="437" spans="1:19" s="146" customFormat="1" ht="18" customHeight="1">
      <c r="A437" s="141"/>
      <c r="B437" s="155"/>
      <c r="C437" s="1060"/>
      <c r="D437" s="1060"/>
      <c r="E437" s="154"/>
      <c r="F437" s="155"/>
      <c r="G437" s="140"/>
      <c r="H437" s="141"/>
      <c r="I437" s="210"/>
      <c r="J437" s="143"/>
      <c r="K437" s="210"/>
      <c r="L437" s="143"/>
      <c r="M437" s="143"/>
      <c r="N437" s="170"/>
      <c r="O437" s="115"/>
      <c r="P437" s="115"/>
      <c r="Q437" s="116"/>
      <c r="R437" s="116"/>
      <c r="S437" s="117"/>
    </row>
    <row r="438" spans="1:19" s="146" customFormat="1" ht="18" customHeight="1">
      <c r="A438" s="141"/>
      <c r="B438" s="155"/>
      <c r="C438" s="1060"/>
      <c r="D438" s="1060"/>
      <c r="E438" s="154"/>
      <c r="F438" s="155"/>
      <c r="G438" s="140"/>
      <c r="H438" s="141"/>
      <c r="I438" s="210"/>
      <c r="J438" s="143"/>
      <c r="K438" s="210"/>
      <c r="L438" s="143"/>
      <c r="M438" s="143"/>
      <c r="N438" s="170"/>
      <c r="O438" s="115"/>
      <c r="P438" s="115"/>
      <c r="Q438" s="116"/>
      <c r="R438" s="116"/>
      <c r="S438" s="117"/>
    </row>
    <row r="439" spans="1:19" s="146" customFormat="1" ht="18" customHeight="1">
      <c r="A439" s="141"/>
      <c r="B439" s="155"/>
      <c r="C439" s="1060"/>
      <c r="D439" s="1060"/>
      <c r="E439" s="154"/>
      <c r="F439" s="155"/>
      <c r="G439" s="140"/>
      <c r="H439" s="141"/>
      <c r="I439" s="210"/>
      <c r="J439" s="143"/>
      <c r="K439" s="210"/>
      <c r="L439" s="143"/>
      <c r="M439" s="215"/>
      <c r="N439" s="171"/>
      <c r="O439" s="115"/>
      <c r="P439" s="115"/>
      <c r="Q439" s="116"/>
      <c r="R439" s="116"/>
      <c r="S439" s="117"/>
    </row>
    <row r="440" spans="1:19" s="146" customFormat="1" ht="18" customHeight="1">
      <c r="A440" s="141"/>
      <c r="B440" s="155"/>
      <c r="C440" s="1060"/>
      <c r="D440" s="1060"/>
      <c r="E440" s="154"/>
      <c r="F440" s="155"/>
      <c r="G440" s="140"/>
      <c r="H440" s="141"/>
      <c r="I440" s="210"/>
      <c r="J440" s="143"/>
      <c r="K440" s="210"/>
      <c r="L440" s="143"/>
      <c r="M440" s="143"/>
      <c r="N440" s="170"/>
      <c r="O440" s="115"/>
      <c r="P440" s="115"/>
      <c r="Q440" s="116"/>
      <c r="R440" s="116"/>
      <c r="S440" s="117"/>
    </row>
    <row r="441" spans="1:19" s="146" customFormat="1" ht="18" customHeight="1">
      <c r="A441" s="141"/>
      <c r="B441" s="155"/>
      <c r="C441" s="1060"/>
      <c r="D441" s="1060"/>
      <c r="E441" s="154"/>
      <c r="F441" s="155"/>
      <c r="G441" s="140"/>
      <c r="H441" s="141"/>
      <c r="I441" s="210"/>
      <c r="J441" s="143"/>
      <c r="K441" s="210"/>
      <c r="L441" s="143"/>
      <c r="M441" s="143"/>
      <c r="N441" s="170"/>
      <c r="O441" s="115"/>
      <c r="P441" s="115"/>
      <c r="Q441" s="116"/>
      <c r="R441" s="116"/>
      <c r="S441" s="117"/>
    </row>
    <row r="442" spans="1:19" s="146" customFormat="1" ht="18" customHeight="1">
      <c r="A442" s="141"/>
      <c r="B442" s="155"/>
      <c r="C442" s="1060"/>
      <c r="D442" s="1060"/>
      <c r="E442" s="154"/>
      <c r="F442" s="155"/>
      <c r="G442" s="140"/>
      <c r="H442" s="141"/>
      <c r="I442" s="210"/>
      <c r="J442" s="143"/>
      <c r="K442" s="210"/>
      <c r="L442" s="143"/>
      <c r="M442" s="143"/>
      <c r="N442" s="170"/>
      <c r="O442" s="115"/>
      <c r="P442" s="115"/>
      <c r="Q442" s="116"/>
      <c r="R442" s="116"/>
      <c r="S442" s="117"/>
    </row>
    <row r="443" spans="1:19" s="168" customFormat="1" ht="18" customHeight="1" thickBot="1">
      <c r="A443" s="162"/>
      <c r="B443" s="159"/>
      <c r="C443" s="158"/>
      <c r="D443" s="158"/>
      <c r="E443" s="157"/>
      <c r="F443" s="159"/>
      <c r="G443" s="160"/>
      <c r="H443" s="161" t="s">
        <v>15</v>
      </c>
      <c r="I443" s="214"/>
      <c r="J443" s="163">
        <f>SUM(J403:J442)</f>
        <v>1326804</v>
      </c>
      <c r="K443" s="214"/>
      <c r="L443" s="163">
        <f>SUM(L403:L442)</f>
        <v>1359660</v>
      </c>
      <c r="M443" s="163">
        <f>SUM(M403:M442)</f>
        <v>32856</v>
      </c>
      <c r="N443" s="169"/>
      <c r="O443" s="165"/>
      <c r="P443" s="165"/>
      <c r="Q443" s="166"/>
      <c r="R443" s="166"/>
      <c r="S443" s="167"/>
    </row>
    <row r="444" spans="1:19" s="146" customFormat="1" ht="18" customHeight="1" thickTop="1">
      <c r="A444" s="155"/>
      <c r="B444" s="155"/>
      <c r="C444" s="1060"/>
      <c r="D444" s="1060"/>
      <c r="E444" s="155"/>
      <c r="F444" s="155"/>
      <c r="G444" s="155"/>
      <c r="H444" s="155"/>
      <c r="I444" s="155"/>
      <c r="J444" s="169"/>
      <c r="K444" s="172"/>
      <c r="L444" s="170"/>
      <c r="M444" s="171"/>
      <c r="N444" s="171"/>
      <c r="O444" s="115"/>
      <c r="P444" s="115"/>
      <c r="Q444" s="116"/>
      <c r="R444" s="116"/>
      <c r="S444" s="117"/>
    </row>
    <row r="445" spans="1:19" s="146" customFormat="1" ht="18" customHeight="1">
      <c r="A445" s="155"/>
      <c r="B445" s="155"/>
      <c r="C445" s="1060"/>
      <c r="D445" s="1060"/>
      <c r="E445" s="155"/>
      <c r="F445" s="155"/>
      <c r="G445" s="155"/>
      <c r="H445" s="155"/>
      <c r="I445" s="155"/>
      <c r="J445" s="155"/>
      <c r="K445" s="172"/>
      <c r="L445" s="170"/>
      <c r="M445" s="170"/>
      <c r="N445" s="170"/>
      <c r="O445" s="115"/>
      <c r="P445" s="115"/>
      <c r="Q445" s="116"/>
      <c r="R445" s="116"/>
      <c r="S445" s="117"/>
    </row>
    <row r="446" spans="1:19" s="146" customFormat="1" ht="18" customHeight="1">
      <c r="A446" s="155"/>
      <c r="B446" s="155"/>
      <c r="C446" s="1060"/>
      <c r="D446" s="1060"/>
      <c r="E446" s="155"/>
      <c r="F446" s="155"/>
      <c r="G446" s="155"/>
      <c r="H446" s="155"/>
      <c r="I446" s="155"/>
      <c r="J446" s="155"/>
      <c r="K446" s="172"/>
      <c r="L446" s="170"/>
      <c r="M446" s="170"/>
      <c r="N446" s="170"/>
      <c r="O446" s="115"/>
      <c r="P446" s="115"/>
      <c r="Q446" s="116"/>
      <c r="R446" s="116"/>
      <c r="S446" s="117"/>
    </row>
    <row r="447" spans="1:19" s="146" customFormat="1" ht="18" customHeight="1">
      <c r="A447" s="173" t="s">
        <v>626</v>
      </c>
      <c r="B447" s="173"/>
      <c r="C447" s="1052"/>
      <c r="D447" s="1052"/>
      <c r="E447" s="174"/>
      <c r="F447" s="174"/>
      <c r="G447" s="174"/>
      <c r="H447" s="173" t="s">
        <v>627</v>
      </c>
      <c r="I447" s="174"/>
      <c r="K447" s="173" t="s">
        <v>258</v>
      </c>
      <c r="L447" s="175"/>
      <c r="M447" s="175"/>
      <c r="N447" s="175"/>
      <c r="O447" s="115"/>
      <c r="P447" s="115"/>
      <c r="Q447" s="116"/>
      <c r="R447" s="116"/>
      <c r="S447" s="117"/>
    </row>
    <row r="448" spans="1:19" s="146" customFormat="1" ht="18" customHeight="1">
      <c r="A448" s="174"/>
      <c r="B448" s="174"/>
      <c r="C448" s="1053"/>
      <c r="D448" s="1053"/>
      <c r="E448" s="174"/>
      <c r="F448" s="174"/>
      <c r="G448" s="174"/>
      <c r="H448" s="174"/>
      <c r="I448" s="174"/>
      <c r="J448" s="174"/>
      <c r="K448" s="176"/>
      <c r="L448" s="175"/>
      <c r="M448" s="175"/>
      <c r="N448" s="175"/>
      <c r="O448" s="115"/>
      <c r="P448" s="115"/>
      <c r="Q448" s="116"/>
      <c r="R448" s="116"/>
      <c r="S448" s="117"/>
    </row>
    <row r="449" spans="1:19" s="146" customFormat="1" ht="18" customHeight="1">
      <c r="A449" s="1310" t="s">
        <v>65</v>
      </c>
      <c r="B449" s="1310"/>
      <c r="C449" s="1310"/>
      <c r="D449" s="1310"/>
      <c r="E449" s="1310"/>
      <c r="F449" s="1310"/>
      <c r="G449" s="174"/>
      <c r="H449" s="1310" t="s">
        <v>17</v>
      </c>
      <c r="I449" s="1310"/>
      <c r="J449" s="174"/>
      <c r="K449" s="1310" t="s">
        <v>1454</v>
      </c>
      <c r="L449" s="1310"/>
      <c r="M449" s="1310"/>
      <c r="N449" s="1052"/>
      <c r="O449" s="115"/>
      <c r="P449" s="115"/>
      <c r="Q449" s="116"/>
      <c r="R449" s="116"/>
      <c r="S449" s="117"/>
    </row>
    <row r="450" spans="1:19" s="146" customFormat="1" ht="18" customHeight="1">
      <c r="A450" s="1294" t="s">
        <v>430</v>
      </c>
      <c r="B450" s="1294"/>
      <c r="C450" s="1294"/>
      <c r="D450" s="1294"/>
      <c r="E450" s="1294"/>
      <c r="F450" s="1294"/>
      <c r="G450" s="177"/>
      <c r="H450" s="1294" t="s">
        <v>18</v>
      </c>
      <c r="I450" s="1294"/>
      <c r="J450" s="1052"/>
      <c r="K450" s="1294" t="s">
        <v>14</v>
      </c>
      <c r="L450" s="1294"/>
      <c r="M450" s="1294"/>
      <c r="N450" s="1053"/>
      <c r="O450" s="115"/>
      <c r="P450" s="115"/>
      <c r="Q450" s="116"/>
      <c r="R450" s="116"/>
      <c r="S450" s="117"/>
    </row>
    <row r="451" spans="1:19" ht="18" customHeight="1">
      <c r="A451" s="111"/>
      <c r="B451" s="111"/>
      <c r="C451" s="1050"/>
      <c r="D451" s="1050"/>
      <c r="E451" s="1321"/>
      <c r="F451" s="1321"/>
      <c r="G451" s="1321"/>
      <c r="H451" s="1050"/>
      <c r="I451" s="1050"/>
      <c r="J451" s="1050"/>
      <c r="K451" s="1321"/>
      <c r="L451" s="1321"/>
      <c r="M451" s="1321"/>
      <c r="N451" s="1050"/>
    </row>
    <row r="452" spans="1:19" ht="18" customHeight="1">
      <c r="A452" s="111"/>
      <c r="B452" s="111"/>
      <c r="C452" s="1050"/>
      <c r="D452" s="1050"/>
      <c r="E452" s="1050"/>
      <c r="F452" s="1050"/>
      <c r="G452" s="1050"/>
      <c r="H452" s="1050"/>
      <c r="I452" s="1050"/>
      <c r="J452" s="1050"/>
      <c r="K452" s="1050"/>
      <c r="L452" s="1050"/>
      <c r="M452" s="1050"/>
      <c r="N452" s="1050"/>
    </row>
    <row r="453" spans="1:19" ht="18" customHeight="1">
      <c r="A453" s="111"/>
      <c r="B453" s="111"/>
      <c r="C453" s="1050"/>
      <c r="D453" s="1050"/>
      <c r="E453" s="1050"/>
      <c r="F453" s="1050"/>
      <c r="G453" s="1050"/>
      <c r="H453" s="1050"/>
      <c r="I453" s="1050"/>
      <c r="J453" s="1050"/>
      <c r="K453" s="1050"/>
      <c r="L453" s="1050"/>
      <c r="M453" s="1050"/>
      <c r="N453" s="1050"/>
    </row>
    <row r="454" spans="1:19" ht="18" customHeight="1">
      <c r="A454" s="111"/>
      <c r="B454" s="111"/>
      <c r="C454" s="1050"/>
      <c r="D454" s="1050"/>
      <c r="E454" s="1050"/>
      <c r="F454" s="1050"/>
      <c r="G454" s="1050"/>
      <c r="H454" s="1050"/>
      <c r="I454" s="1050"/>
      <c r="J454" s="1050"/>
      <c r="K454" s="1050"/>
      <c r="L454" s="1050"/>
      <c r="M454" s="1050"/>
      <c r="N454" s="1050"/>
    </row>
    <row r="455" spans="1:19" ht="18" customHeight="1">
      <c r="A455" s="111"/>
      <c r="B455" s="111"/>
      <c r="C455" s="1050"/>
      <c r="D455" s="1050"/>
      <c r="E455" s="1050"/>
      <c r="F455" s="1050"/>
      <c r="G455" s="1050"/>
      <c r="H455" s="1050"/>
      <c r="I455" s="1050"/>
      <c r="J455" s="1050"/>
      <c r="K455" s="1050"/>
      <c r="L455" s="1050"/>
      <c r="M455" s="1050"/>
      <c r="N455" s="1050"/>
    </row>
    <row r="456" spans="1:19" ht="18" customHeight="1">
      <c r="A456" s="111"/>
      <c r="B456" s="111"/>
      <c r="C456" s="1050"/>
      <c r="D456" s="1050"/>
      <c r="E456" s="1050"/>
      <c r="F456" s="1050"/>
      <c r="G456" s="1050"/>
      <c r="H456" s="1050"/>
      <c r="I456" s="1050"/>
      <c r="J456" s="1050"/>
      <c r="K456" s="1050"/>
      <c r="L456" s="1050"/>
      <c r="M456" s="1050"/>
      <c r="N456" s="1050"/>
    </row>
    <row r="457" spans="1:19" ht="18" customHeight="1">
      <c r="A457" s="111"/>
      <c r="B457" s="111"/>
      <c r="C457" s="1050"/>
      <c r="D457" s="1050"/>
      <c r="E457" s="1050"/>
      <c r="F457" s="1050"/>
      <c r="G457" s="1050"/>
      <c r="H457" s="1050"/>
      <c r="I457" s="1050"/>
      <c r="J457" s="1050"/>
      <c r="K457" s="1050"/>
      <c r="L457" s="1050"/>
      <c r="M457" s="1050"/>
      <c r="N457" s="1050"/>
    </row>
    <row r="458" spans="1:19" ht="18" customHeight="1">
      <c r="A458" s="111"/>
      <c r="B458" s="111"/>
      <c r="C458" s="1050"/>
      <c r="D458" s="1050"/>
      <c r="E458" s="1050"/>
      <c r="F458" s="1050"/>
      <c r="G458" s="1050"/>
      <c r="H458" s="1050"/>
      <c r="I458" s="1050"/>
      <c r="J458" s="1050"/>
      <c r="K458" s="1050"/>
      <c r="L458" s="1050"/>
      <c r="M458" s="1050"/>
      <c r="N458" s="1050"/>
    </row>
    <row r="459" spans="1:19" ht="18" customHeight="1"/>
    <row r="460" spans="1:19" s="179" customFormat="1" ht="20.100000000000001" customHeight="1">
      <c r="A460" s="1263" t="s">
        <v>989</v>
      </c>
      <c r="B460" s="1263"/>
      <c r="C460" s="1263"/>
      <c r="D460" s="1263"/>
      <c r="E460" s="1263"/>
      <c r="F460" s="1263"/>
      <c r="G460" s="1263"/>
      <c r="H460" s="1263"/>
      <c r="I460" s="1263"/>
      <c r="J460" s="1263"/>
      <c r="K460" s="1263"/>
      <c r="L460" s="1263"/>
      <c r="M460" s="1263"/>
      <c r="N460" s="1058"/>
      <c r="O460" s="271"/>
      <c r="P460" s="271"/>
      <c r="Q460" s="271"/>
      <c r="R460" s="271"/>
    </row>
    <row r="461" spans="1:19" ht="18" customHeight="1">
      <c r="A461" s="110"/>
      <c r="B461" s="110"/>
      <c r="C461" s="1057"/>
      <c r="D461" s="1057"/>
      <c r="E461" s="111"/>
      <c r="F461" s="111"/>
      <c r="G461" s="111"/>
      <c r="H461" s="111"/>
      <c r="I461" s="111"/>
      <c r="J461" s="111"/>
      <c r="K461" s="112"/>
      <c r="M461" s="114"/>
      <c r="N461" s="114"/>
    </row>
    <row r="462" spans="1:19" ht="18" customHeight="1">
      <c r="A462" s="1319" t="s">
        <v>1675</v>
      </c>
      <c r="B462" s="1319"/>
      <c r="C462" s="1319"/>
      <c r="D462" s="1319"/>
      <c r="E462" s="1319"/>
      <c r="F462" s="1319"/>
      <c r="G462" s="1319"/>
      <c r="H462" s="1319"/>
      <c r="I462" s="1319"/>
      <c r="J462" s="1319"/>
      <c r="K462" s="1319"/>
      <c r="L462" s="1319"/>
      <c r="M462" s="1319"/>
      <c r="N462" s="1048"/>
    </row>
    <row r="463" spans="1:19" ht="18" customHeight="1">
      <c r="A463" s="1320" t="s">
        <v>358</v>
      </c>
      <c r="B463" s="1320"/>
      <c r="C463" s="1320"/>
      <c r="D463" s="1320"/>
      <c r="E463" s="1320"/>
      <c r="F463" s="1320"/>
      <c r="G463" s="1320"/>
      <c r="H463" s="1320"/>
      <c r="I463" s="1320"/>
      <c r="J463" s="1320"/>
      <c r="K463" s="1320"/>
      <c r="L463" s="1320"/>
      <c r="M463" s="1320"/>
      <c r="N463" s="1049"/>
    </row>
    <row r="464" spans="1:19" ht="18" customHeight="1">
      <c r="A464" s="1321"/>
      <c r="B464" s="1321"/>
      <c r="C464" s="1321"/>
      <c r="D464" s="1321"/>
      <c r="E464" s="1321"/>
      <c r="F464" s="1321"/>
      <c r="G464" s="1321"/>
      <c r="H464" s="1321"/>
      <c r="I464" s="1321"/>
      <c r="J464" s="1321"/>
      <c r="K464" s="1321"/>
      <c r="L464" s="1321"/>
      <c r="M464" s="1321"/>
      <c r="N464" s="1050"/>
    </row>
    <row r="465" spans="1:19" ht="18" customHeight="1">
      <c r="A465" s="1050"/>
      <c r="B465" s="1050"/>
      <c r="C465" s="1050"/>
      <c r="D465" s="1050"/>
      <c r="E465" s="1050"/>
      <c r="F465" s="1050"/>
      <c r="G465" s="1050"/>
      <c r="H465" s="1050"/>
      <c r="I465" s="1050"/>
      <c r="J465" s="1050"/>
      <c r="K465" s="1050"/>
      <c r="L465" s="1050"/>
      <c r="M465" s="1050"/>
      <c r="N465" s="1050"/>
    </row>
    <row r="466" spans="1:19" ht="18" customHeight="1">
      <c r="A466" s="111" t="s">
        <v>463</v>
      </c>
      <c r="B466" s="111"/>
      <c r="C466" s="111" t="s">
        <v>448</v>
      </c>
      <c r="D466" s="111" t="s">
        <v>313</v>
      </c>
      <c r="E466" s="111"/>
      <c r="F466" s="111"/>
      <c r="G466" s="111"/>
      <c r="H466" s="1050"/>
      <c r="I466" s="1050"/>
      <c r="J466" s="1050"/>
      <c r="K466" s="1050"/>
      <c r="L466" s="1050"/>
      <c r="M466" s="1050"/>
      <c r="N466" s="1050"/>
    </row>
    <row r="467" spans="1:19" ht="18" customHeight="1">
      <c r="A467" s="111" t="s">
        <v>458</v>
      </c>
      <c r="B467" s="111"/>
      <c r="C467" s="111" t="s">
        <v>448</v>
      </c>
      <c r="D467" s="111" t="s">
        <v>464</v>
      </c>
      <c r="E467" s="111"/>
      <c r="F467" s="111"/>
      <c r="G467" s="111"/>
      <c r="H467" s="1050"/>
      <c r="I467" s="1050"/>
      <c r="J467" s="1050"/>
      <c r="K467" s="1050"/>
      <c r="L467" s="1050"/>
      <c r="M467" s="1050"/>
      <c r="N467" s="1050"/>
      <c r="O467" s="180"/>
    </row>
    <row r="468" spans="1:19" ht="18" customHeight="1" thickBot="1">
      <c r="A468" s="111" t="s">
        <v>455</v>
      </c>
      <c r="B468" s="111"/>
      <c r="C468" s="111" t="s">
        <v>448</v>
      </c>
      <c r="D468" s="111" t="s">
        <v>675</v>
      </c>
      <c r="E468" s="111"/>
      <c r="F468" s="111"/>
      <c r="G468" s="111"/>
      <c r="H468" s="1050"/>
      <c r="I468" s="1050"/>
      <c r="J468" s="1050"/>
      <c r="K468" s="1050"/>
      <c r="L468" s="1050"/>
      <c r="M468" s="1050"/>
      <c r="N468" s="1050"/>
      <c r="O468" s="180"/>
    </row>
    <row r="469" spans="1:19" ht="18" customHeight="1">
      <c r="A469" s="1322" t="s">
        <v>631</v>
      </c>
      <c r="B469" s="1323"/>
      <c r="C469" s="1323"/>
      <c r="D469" s="1323"/>
      <c r="E469" s="1324"/>
      <c r="F469" s="1323"/>
      <c r="G469" s="1325"/>
      <c r="H469" s="121"/>
      <c r="I469" s="1326" t="s">
        <v>635</v>
      </c>
      <c r="J469" s="1327"/>
      <c r="K469" s="1326" t="s">
        <v>635</v>
      </c>
      <c r="L469" s="1327"/>
      <c r="M469" s="122"/>
      <c r="N469" s="1012"/>
      <c r="O469" s="180"/>
    </row>
    <row r="470" spans="1:19" ht="18" customHeight="1">
      <c r="A470" s="123" t="s">
        <v>632</v>
      </c>
      <c r="B470" s="1311" t="s">
        <v>633</v>
      </c>
      <c r="C470" s="1312"/>
      <c r="D470" s="1313"/>
      <c r="E470" s="1314" t="s">
        <v>44</v>
      </c>
      <c r="F470" s="1315"/>
      <c r="G470" s="1316"/>
      <c r="H470" s="1054" t="s">
        <v>45</v>
      </c>
      <c r="I470" s="1314" t="s">
        <v>1502</v>
      </c>
      <c r="J470" s="1316"/>
      <c r="K470" s="1315" t="s">
        <v>1676</v>
      </c>
      <c r="L470" s="1316"/>
      <c r="M470" s="124" t="s">
        <v>46</v>
      </c>
      <c r="N470" s="1013"/>
    </row>
    <row r="471" spans="1:19" ht="18" customHeight="1">
      <c r="A471" s="125"/>
      <c r="B471" s="1054"/>
      <c r="C471" s="1055"/>
      <c r="D471" s="1055"/>
      <c r="E471" s="1054"/>
      <c r="F471" s="1055"/>
      <c r="G471" s="1056"/>
      <c r="H471" s="1054" t="s">
        <v>47</v>
      </c>
      <c r="I471" s="1317"/>
      <c r="J471" s="1318"/>
      <c r="K471" s="1317"/>
      <c r="L471" s="1318"/>
      <c r="M471" s="124" t="s">
        <v>48</v>
      </c>
      <c r="N471" s="1013"/>
    </row>
    <row r="472" spans="1:19" ht="18" customHeight="1">
      <c r="A472" s="125"/>
      <c r="B472" s="1054"/>
      <c r="C472" s="1055"/>
      <c r="D472" s="1055"/>
      <c r="E472" s="1054"/>
      <c r="F472" s="1055"/>
      <c r="G472" s="126"/>
      <c r="H472" s="127"/>
      <c r="I472" s="128" t="s">
        <v>634</v>
      </c>
      <c r="J472" s="129" t="s">
        <v>49</v>
      </c>
      <c r="K472" s="128" t="s">
        <v>634</v>
      </c>
      <c r="L472" s="129" t="s">
        <v>49</v>
      </c>
      <c r="M472" s="124"/>
      <c r="N472" s="120" t="s">
        <v>1628</v>
      </c>
    </row>
    <row r="473" spans="1:19" ht="18" customHeight="1" thickBot="1">
      <c r="A473" s="130"/>
      <c r="B473" s="1307"/>
      <c r="C473" s="1308"/>
      <c r="D473" s="1309"/>
      <c r="E473" s="1307"/>
      <c r="F473" s="1308"/>
      <c r="G473" s="1309"/>
      <c r="H473" s="131"/>
      <c r="I473" s="131"/>
      <c r="J473" s="131"/>
      <c r="K473" s="131"/>
      <c r="L473" s="131"/>
      <c r="M473" s="132"/>
      <c r="N473" s="1019" t="s">
        <v>1629</v>
      </c>
    </row>
    <row r="474" spans="1:19" ht="18" customHeight="1">
      <c r="A474" s="181"/>
      <c r="B474" s="119"/>
      <c r="C474" s="119"/>
      <c r="D474" s="119"/>
      <c r="E474" s="133"/>
      <c r="F474" s="119"/>
      <c r="G474" s="134"/>
      <c r="H474" s="135"/>
      <c r="I474" s="182"/>
      <c r="J474" s="137"/>
      <c r="K474" s="182"/>
      <c r="L474" s="137"/>
      <c r="M474" s="137"/>
      <c r="N474" s="1016"/>
    </row>
    <row r="475" spans="1:19" s="146" customFormat="1" ht="18" customHeight="1">
      <c r="A475" s="183">
        <v>1</v>
      </c>
      <c r="B475" s="1060"/>
      <c r="C475" s="1060"/>
      <c r="D475" s="1060"/>
      <c r="E475" s="154" t="s">
        <v>77</v>
      </c>
      <c r="F475" s="1060"/>
      <c r="G475" s="140"/>
      <c r="H475" s="141" t="s">
        <v>17</v>
      </c>
      <c r="I475" s="184" t="s">
        <v>78</v>
      </c>
      <c r="J475" s="175">
        <v>990948</v>
      </c>
      <c r="K475" s="184" t="s">
        <v>78</v>
      </c>
      <c r="L475" s="175">
        <v>1010004</v>
      </c>
      <c r="M475" s="144">
        <f>L475-J475</f>
        <v>19056</v>
      </c>
      <c r="N475" s="1015">
        <f>L475/12</f>
        <v>84167</v>
      </c>
      <c r="O475" s="115">
        <f>L475-J475</f>
        <v>19056</v>
      </c>
      <c r="P475" s="115">
        <f>O475-M475</f>
        <v>0</v>
      </c>
      <c r="Q475" s="116">
        <v>69142</v>
      </c>
      <c r="R475" s="116">
        <f>Q475*12</f>
        <v>829704</v>
      </c>
      <c r="S475" s="145">
        <f>R475-L475</f>
        <v>-180300</v>
      </c>
    </row>
    <row r="476" spans="1:19" s="146" customFormat="1" ht="18" customHeight="1">
      <c r="A476" s="183"/>
      <c r="B476" s="1060"/>
      <c r="C476" s="1060"/>
      <c r="D476" s="1060"/>
      <c r="E476" s="154" t="s">
        <v>901</v>
      </c>
      <c r="F476" s="1060"/>
      <c r="G476" s="140"/>
      <c r="H476" s="141"/>
      <c r="I476" s="185"/>
      <c r="J476" s="175"/>
      <c r="K476" s="185"/>
      <c r="L476" s="175"/>
      <c r="M476" s="143"/>
      <c r="N476" s="170"/>
      <c r="O476" s="115"/>
      <c r="P476" s="115"/>
      <c r="Q476" s="116"/>
      <c r="R476" s="116"/>
      <c r="S476" s="117"/>
    </row>
    <row r="477" spans="1:19" s="146" customFormat="1" ht="18" customHeight="1">
      <c r="A477" s="183"/>
      <c r="B477" s="1060"/>
      <c r="C477" s="1060"/>
      <c r="D477" s="1060"/>
      <c r="E477" s="154"/>
      <c r="F477" s="1060"/>
      <c r="G477" s="140"/>
      <c r="H477" s="141"/>
      <c r="I477" s="185"/>
      <c r="J477" s="175"/>
      <c r="K477" s="185"/>
      <c r="L477" s="175"/>
      <c r="M477" s="143"/>
      <c r="N477" s="170"/>
      <c r="O477" s="115"/>
      <c r="P477" s="115"/>
      <c r="Q477" s="116"/>
      <c r="R477" s="116"/>
      <c r="S477" s="117"/>
    </row>
    <row r="478" spans="1:19" s="146" customFormat="1" ht="18" customHeight="1">
      <c r="A478" s="183"/>
      <c r="B478" s="1060"/>
      <c r="C478" s="1060"/>
      <c r="D478" s="1060"/>
      <c r="E478" s="154"/>
      <c r="F478" s="1060"/>
      <c r="G478" s="140"/>
      <c r="H478" s="141"/>
      <c r="I478" s="185"/>
      <c r="J478" s="175"/>
      <c r="K478" s="185"/>
      <c r="L478" s="175"/>
      <c r="M478" s="143"/>
      <c r="N478" s="170"/>
      <c r="O478" s="115"/>
      <c r="P478" s="115"/>
      <c r="Q478" s="116"/>
      <c r="R478" s="116"/>
      <c r="S478" s="117"/>
    </row>
    <row r="479" spans="1:19" s="146" customFormat="1" ht="18" customHeight="1">
      <c r="A479" s="183">
        <v>2</v>
      </c>
      <c r="B479" s="1060"/>
      <c r="C479" s="1060"/>
      <c r="D479" s="1060"/>
      <c r="E479" s="154" t="s">
        <v>64</v>
      </c>
      <c r="F479" s="1060"/>
      <c r="G479" s="140"/>
      <c r="H479" s="141" t="s">
        <v>90</v>
      </c>
      <c r="I479" s="142" t="s">
        <v>134</v>
      </c>
      <c r="J479" s="143">
        <v>246444</v>
      </c>
      <c r="K479" s="142" t="s">
        <v>134</v>
      </c>
      <c r="L479" s="143">
        <v>262380</v>
      </c>
      <c r="M479" s="144">
        <f>L479-J479</f>
        <v>15936</v>
      </c>
      <c r="N479" s="1015">
        <f>L479/12</f>
        <v>21865</v>
      </c>
      <c r="O479" s="115">
        <f>L479-J479</f>
        <v>15936</v>
      </c>
      <c r="P479" s="115">
        <f>O479-M479</f>
        <v>0</v>
      </c>
      <c r="Q479" s="116">
        <v>17152</v>
      </c>
      <c r="R479" s="116">
        <f>Q479*12</f>
        <v>205824</v>
      </c>
      <c r="S479" s="145">
        <f>R479-L479</f>
        <v>-56556</v>
      </c>
    </row>
    <row r="480" spans="1:19" s="146" customFormat="1" ht="18" customHeight="1">
      <c r="A480" s="183"/>
      <c r="B480" s="1060"/>
      <c r="C480" s="1060"/>
      <c r="D480" s="1060"/>
      <c r="E480" s="154"/>
      <c r="F480" s="1060"/>
      <c r="G480" s="140"/>
      <c r="H480" s="141"/>
      <c r="I480" s="142"/>
      <c r="J480" s="143"/>
      <c r="K480" s="142"/>
      <c r="L480" s="143"/>
      <c r="M480" s="144"/>
      <c r="N480" s="1015"/>
      <c r="O480" s="115"/>
      <c r="P480" s="115"/>
      <c r="Q480" s="116"/>
      <c r="R480" s="116"/>
      <c r="S480" s="145"/>
    </row>
    <row r="481" spans="1:19" s="146" customFormat="1" ht="18" customHeight="1">
      <c r="A481" s="183"/>
      <c r="B481" s="1060"/>
      <c r="C481" s="1060"/>
      <c r="D481" s="1060"/>
      <c r="E481" s="154"/>
      <c r="F481" s="1060"/>
      <c r="G481" s="140"/>
      <c r="H481" s="141"/>
      <c r="I481" s="142"/>
      <c r="J481" s="143"/>
      <c r="K481" s="142"/>
      <c r="L481" s="143"/>
      <c r="M481" s="144"/>
      <c r="N481" s="1015"/>
      <c r="O481" s="115"/>
      <c r="P481" s="115"/>
      <c r="Q481" s="116"/>
      <c r="R481" s="116"/>
      <c r="S481" s="145"/>
    </row>
    <row r="482" spans="1:19" s="146" customFormat="1" ht="18" customHeight="1">
      <c r="A482" s="183"/>
      <c r="B482" s="1060"/>
      <c r="C482" s="1060"/>
      <c r="D482" s="1060"/>
      <c r="E482" s="1059"/>
      <c r="F482" s="1060"/>
      <c r="G482" s="140"/>
      <c r="H482" s="141"/>
      <c r="I482" s="142"/>
      <c r="J482" s="149"/>
      <c r="K482" s="142"/>
      <c r="L482" s="149"/>
      <c r="M482" s="143"/>
      <c r="N482" s="170"/>
      <c r="O482" s="115"/>
      <c r="P482" s="115"/>
      <c r="Q482" s="116"/>
      <c r="R482" s="116"/>
      <c r="S482" s="117"/>
    </row>
    <row r="483" spans="1:19" s="146" customFormat="1" ht="18" customHeight="1">
      <c r="A483" s="183">
        <v>3</v>
      </c>
      <c r="B483" s="1060"/>
      <c r="C483" s="1060"/>
      <c r="D483" s="1060"/>
      <c r="E483" s="154" t="s">
        <v>87</v>
      </c>
      <c r="F483" s="1060"/>
      <c r="G483" s="140"/>
      <c r="H483" s="141" t="s">
        <v>281</v>
      </c>
      <c r="I483" s="184" t="s">
        <v>164</v>
      </c>
      <c r="J483" s="175">
        <v>186156</v>
      </c>
      <c r="K483" s="184" t="s">
        <v>164</v>
      </c>
      <c r="L483" s="175">
        <v>193776</v>
      </c>
      <c r="M483" s="144">
        <f>L483-J483</f>
        <v>7620</v>
      </c>
      <c r="N483" s="1015">
        <f>L483/12</f>
        <v>16148</v>
      </c>
      <c r="O483" s="115">
        <f>L483-J483</f>
        <v>7620</v>
      </c>
      <c r="P483" s="115">
        <f>O483-M483</f>
        <v>0</v>
      </c>
      <c r="Q483" s="116">
        <v>13840</v>
      </c>
      <c r="R483" s="116">
        <f>Q483*12</f>
        <v>166080</v>
      </c>
      <c r="S483" s="145">
        <f>R483-L483</f>
        <v>-27696</v>
      </c>
    </row>
    <row r="484" spans="1:19" s="146" customFormat="1" ht="18" customHeight="1">
      <c r="A484" s="183"/>
      <c r="B484" s="1060"/>
      <c r="C484" s="1060"/>
      <c r="D484" s="1060"/>
      <c r="E484" s="1059"/>
      <c r="F484" s="1060"/>
      <c r="G484" s="140"/>
      <c r="H484" s="141"/>
      <c r="I484" s="142"/>
      <c r="J484" s="143"/>
      <c r="K484" s="142"/>
      <c r="L484" s="143"/>
      <c r="M484" s="143"/>
      <c r="N484" s="170"/>
      <c r="O484" s="115"/>
      <c r="P484" s="115"/>
      <c r="Q484" s="116"/>
      <c r="R484" s="116"/>
      <c r="S484" s="117"/>
    </row>
    <row r="485" spans="1:19" s="146" customFormat="1" ht="18" customHeight="1">
      <c r="A485" s="183"/>
      <c r="B485" s="1060"/>
      <c r="C485" s="1060"/>
      <c r="D485" s="1060"/>
      <c r="E485" s="1059"/>
      <c r="F485" s="1060"/>
      <c r="G485" s="140"/>
      <c r="H485" s="141"/>
      <c r="I485" s="142"/>
      <c r="J485" s="143"/>
      <c r="K485" s="142"/>
      <c r="L485" s="143"/>
      <c r="M485" s="143"/>
      <c r="N485" s="170"/>
      <c r="O485" s="115"/>
      <c r="P485" s="115"/>
      <c r="Q485" s="116"/>
      <c r="R485" s="116"/>
      <c r="S485" s="117"/>
    </row>
    <row r="486" spans="1:19" s="146" customFormat="1" ht="18" customHeight="1">
      <c r="A486" s="183"/>
      <c r="B486" s="1060"/>
      <c r="C486" s="1060"/>
      <c r="D486" s="1060"/>
      <c r="E486" s="1059"/>
      <c r="F486" s="1060"/>
      <c r="G486" s="140"/>
      <c r="H486" s="141"/>
      <c r="I486" s="142"/>
      <c r="J486" s="143"/>
      <c r="K486" s="142"/>
      <c r="L486" s="143"/>
      <c r="M486" s="143"/>
      <c r="N486" s="170"/>
      <c r="O486" s="115"/>
      <c r="P486" s="115"/>
      <c r="Q486" s="116"/>
      <c r="R486" s="116"/>
      <c r="S486" s="117"/>
    </row>
    <row r="487" spans="1:19" s="146" customFormat="1" ht="18" customHeight="1">
      <c r="A487" s="183"/>
      <c r="B487" s="1060"/>
      <c r="C487" s="1060"/>
      <c r="D487" s="1060"/>
      <c r="E487" s="1059"/>
      <c r="F487" s="1060"/>
      <c r="G487" s="140"/>
      <c r="H487" s="141"/>
      <c r="I487" s="142"/>
      <c r="J487" s="143"/>
      <c r="K487" s="142"/>
      <c r="L487" s="143"/>
      <c r="M487" s="143"/>
      <c r="N487" s="170"/>
      <c r="O487" s="115"/>
      <c r="P487" s="115"/>
      <c r="Q487" s="116"/>
      <c r="R487" s="116"/>
      <c r="S487" s="117"/>
    </row>
    <row r="488" spans="1:19" s="146" customFormat="1" ht="18" customHeight="1">
      <c r="A488" s="183"/>
      <c r="B488" s="1060"/>
      <c r="C488" s="1060"/>
      <c r="D488" s="1060"/>
      <c r="E488" s="1059"/>
      <c r="F488" s="1060"/>
      <c r="G488" s="140"/>
      <c r="H488" s="141"/>
      <c r="I488" s="142"/>
      <c r="J488" s="143"/>
      <c r="K488" s="142"/>
      <c r="L488" s="143"/>
      <c r="M488" s="143"/>
      <c r="N488" s="170"/>
      <c r="O488" s="115"/>
      <c r="P488" s="115"/>
      <c r="Q488" s="116"/>
      <c r="R488" s="116"/>
      <c r="S488" s="117"/>
    </row>
    <row r="489" spans="1:19" s="146" customFormat="1" ht="18" customHeight="1">
      <c r="A489" s="183"/>
      <c r="B489" s="1060"/>
      <c r="C489" s="1060"/>
      <c r="D489" s="1060"/>
      <c r="E489" s="1059"/>
      <c r="F489" s="1060"/>
      <c r="G489" s="140"/>
      <c r="H489" s="141"/>
      <c r="I489" s="142"/>
      <c r="J489" s="143"/>
      <c r="K489" s="142"/>
      <c r="L489" s="143"/>
      <c r="M489" s="143"/>
      <c r="N489" s="170"/>
      <c r="O489" s="115"/>
      <c r="P489" s="115"/>
      <c r="Q489" s="116"/>
      <c r="R489" s="116"/>
      <c r="S489" s="117"/>
    </row>
    <row r="490" spans="1:19" s="146" customFormat="1" ht="18" customHeight="1">
      <c r="A490" s="183"/>
      <c r="B490" s="1060"/>
      <c r="C490" s="1060"/>
      <c r="D490" s="1060"/>
      <c r="E490" s="1059"/>
      <c r="F490" s="1060"/>
      <c r="G490" s="140"/>
      <c r="H490" s="141"/>
      <c r="I490" s="142"/>
      <c r="J490" s="143"/>
      <c r="K490" s="142"/>
      <c r="L490" s="143"/>
      <c r="M490" s="143"/>
      <c r="N490" s="170"/>
      <c r="O490" s="115"/>
      <c r="P490" s="115"/>
      <c r="Q490" s="116"/>
      <c r="R490" s="116"/>
      <c r="S490" s="117"/>
    </row>
    <row r="491" spans="1:19" s="146" customFormat="1" ht="18" customHeight="1">
      <c r="A491" s="183"/>
      <c r="B491" s="1060"/>
      <c r="C491" s="1060"/>
      <c r="D491" s="1060"/>
      <c r="E491" s="1059"/>
      <c r="F491" s="1060"/>
      <c r="G491" s="140"/>
      <c r="H491" s="141"/>
      <c r="I491" s="142"/>
      <c r="J491" s="143"/>
      <c r="K491" s="142"/>
      <c r="L491" s="143"/>
      <c r="M491" s="143"/>
      <c r="N491" s="170"/>
      <c r="O491" s="115"/>
      <c r="P491" s="115"/>
      <c r="Q491" s="116"/>
      <c r="R491" s="116"/>
      <c r="S491" s="117"/>
    </row>
    <row r="492" spans="1:19" s="146" customFormat="1" ht="18" customHeight="1">
      <c r="A492" s="183"/>
      <c r="B492" s="1060"/>
      <c r="C492" s="1060"/>
      <c r="D492" s="1060"/>
      <c r="E492" s="1059"/>
      <c r="F492" s="1060"/>
      <c r="G492" s="140"/>
      <c r="H492" s="141"/>
      <c r="I492" s="142"/>
      <c r="J492" s="143"/>
      <c r="K492" s="142"/>
      <c r="L492" s="143"/>
      <c r="M492" s="143"/>
      <c r="N492" s="170"/>
      <c r="O492" s="115"/>
      <c r="P492" s="115"/>
      <c r="Q492" s="116"/>
      <c r="R492" s="116"/>
      <c r="S492" s="117"/>
    </row>
    <row r="493" spans="1:19" s="146" customFormat="1" ht="18" customHeight="1">
      <c r="A493" s="183"/>
      <c r="B493" s="1060"/>
      <c r="C493" s="1060"/>
      <c r="D493" s="1060"/>
      <c r="E493" s="1059"/>
      <c r="F493" s="1060"/>
      <c r="G493" s="140"/>
      <c r="H493" s="141"/>
      <c r="I493" s="142"/>
      <c r="J493" s="143"/>
      <c r="K493" s="142"/>
      <c r="L493" s="143"/>
      <c r="M493" s="143"/>
      <c r="N493" s="170"/>
      <c r="O493" s="115"/>
      <c r="P493" s="115"/>
      <c r="Q493" s="116"/>
      <c r="R493" s="116"/>
      <c r="S493" s="117"/>
    </row>
    <row r="494" spans="1:19" s="146" customFormat="1" ht="18" customHeight="1">
      <c r="A494" s="183"/>
      <c r="B494" s="1060"/>
      <c r="C494" s="1060"/>
      <c r="D494" s="1060"/>
      <c r="E494" s="1059"/>
      <c r="F494" s="1060"/>
      <c r="G494" s="140"/>
      <c r="H494" s="141"/>
      <c r="I494" s="142"/>
      <c r="J494" s="143"/>
      <c r="K494" s="142"/>
      <c r="L494" s="143"/>
      <c r="M494" s="143"/>
      <c r="N494" s="170"/>
      <c r="O494" s="115"/>
      <c r="P494" s="115"/>
      <c r="Q494" s="116"/>
      <c r="R494" s="116"/>
      <c r="S494" s="117"/>
    </row>
    <row r="495" spans="1:19" s="146" customFormat="1" ht="18" customHeight="1">
      <c r="A495" s="183"/>
      <c r="B495" s="1060"/>
      <c r="C495" s="1060"/>
      <c r="D495" s="1060"/>
      <c r="E495" s="1059"/>
      <c r="F495" s="1060"/>
      <c r="G495" s="140"/>
      <c r="H495" s="141"/>
      <c r="I495" s="142"/>
      <c r="J495" s="143"/>
      <c r="K495" s="142"/>
      <c r="L495" s="143"/>
      <c r="M495" s="143"/>
      <c r="N495" s="170"/>
      <c r="O495" s="115"/>
      <c r="P495" s="115"/>
      <c r="Q495" s="116"/>
      <c r="R495" s="116"/>
      <c r="S495" s="117"/>
    </row>
    <row r="496" spans="1:19" s="146" customFormat="1" ht="18" customHeight="1">
      <c r="A496" s="183"/>
      <c r="B496" s="1060"/>
      <c r="C496" s="1060"/>
      <c r="D496" s="1060"/>
      <c r="E496" s="1059"/>
      <c r="F496" s="1060"/>
      <c r="G496" s="140"/>
      <c r="H496" s="141"/>
      <c r="I496" s="142"/>
      <c r="J496" s="143"/>
      <c r="K496" s="142"/>
      <c r="L496" s="143"/>
      <c r="M496" s="143"/>
      <c r="N496" s="170"/>
      <c r="O496" s="115"/>
      <c r="P496" s="115"/>
      <c r="Q496" s="116"/>
      <c r="R496" s="116"/>
      <c r="S496" s="117"/>
    </row>
    <row r="497" spans="1:19" s="146" customFormat="1" ht="18" customHeight="1">
      <c r="A497" s="183"/>
      <c r="B497" s="1060"/>
      <c r="C497" s="1060"/>
      <c r="D497" s="1060"/>
      <c r="E497" s="1059"/>
      <c r="F497" s="1060"/>
      <c r="G497" s="140"/>
      <c r="H497" s="141"/>
      <c r="I497" s="142"/>
      <c r="J497" s="143"/>
      <c r="K497" s="142"/>
      <c r="L497" s="143"/>
      <c r="M497" s="143"/>
      <c r="N497" s="170"/>
      <c r="O497" s="115"/>
      <c r="P497" s="115"/>
      <c r="Q497" s="116"/>
      <c r="R497" s="116"/>
      <c r="S497" s="117"/>
    </row>
    <row r="498" spans="1:19" s="146" customFormat="1" ht="18" customHeight="1">
      <c r="A498" s="183"/>
      <c r="B498" s="1060"/>
      <c r="C498" s="1060"/>
      <c r="D498" s="1060"/>
      <c r="E498" s="1059"/>
      <c r="F498" s="1060"/>
      <c r="G498" s="140"/>
      <c r="H498" s="141"/>
      <c r="I498" s="142"/>
      <c r="J498" s="143"/>
      <c r="K498" s="142"/>
      <c r="L498" s="143"/>
      <c r="M498" s="143"/>
      <c r="N498" s="170"/>
      <c r="O498" s="115"/>
      <c r="P498" s="115"/>
      <c r="Q498" s="116"/>
      <c r="R498" s="116"/>
      <c r="S498" s="117"/>
    </row>
    <row r="499" spans="1:19" s="146" customFormat="1" ht="18" customHeight="1">
      <c r="A499" s="183"/>
      <c r="B499" s="1060"/>
      <c r="C499" s="1060"/>
      <c r="D499" s="1060"/>
      <c r="E499" s="1059"/>
      <c r="F499" s="1060"/>
      <c r="G499" s="140"/>
      <c r="H499" s="141"/>
      <c r="I499" s="142"/>
      <c r="J499" s="143"/>
      <c r="K499" s="142"/>
      <c r="L499" s="143"/>
      <c r="M499" s="143"/>
      <c r="N499" s="170"/>
      <c r="O499" s="115"/>
      <c r="P499" s="115"/>
      <c r="Q499" s="116"/>
      <c r="R499" s="116"/>
      <c r="S499" s="117"/>
    </row>
    <row r="500" spans="1:19" s="146" customFormat="1" ht="18" customHeight="1">
      <c r="A500" s="183"/>
      <c r="B500" s="1060"/>
      <c r="C500" s="1060"/>
      <c r="D500" s="1060"/>
      <c r="E500" s="1059"/>
      <c r="F500" s="1060"/>
      <c r="G500" s="140"/>
      <c r="H500" s="141"/>
      <c r="I500" s="142"/>
      <c r="J500" s="143"/>
      <c r="K500" s="142"/>
      <c r="L500" s="143"/>
      <c r="M500" s="143"/>
      <c r="N500" s="170"/>
      <c r="O500" s="115"/>
      <c r="P500" s="115"/>
      <c r="Q500" s="116"/>
      <c r="R500" s="116"/>
      <c r="S500" s="117"/>
    </row>
    <row r="501" spans="1:19" s="146" customFormat="1" ht="18" customHeight="1">
      <c r="A501" s="141"/>
      <c r="B501" s="155"/>
      <c r="C501" s="1060"/>
      <c r="D501" s="1060"/>
      <c r="E501" s="154"/>
      <c r="F501" s="155"/>
      <c r="G501" s="140"/>
      <c r="H501" s="141"/>
      <c r="I501" s="142"/>
      <c r="J501" s="143"/>
      <c r="K501" s="142"/>
      <c r="L501" s="143"/>
      <c r="M501" s="143"/>
      <c r="N501" s="170"/>
      <c r="O501" s="115"/>
      <c r="P501" s="115"/>
      <c r="Q501" s="116"/>
      <c r="R501" s="116"/>
      <c r="S501" s="117"/>
    </row>
    <row r="502" spans="1:19" s="146" customFormat="1" ht="18" customHeight="1">
      <c r="A502" s="141"/>
      <c r="B502" s="155"/>
      <c r="C502" s="1060"/>
      <c r="D502" s="1060"/>
      <c r="E502" s="154"/>
      <c r="F502" s="155"/>
      <c r="G502" s="140"/>
      <c r="H502" s="141"/>
      <c r="I502" s="142"/>
      <c r="J502" s="143"/>
      <c r="K502" s="142"/>
      <c r="L502" s="143"/>
      <c r="M502" s="143"/>
      <c r="N502" s="170"/>
      <c r="O502" s="115"/>
      <c r="P502" s="115"/>
      <c r="Q502" s="116"/>
      <c r="R502" s="116"/>
      <c r="S502" s="117"/>
    </row>
    <row r="503" spans="1:19" s="146" customFormat="1" ht="18" customHeight="1">
      <c r="A503" s="141"/>
      <c r="B503" s="155"/>
      <c r="C503" s="1060"/>
      <c r="D503" s="1060"/>
      <c r="E503" s="154"/>
      <c r="F503" s="155"/>
      <c r="G503" s="140"/>
      <c r="H503" s="141"/>
      <c r="I503" s="210"/>
      <c r="J503" s="143"/>
      <c r="K503" s="210"/>
      <c r="L503" s="143"/>
      <c r="M503" s="143"/>
      <c r="N503" s="170"/>
      <c r="O503" s="115"/>
      <c r="P503" s="115"/>
      <c r="Q503" s="116"/>
      <c r="R503" s="116"/>
      <c r="S503" s="117"/>
    </row>
    <row r="504" spans="1:19" s="146" customFormat="1" ht="18" customHeight="1">
      <c r="A504" s="141"/>
      <c r="B504" s="155"/>
      <c r="C504" s="1060"/>
      <c r="D504" s="1060"/>
      <c r="E504" s="154"/>
      <c r="F504" s="155"/>
      <c r="G504" s="140"/>
      <c r="H504" s="141"/>
      <c r="I504" s="210"/>
      <c r="J504" s="143"/>
      <c r="K504" s="210"/>
      <c r="L504" s="143"/>
      <c r="M504" s="143"/>
      <c r="N504" s="170"/>
      <c r="O504" s="115"/>
      <c r="P504" s="115"/>
      <c r="Q504" s="116"/>
      <c r="R504" s="116"/>
      <c r="S504" s="117"/>
    </row>
    <row r="505" spans="1:19" s="146" customFormat="1" ht="18" customHeight="1">
      <c r="A505" s="141"/>
      <c r="B505" s="155"/>
      <c r="C505" s="1060"/>
      <c r="D505" s="1060"/>
      <c r="E505" s="154"/>
      <c r="F505" s="155"/>
      <c r="G505" s="140"/>
      <c r="H505" s="141"/>
      <c r="I505" s="210"/>
      <c r="J505" s="143"/>
      <c r="K505" s="210"/>
      <c r="L505" s="143"/>
      <c r="M505" s="143"/>
      <c r="N505" s="170"/>
      <c r="O505" s="115"/>
      <c r="P505" s="115"/>
      <c r="Q505" s="116"/>
      <c r="R505" s="116"/>
      <c r="S505" s="117"/>
    </row>
    <row r="506" spans="1:19" s="146" customFormat="1" ht="18" customHeight="1">
      <c r="A506" s="141"/>
      <c r="B506" s="155"/>
      <c r="C506" s="1060"/>
      <c r="D506" s="1060"/>
      <c r="E506" s="154"/>
      <c r="F506" s="155"/>
      <c r="G506" s="140"/>
      <c r="H506" s="141"/>
      <c r="I506" s="210"/>
      <c r="J506" s="143"/>
      <c r="K506" s="210"/>
      <c r="L506" s="143"/>
      <c r="M506" s="143"/>
      <c r="N506" s="170"/>
      <c r="O506" s="115"/>
      <c r="P506" s="115"/>
      <c r="Q506" s="116"/>
      <c r="R506" s="116"/>
      <c r="S506" s="117"/>
    </row>
    <row r="507" spans="1:19" s="146" customFormat="1" ht="18" customHeight="1">
      <c r="A507" s="141"/>
      <c r="B507" s="155"/>
      <c r="C507" s="1060"/>
      <c r="D507" s="1060"/>
      <c r="E507" s="154"/>
      <c r="F507" s="155"/>
      <c r="G507" s="140"/>
      <c r="H507" s="141"/>
      <c r="I507" s="210"/>
      <c r="J507" s="143"/>
      <c r="K507" s="210"/>
      <c r="L507" s="143"/>
      <c r="M507" s="143"/>
      <c r="N507" s="170"/>
      <c r="O507" s="115"/>
      <c r="P507" s="115"/>
      <c r="Q507" s="116"/>
      <c r="R507" s="116"/>
      <c r="S507" s="117"/>
    </row>
    <row r="508" spans="1:19" s="146" customFormat="1" ht="18" customHeight="1">
      <c r="A508" s="141"/>
      <c r="B508" s="155"/>
      <c r="C508" s="1060"/>
      <c r="D508" s="1060"/>
      <c r="E508" s="154"/>
      <c r="F508" s="155"/>
      <c r="G508" s="140"/>
      <c r="H508" s="141"/>
      <c r="I508" s="210"/>
      <c r="J508" s="143"/>
      <c r="K508" s="210"/>
      <c r="L508" s="143"/>
      <c r="M508" s="143"/>
      <c r="N508" s="170"/>
      <c r="O508" s="115"/>
      <c r="P508" s="115"/>
      <c r="Q508" s="116"/>
      <c r="R508" s="116"/>
      <c r="S508" s="117"/>
    </row>
    <row r="509" spans="1:19" s="146" customFormat="1" ht="18" customHeight="1">
      <c r="A509" s="141"/>
      <c r="B509" s="155"/>
      <c r="C509" s="1060"/>
      <c r="D509" s="1060"/>
      <c r="E509" s="154"/>
      <c r="F509" s="155"/>
      <c r="G509" s="140"/>
      <c r="H509" s="141"/>
      <c r="I509" s="210"/>
      <c r="J509" s="143"/>
      <c r="K509" s="210"/>
      <c r="L509" s="143"/>
      <c r="M509" s="143"/>
      <c r="N509" s="170"/>
      <c r="O509" s="115"/>
      <c r="P509" s="115"/>
      <c r="Q509" s="116"/>
      <c r="R509" s="116"/>
      <c r="S509" s="117"/>
    </row>
    <row r="510" spans="1:19" s="146" customFormat="1" ht="18" customHeight="1">
      <c r="A510" s="141"/>
      <c r="B510" s="155"/>
      <c r="C510" s="1060"/>
      <c r="D510" s="1060"/>
      <c r="E510" s="154"/>
      <c r="F510" s="155"/>
      <c r="G510" s="140"/>
      <c r="H510" s="141"/>
      <c r="I510" s="210"/>
      <c r="J510" s="143"/>
      <c r="K510" s="210"/>
      <c r="L510" s="143"/>
      <c r="M510" s="143"/>
      <c r="N510" s="170"/>
      <c r="O510" s="115"/>
      <c r="P510" s="115"/>
      <c r="Q510" s="116"/>
      <c r="R510" s="116"/>
      <c r="S510" s="117"/>
    </row>
    <row r="511" spans="1:19" s="146" customFormat="1" ht="18" customHeight="1">
      <c r="A511" s="141"/>
      <c r="B511" s="155"/>
      <c r="C511" s="1060"/>
      <c r="D511" s="1060"/>
      <c r="E511" s="154"/>
      <c r="F511" s="155"/>
      <c r="G511" s="140"/>
      <c r="H511" s="141"/>
      <c r="I511" s="210"/>
      <c r="J511" s="143"/>
      <c r="K511" s="210"/>
      <c r="L511" s="143"/>
      <c r="M511" s="143"/>
      <c r="N511" s="170"/>
      <c r="O511" s="115"/>
      <c r="P511" s="115"/>
      <c r="Q511" s="116"/>
      <c r="R511" s="116"/>
      <c r="S511" s="117"/>
    </row>
    <row r="512" spans="1:19" s="146" customFormat="1" ht="18" customHeight="1">
      <c r="A512" s="141"/>
      <c r="B512" s="155"/>
      <c r="C512" s="1060"/>
      <c r="D512" s="1060"/>
      <c r="E512" s="154"/>
      <c r="F512" s="155"/>
      <c r="G512" s="1061"/>
      <c r="H512" s="141"/>
      <c r="I512" s="210"/>
      <c r="J512" s="215"/>
      <c r="K512" s="210"/>
      <c r="L512" s="215"/>
      <c r="M512" s="215"/>
      <c r="N512" s="171"/>
      <c r="O512" s="115"/>
      <c r="P512" s="115"/>
      <c r="Q512" s="116"/>
      <c r="R512" s="116"/>
      <c r="S512" s="117"/>
    </row>
    <row r="513" spans="1:23" s="146" customFormat="1" ht="18" customHeight="1">
      <c r="A513" s="141"/>
      <c r="B513" s="155"/>
      <c r="C513" s="1060"/>
      <c r="D513" s="1060"/>
      <c r="E513" s="154"/>
      <c r="F513" s="155"/>
      <c r="G513" s="140"/>
      <c r="H513" s="141"/>
      <c r="I513" s="210"/>
      <c r="J513" s="143"/>
      <c r="K513" s="210"/>
      <c r="L513" s="143"/>
      <c r="M513" s="143"/>
      <c r="N513" s="170"/>
      <c r="O513" s="115"/>
      <c r="P513" s="115"/>
      <c r="Q513" s="116"/>
      <c r="R513" s="116"/>
      <c r="S513" s="117"/>
    </row>
    <row r="514" spans="1:23" s="168" customFormat="1" ht="18" customHeight="1" thickBot="1">
      <c r="A514" s="162"/>
      <c r="B514" s="159"/>
      <c r="C514" s="158"/>
      <c r="D514" s="158"/>
      <c r="E514" s="157"/>
      <c r="F514" s="159"/>
      <c r="G514" s="160"/>
      <c r="H514" s="161" t="s">
        <v>15</v>
      </c>
      <c r="I514" s="214"/>
      <c r="J514" s="163">
        <f>SUM(J475:J513)</f>
        <v>1423548</v>
      </c>
      <c r="K514" s="214"/>
      <c r="L514" s="163">
        <f>SUM(L475:L513)</f>
        <v>1466160</v>
      </c>
      <c r="M514" s="163">
        <f>SUM(M475:M513)</f>
        <v>42612</v>
      </c>
      <c r="N514" s="169"/>
      <c r="O514" s="165"/>
      <c r="P514" s="165"/>
      <c r="Q514" s="166"/>
      <c r="R514" s="166"/>
      <c r="S514" s="167"/>
    </row>
    <row r="515" spans="1:23" s="146" customFormat="1" ht="18" customHeight="1" thickTop="1">
      <c r="A515" s="155"/>
      <c r="B515" s="155"/>
      <c r="C515" s="1060"/>
      <c r="D515" s="1060"/>
      <c r="E515" s="155"/>
      <c r="F515" s="155"/>
      <c r="G515" s="155"/>
      <c r="H515" s="155"/>
      <c r="I515" s="155"/>
      <c r="J515" s="169"/>
      <c r="K515" s="172"/>
      <c r="L515" s="171"/>
      <c r="M515" s="171"/>
      <c r="N515" s="171"/>
      <c r="O515" s="115"/>
      <c r="P515" s="115"/>
      <c r="Q515" s="116"/>
      <c r="R515" s="116"/>
      <c r="S515" s="117"/>
    </row>
    <row r="516" spans="1:23" s="146" customFormat="1" ht="18" customHeight="1">
      <c r="A516" s="155"/>
      <c r="B516" s="155"/>
      <c r="C516" s="1060"/>
      <c r="D516" s="1060"/>
      <c r="E516" s="155"/>
      <c r="F516" s="155"/>
      <c r="G516" s="155"/>
      <c r="H516" s="155"/>
      <c r="I516" s="155"/>
      <c r="J516" s="155"/>
      <c r="K516" s="172"/>
      <c r="L516" s="170"/>
      <c r="M516" s="170"/>
      <c r="N516" s="170"/>
      <c r="O516" s="115"/>
      <c r="P516" s="115"/>
      <c r="Q516" s="116"/>
      <c r="R516" s="116"/>
      <c r="S516" s="117"/>
    </row>
    <row r="517" spans="1:23" s="146" customFormat="1" ht="18" customHeight="1">
      <c r="A517" s="155"/>
      <c r="B517" s="155"/>
      <c r="C517" s="1060"/>
      <c r="D517" s="1060"/>
      <c r="E517" s="155"/>
      <c r="F517" s="155"/>
      <c r="G517" s="155"/>
      <c r="H517" s="155"/>
      <c r="I517" s="155"/>
      <c r="J517" s="155"/>
      <c r="K517" s="172"/>
      <c r="L517" s="170"/>
      <c r="M517" s="170"/>
      <c r="N517" s="170"/>
      <c r="O517" s="115"/>
      <c r="P517" s="115"/>
      <c r="Q517" s="116"/>
      <c r="R517" s="116"/>
      <c r="S517" s="117"/>
    </row>
    <row r="518" spans="1:23" s="146" customFormat="1" ht="18" customHeight="1">
      <c r="A518" s="173" t="s">
        <v>626</v>
      </c>
      <c r="B518" s="173"/>
      <c r="C518" s="1052"/>
      <c r="D518" s="1052"/>
      <c r="E518" s="174"/>
      <c r="F518" s="174"/>
      <c r="G518" s="174"/>
      <c r="H518" s="173" t="s">
        <v>627</v>
      </c>
      <c r="I518" s="174"/>
      <c r="K518" s="173" t="s">
        <v>258</v>
      </c>
      <c r="L518" s="175"/>
      <c r="M518" s="175"/>
      <c r="N518" s="175"/>
      <c r="O518" s="115"/>
      <c r="P518" s="115"/>
      <c r="Q518" s="116"/>
      <c r="R518" s="116"/>
      <c r="S518" s="117"/>
    </row>
    <row r="519" spans="1:23" s="146" customFormat="1" ht="18" customHeight="1">
      <c r="A519" s="174"/>
      <c r="B519" s="174"/>
      <c r="C519" s="1053"/>
      <c r="D519" s="1053"/>
      <c r="E519" s="174"/>
      <c r="F519" s="174"/>
      <c r="G519" s="174"/>
      <c r="H519" s="174"/>
      <c r="I519" s="174"/>
      <c r="J519" s="174"/>
      <c r="K519" s="176"/>
      <c r="L519" s="175"/>
      <c r="M519" s="175"/>
      <c r="N519" s="175"/>
      <c r="O519" s="115"/>
      <c r="P519" s="115"/>
      <c r="Q519" s="116"/>
      <c r="R519" s="116"/>
      <c r="S519" s="117"/>
    </row>
    <row r="520" spans="1:23" s="146" customFormat="1" ht="18" customHeight="1">
      <c r="A520" s="1310" t="s">
        <v>65</v>
      </c>
      <c r="B520" s="1310"/>
      <c r="C520" s="1310"/>
      <c r="D520" s="1310"/>
      <c r="E520" s="1310"/>
      <c r="F520" s="1310"/>
      <c r="G520" s="174"/>
      <c r="H520" s="1310" t="s">
        <v>17</v>
      </c>
      <c r="I520" s="1310"/>
      <c r="J520" s="174"/>
      <c r="K520" s="1310" t="s">
        <v>1454</v>
      </c>
      <c r="L520" s="1310"/>
      <c r="M520" s="1310"/>
      <c r="N520" s="1052"/>
      <c r="O520" s="115"/>
      <c r="P520" s="115"/>
      <c r="Q520" s="116"/>
      <c r="R520" s="116"/>
      <c r="S520" s="117"/>
    </row>
    <row r="521" spans="1:23" s="146" customFormat="1" ht="18" customHeight="1">
      <c r="A521" s="1294" t="s">
        <v>430</v>
      </c>
      <c r="B521" s="1294"/>
      <c r="C521" s="1294"/>
      <c r="D521" s="1294"/>
      <c r="E521" s="1294"/>
      <c r="F521" s="1294"/>
      <c r="G521" s="177"/>
      <c r="H521" s="1294" t="s">
        <v>18</v>
      </c>
      <c r="I521" s="1294"/>
      <c r="J521" s="1052"/>
      <c r="K521" s="1294" t="s">
        <v>14</v>
      </c>
      <c r="L521" s="1294"/>
      <c r="M521" s="1294"/>
      <c r="N521" s="1053"/>
      <c r="O521" s="115"/>
      <c r="P521" s="115"/>
      <c r="Q521" s="116"/>
      <c r="R521" s="116"/>
      <c r="S521" s="117"/>
    </row>
    <row r="522" spans="1:23" ht="18" customHeight="1">
      <c r="A522" s="111"/>
      <c r="B522" s="111"/>
      <c r="C522" s="1050"/>
      <c r="D522" s="1050"/>
      <c r="E522" s="1321"/>
      <c r="F522" s="1321"/>
      <c r="G522" s="1321"/>
      <c r="H522" s="1050"/>
      <c r="I522" s="1050"/>
      <c r="J522" s="1050"/>
      <c r="K522" s="1321"/>
      <c r="L522" s="1321"/>
      <c r="M522" s="1321"/>
      <c r="N522" s="1050"/>
    </row>
    <row r="523" spans="1:23" ht="18" customHeight="1">
      <c r="A523" s="111"/>
      <c r="B523" s="111"/>
      <c r="C523" s="1050"/>
      <c r="D523" s="1050"/>
      <c r="E523" s="111"/>
      <c r="F523" s="111"/>
      <c r="G523" s="111"/>
      <c r="H523" s="111"/>
      <c r="I523" s="111"/>
      <c r="J523" s="111"/>
      <c r="K523" s="112"/>
      <c r="M523" s="113"/>
      <c r="N523" s="113"/>
    </row>
    <row r="524" spans="1:23" ht="18" customHeight="1">
      <c r="A524" s="111"/>
      <c r="B524" s="111"/>
      <c r="C524" s="1050"/>
      <c r="D524" s="1050"/>
      <c r="E524" s="111"/>
      <c r="F524" s="111"/>
      <c r="G524" s="111"/>
      <c r="H524" s="111"/>
      <c r="I524" s="111"/>
      <c r="J524" s="111"/>
      <c r="K524" s="112"/>
      <c r="M524" s="113"/>
      <c r="N524" s="113"/>
    </row>
    <row r="525" spans="1:23" ht="18" customHeight="1">
      <c r="A525" s="111"/>
      <c r="B525" s="111"/>
      <c r="C525" s="1050"/>
      <c r="D525" s="1050"/>
      <c r="E525" s="111"/>
      <c r="F525" s="111"/>
      <c r="G525" s="111"/>
      <c r="H525" s="111"/>
      <c r="I525" s="111"/>
      <c r="J525" s="111"/>
      <c r="K525" s="112"/>
      <c r="M525" s="113"/>
      <c r="N525" s="113"/>
    </row>
    <row r="526" spans="1:23" ht="18" customHeight="1">
      <c r="A526" s="111"/>
      <c r="B526" s="111"/>
      <c r="C526" s="1050"/>
      <c r="D526" s="1050"/>
      <c r="E526" s="111"/>
      <c r="F526" s="111"/>
      <c r="G526" s="111"/>
      <c r="H526" s="111"/>
      <c r="I526" s="111"/>
      <c r="J526" s="111"/>
      <c r="K526" s="112"/>
      <c r="M526" s="113"/>
      <c r="N526" s="113"/>
    </row>
    <row r="527" spans="1:23" ht="18" customHeight="1">
      <c r="A527" s="111"/>
      <c r="B527" s="111"/>
      <c r="C527" s="1050"/>
      <c r="D527" s="1050"/>
      <c r="E527" s="111"/>
      <c r="F527" s="111"/>
      <c r="G527" s="111"/>
      <c r="H527" s="111"/>
      <c r="I527" s="111"/>
      <c r="J527" s="111"/>
      <c r="K527" s="112"/>
      <c r="M527" s="113"/>
      <c r="N527" s="113"/>
    </row>
    <row r="528" spans="1:23" s="115" customFormat="1" ht="18" customHeight="1">
      <c r="A528" s="111"/>
      <c r="B528" s="111"/>
      <c r="C528" s="1050"/>
      <c r="D528" s="1050"/>
      <c r="E528" s="111"/>
      <c r="F528" s="111"/>
      <c r="G528" s="111"/>
      <c r="H528" s="111"/>
      <c r="I528" s="111"/>
      <c r="J528" s="111"/>
      <c r="K528" s="112"/>
      <c r="L528" s="113"/>
      <c r="M528" s="113"/>
      <c r="N528" s="113"/>
      <c r="Q528" s="116"/>
      <c r="R528" s="116"/>
      <c r="S528" s="117"/>
      <c r="T528" s="118"/>
      <c r="U528" s="118"/>
      <c r="V528" s="118"/>
      <c r="W528" s="118"/>
    </row>
    <row r="529" spans="1:23" s="115" customFormat="1" ht="18" customHeight="1">
      <c r="A529" s="111"/>
      <c r="B529" s="111"/>
      <c r="C529" s="1050"/>
      <c r="D529" s="1050"/>
      <c r="E529" s="111"/>
      <c r="F529" s="111"/>
      <c r="G529" s="111"/>
      <c r="H529" s="111"/>
      <c r="I529" s="111"/>
      <c r="J529" s="111"/>
      <c r="K529" s="112"/>
      <c r="L529" s="113"/>
      <c r="M529" s="113"/>
      <c r="N529" s="113"/>
      <c r="Q529" s="116"/>
      <c r="R529" s="116"/>
      <c r="S529" s="117"/>
      <c r="T529" s="118"/>
      <c r="U529" s="118"/>
      <c r="V529" s="118"/>
      <c r="W529" s="118"/>
    </row>
    <row r="530" spans="1:23" s="115" customFormat="1" ht="18" customHeight="1">
      <c r="A530" s="111"/>
      <c r="B530" s="111"/>
      <c r="C530" s="1050"/>
      <c r="D530" s="1050"/>
      <c r="E530" s="111"/>
      <c r="F530" s="111"/>
      <c r="G530" s="111"/>
      <c r="H530" s="111"/>
      <c r="I530" s="111"/>
      <c r="J530" s="111"/>
      <c r="K530" s="112"/>
      <c r="L530" s="113"/>
      <c r="M530" s="113"/>
      <c r="N530" s="113"/>
      <c r="Q530" s="116"/>
      <c r="R530" s="116"/>
      <c r="S530" s="117"/>
      <c r="T530" s="118"/>
      <c r="U530" s="118"/>
      <c r="V530" s="118"/>
      <c r="W530" s="118"/>
    </row>
    <row r="531" spans="1:23" s="115" customFormat="1" ht="18" customHeight="1">
      <c r="A531" s="111"/>
      <c r="B531" s="111"/>
      <c r="C531" s="1050"/>
      <c r="D531" s="1050"/>
      <c r="E531" s="111"/>
      <c r="F531" s="111"/>
      <c r="G531" s="111"/>
      <c r="H531" s="111"/>
      <c r="I531" s="111"/>
      <c r="J531" s="111"/>
      <c r="K531" s="112"/>
      <c r="L531" s="113"/>
      <c r="M531" s="113"/>
      <c r="N531" s="113"/>
      <c r="Q531" s="116"/>
      <c r="R531" s="116"/>
      <c r="S531" s="117"/>
      <c r="T531" s="118"/>
      <c r="U531" s="118"/>
      <c r="V531" s="118"/>
      <c r="W531" s="118"/>
    </row>
    <row r="532" spans="1:23" s="115" customFormat="1" ht="20.100000000000001" customHeight="1">
      <c r="A532" s="1263" t="s">
        <v>990</v>
      </c>
      <c r="B532" s="1263"/>
      <c r="C532" s="1263"/>
      <c r="D532" s="1263"/>
      <c r="E532" s="1263"/>
      <c r="F532" s="1263"/>
      <c r="G532" s="1263"/>
      <c r="H532" s="1263"/>
      <c r="I532" s="1263"/>
      <c r="J532" s="1263"/>
      <c r="K532" s="1263"/>
      <c r="L532" s="1263"/>
      <c r="M532" s="1263"/>
      <c r="N532" s="1058"/>
      <c r="Q532" s="116"/>
      <c r="R532" s="116"/>
      <c r="S532" s="117"/>
      <c r="T532" s="118"/>
      <c r="U532" s="118"/>
      <c r="V532" s="118"/>
      <c r="W532" s="118"/>
    </row>
    <row r="533" spans="1:23" s="115" customFormat="1" ht="18" customHeight="1">
      <c r="A533" s="110"/>
      <c r="B533" s="110"/>
      <c r="C533" s="1057"/>
      <c r="D533" s="1057"/>
      <c r="E533" s="111"/>
      <c r="F533" s="111"/>
      <c r="G533" s="111"/>
      <c r="H533" s="111"/>
      <c r="I533" s="111"/>
      <c r="J533" s="111"/>
      <c r="K533" s="112"/>
      <c r="L533" s="113"/>
      <c r="M533" s="114"/>
      <c r="N533" s="114"/>
      <c r="Q533" s="116"/>
      <c r="R533" s="116"/>
      <c r="S533" s="117"/>
      <c r="T533" s="118"/>
      <c r="U533" s="118"/>
      <c r="V533" s="118"/>
      <c r="W533" s="118"/>
    </row>
    <row r="534" spans="1:23" s="115" customFormat="1" ht="18" customHeight="1">
      <c r="A534" s="1319" t="s">
        <v>1675</v>
      </c>
      <c r="B534" s="1319"/>
      <c r="C534" s="1319"/>
      <c r="D534" s="1319"/>
      <c r="E534" s="1319"/>
      <c r="F534" s="1319"/>
      <c r="G534" s="1319"/>
      <c r="H534" s="1319"/>
      <c r="I534" s="1319"/>
      <c r="J534" s="1319"/>
      <c r="K534" s="1319"/>
      <c r="L534" s="1319"/>
      <c r="M534" s="1319"/>
      <c r="N534" s="1048"/>
      <c r="Q534" s="116"/>
      <c r="R534" s="116"/>
      <c r="S534" s="117"/>
      <c r="T534" s="118"/>
      <c r="U534" s="118"/>
      <c r="V534" s="118"/>
      <c r="W534" s="118"/>
    </row>
    <row r="535" spans="1:23" s="115" customFormat="1" ht="18" customHeight="1">
      <c r="A535" s="1320" t="s">
        <v>358</v>
      </c>
      <c r="B535" s="1320"/>
      <c r="C535" s="1320"/>
      <c r="D535" s="1320"/>
      <c r="E535" s="1320"/>
      <c r="F535" s="1320"/>
      <c r="G535" s="1320"/>
      <c r="H535" s="1320"/>
      <c r="I535" s="1320"/>
      <c r="J535" s="1320"/>
      <c r="K535" s="1320"/>
      <c r="L535" s="1320"/>
      <c r="M535" s="1320"/>
      <c r="N535" s="1049"/>
      <c r="Q535" s="116"/>
      <c r="R535" s="116"/>
      <c r="S535" s="117"/>
      <c r="T535" s="118"/>
      <c r="U535" s="118"/>
      <c r="V535" s="118"/>
      <c r="W535" s="118"/>
    </row>
    <row r="536" spans="1:23" s="115" customFormat="1" ht="18" customHeight="1">
      <c r="A536" s="1321"/>
      <c r="B536" s="1321"/>
      <c r="C536" s="1321"/>
      <c r="D536" s="1321"/>
      <c r="E536" s="1321"/>
      <c r="F536" s="1321"/>
      <c r="G536" s="1321"/>
      <c r="H536" s="1321"/>
      <c r="I536" s="1321"/>
      <c r="J536" s="1321"/>
      <c r="K536" s="1321"/>
      <c r="L536" s="1321"/>
      <c r="M536" s="1321"/>
      <c r="N536" s="1050"/>
      <c r="Q536" s="116"/>
      <c r="R536" s="116"/>
      <c r="S536" s="117"/>
      <c r="T536" s="118"/>
      <c r="U536" s="118"/>
      <c r="V536" s="118"/>
      <c r="W536" s="118"/>
    </row>
    <row r="537" spans="1:23" s="115" customFormat="1" ht="18" customHeight="1">
      <c r="A537" s="1050"/>
      <c r="B537" s="1050"/>
      <c r="C537" s="1050"/>
      <c r="D537" s="1050"/>
      <c r="E537" s="1050"/>
      <c r="F537" s="1050"/>
      <c r="G537" s="1050"/>
      <c r="H537" s="1050"/>
      <c r="I537" s="1050"/>
      <c r="J537" s="1050"/>
      <c r="K537" s="1050"/>
      <c r="L537" s="1050"/>
      <c r="M537" s="1050"/>
      <c r="N537" s="1050"/>
      <c r="Q537" s="116"/>
      <c r="R537" s="116"/>
      <c r="S537" s="117"/>
      <c r="T537" s="118"/>
      <c r="U537" s="118"/>
      <c r="V537" s="118"/>
      <c r="W537" s="118"/>
    </row>
    <row r="538" spans="1:23" s="115" customFormat="1" ht="18" customHeight="1">
      <c r="A538" s="111" t="s">
        <v>446</v>
      </c>
      <c r="B538" s="111"/>
      <c r="C538" s="111" t="s">
        <v>448</v>
      </c>
      <c r="D538" s="111" t="s">
        <v>314</v>
      </c>
      <c r="E538" s="111"/>
      <c r="F538" s="111"/>
      <c r="G538" s="111"/>
      <c r="H538" s="111"/>
      <c r="I538" s="1050"/>
      <c r="J538" s="1050"/>
      <c r="K538" s="1050"/>
      <c r="L538" s="1050"/>
      <c r="M538" s="1050"/>
      <c r="N538" s="1050"/>
      <c r="Q538" s="116"/>
      <c r="R538" s="116"/>
      <c r="S538" s="117"/>
      <c r="T538" s="118"/>
      <c r="U538" s="118"/>
      <c r="V538" s="118"/>
      <c r="W538" s="118"/>
    </row>
    <row r="539" spans="1:23" s="115" customFormat="1" ht="18" customHeight="1">
      <c r="A539" s="111" t="s">
        <v>458</v>
      </c>
      <c r="B539" s="111"/>
      <c r="C539" s="111" t="s">
        <v>448</v>
      </c>
      <c r="D539" s="111" t="s">
        <v>466</v>
      </c>
      <c r="E539" s="111"/>
      <c r="F539" s="111"/>
      <c r="G539" s="111"/>
      <c r="H539" s="111"/>
      <c r="I539" s="1050"/>
      <c r="J539" s="1050"/>
      <c r="K539" s="1050"/>
      <c r="L539" s="1050"/>
      <c r="M539" s="1050"/>
      <c r="N539" s="1050"/>
      <c r="O539" s="180"/>
      <c r="Q539" s="116"/>
      <c r="R539" s="116"/>
      <c r="S539" s="117"/>
      <c r="T539" s="118"/>
      <c r="U539" s="118"/>
      <c r="V539" s="118"/>
      <c r="W539" s="118"/>
    </row>
    <row r="540" spans="1:23" s="115" customFormat="1" ht="18" customHeight="1" thickBot="1">
      <c r="A540" s="111" t="s">
        <v>465</v>
      </c>
      <c r="B540" s="111"/>
      <c r="C540" s="216" t="s">
        <v>448</v>
      </c>
      <c r="D540" s="111" t="s">
        <v>676</v>
      </c>
      <c r="E540" s="111"/>
      <c r="F540" s="111"/>
      <c r="G540" s="111"/>
      <c r="H540" s="111"/>
      <c r="I540" s="1050"/>
      <c r="J540" s="1050"/>
      <c r="K540" s="1050"/>
      <c r="L540" s="1050"/>
      <c r="M540" s="1050"/>
      <c r="N540" s="1050"/>
      <c r="O540" s="180"/>
      <c r="Q540" s="116"/>
      <c r="R540" s="116"/>
      <c r="S540" s="117"/>
      <c r="T540" s="118"/>
      <c r="U540" s="118"/>
      <c r="V540" s="118"/>
      <c r="W540" s="118"/>
    </row>
    <row r="541" spans="1:23" s="115" customFormat="1" ht="18" customHeight="1">
      <c r="A541" s="1322" t="s">
        <v>631</v>
      </c>
      <c r="B541" s="1323"/>
      <c r="C541" s="1323"/>
      <c r="D541" s="1323"/>
      <c r="E541" s="1324"/>
      <c r="F541" s="1323"/>
      <c r="G541" s="1325"/>
      <c r="H541" s="1051"/>
      <c r="I541" s="1326" t="s">
        <v>635</v>
      </c>
      <c r="J541" s="1327"/>
      <c r="K541" s="1326" t="s">
        <v>635</v>
      </c>
      <c r="L541" s="1327"/>
      <c r="M541" s="122"/>
      <c r="N541" s="1012"/>
      <c r="O541" s="180"/>
      <c r="Q541" s="116"/>
      <c r="R541" s="116"/>
      <c r="S541" s="117"/>
      <c r="T541" s="118"/>
      <c r="U541" s="118"/>
      <c r="V541" s="118"/>
      <c r="W541" s="118"/>
    </row>
    <row r="542" spans="1:23" s="115" customFormat="1" ht="18" customHeight="1">
      <c r="A542" s="123" t="s">
        <v>632</v>
      </c>
      <c r="B542" s="1311" t="s">
        <v>633</v>
      </c>
      <c r="C542" s="1312"/>
      <c r="D542" s="1313"/>
      <c r="E542" s="1314" t="s">
        <v>44</v>
      </c>
      <c r="F542" s="1315"/>
      <c r="G542" s="1316"/>
      <c r="H542" s="1054" t="s">
        <v>45</v>
      </c>
      <c r="I542" s="1314" t="s">
        <v>1502</v>
      </c>
      <c r="J542" s="1316"/>
      <c r="K542" s="1315" t="s">
        <v>1676</v>
      </c>
      <c r="L542" s="1316"/>
      <c r="M542" s="124" t="s">
        <v>46</v>
      </c>
      <c r="N542" s="1013"/>
      <c r="Q542" s="116"/>
      <c r="R542" s="116"/>
      <c r="S542" s="117"/>
      <c r="T542" s="118"/>
      <c r="U542" s="118"/>
      <c r="V542" s="118"/>
      <c r="W542" s="118"/>
    </row>
    <row r="543" spans="1:23" ht="18" customHeight="1">
      <c r="A543" s="125"/>
      <c r="B543" s="1054"/>
      <c r="C543" s="1055"/>
      <c r="D543" s="1055"/>
      <c r="E543" s="1054"/>
      <c r="F543" s="1055"/>
      <c r="G543" s="1056"/>
      <c r="H543" s="1054" t="s">
        <v>47</v>
      </c>
      <c r="I543" s="1317"/>
      <c r="J543" s="1318"/>
      <c r="K543" s="1317"/>
      <c r="L543" s="1318"/>
      <c r="M543" s="124" t="s">
        <v>48</v>
      </c>
      <c r="N543" s="1013"/>
    </row>
    <row r="544" spans="1:23" ht="18" customHeight="1">
      <c r="A544" s="125"/>
      <c r="B544" s="1054"/>
      <c r="C544" s="1055"/>
      <c r="D544" s="1055"/>
      <c r="E544" s="1054"/>
      <c r="F544" s="1055"/>
      <c r="G544" s="126"/>
      <c r="H544" s="127"/>
      <c r="I544" s="128" t="s">
        <v>634</v>
      </c>
      <c r="J544" s="129" t="s">
        <v>49</v>
      </c>
      <c r="K544" s="128" t="s">
        <v>634</v>
      </c>
      <c r="L544" s="129" t="s">
        <v>49</v>
      </c>
      <c r="M544" s="124"/>
      <c r="N544" s="120" t="s">
        <v>1628</v>
      </c>
    </row>
    <row r="545" spans="1:19" ht="18" customHeight="1" thickBot="1">
      <c r="A545" s="130"/>
      <c r="B545" s="1307"/>
      <c r="C545" s="1308"/>
      <c r="D545" s="1309"/>
      <c r="E545" s="1307"/>
      <c r="F545" s="1308"/>
      <c r="G545" s="1309"/>
      <c r="H545" s="131"/>
      <c r="I545" s="131"/>
      <c r="J545" s="131"/>
      <c r="K545" s="131"/>
      <c r="L545" s="131"/>
      <c r="M545" s="132"/>
      <c r="N545" s="1019" t="s">
        <v>1629</v>
      </c>
    </row>
    <row r="546" spans="1:19" ht="18" customHeight="1">
      <c r="A546" s="181"/>
      <c r="B546" s="119"/>
      <c r="C546" s="119"/>
      <c r="D546" s="217"/>
      <c r="E546" s="119"/>
      <c r="F546" s="119"/>
      <c r="G546" s="134"/>
      <c r="H546" s="135"/>
      <c r="I546" s="182"/>
      <c r="J546" s="137"/>
      <c r="K546" s="182"/>
      <c r="L546" s="137"/>
      <c r="M546" s="137"/>
      <c r="N546" s="1016"/>
    </row>
    <row r="547" spans="1:19" s="146" customFormat="1" ht="18" customHeight="1">
      <c r="A547" s="183">
        <v>1</v>
      </c>
      <c r="B547" s="1060"/>
      <c r="C547" s="1060"/>
      <c r="D547" s="1061"/>
      <c r="E547" s="140" t="s">
        <v>77</v>
      </c>
      <c r="F547" s="1060"/>
      <c r="G547" s="140"/>
      <c r="H547" s="141" t="s">
        <v>241</v>
      </c>
      <c r="I547" s="184" t="s">
        <v>891</v>
      </c>
      <c r="J547" s="143">
        <v>928800</v>
      </c>
      <c r="K547" s="184" t="s">
        <v>891</v>
      </c>
      <c r="L547" s="143">
        <v>946668</v>
      </c>
      <c r="M547" s="144">
        <f>L547-J547</f>
        <v>17868</v>
      </c>
      <c r="N547" s="1015">
        <f>L547/12</f>
        <v>78889</v>
      </c>
      <c r="O547" s="115">
        <f>L547-J547</f>
        <v>17868</v>
      </c>
      <c r="P547" s="115">
        <f>O547-M547</f>
        <v>0</v>
      </c>
      <c r="Q547" s="116">
        <v>63237</v>
      </c>
      <c r="R547" s="116">
        <f>Q547*12</f>
        <v>758844</v>
      </c>
      <c r="S547" s="145">
        <f>R547-L547</f>
        <v>-187824</v>
      </c>
    </row>
    <row r="548" spans="1:19" s="146" customFormat="1" ht="18" customHeight="1">
      <c r="A548" s="183"/>
      <c r="B548" s="1060"/>
      <c r="C548" s="1060"/>
      <c r="D548" s="1061"/>
      <c r="E548" s="155" t="s">
        <v>904</v>
      </c>
      <c r="F548" s="1060"/>
      <c r="G548" s="140"/>
      <c r="H548" s="141"/>
      <c r="I548" s="184"/>
      <c r="J548" s="143"/>
      <c r="K548" s="184"/>
      <c r="L548" s="143"/>
      <c r="M548" s="143"/>
      <c r="N548" s="1015">
        <f>L548/12</f>
        <v>0</v>
      </c>
      <c r="O548" s="115"/>
      <c r="P548" s="115"/>
      <c r="Q548" s="116">
        <v>64185</v>
      </c>
      <c r="R548" s="116">
        <f>Q548*12</f>
        <v>770220</v>
      </c>
      <c r="S548" s="145">
        <f>R548-L548</f>
        <v>770220</v>
      </c>
    </row>
    <row r="549" spans="1:19" s="146" customFormat="1" ht="18" customHeight="1">
      <c r="A549" s="183"/>
      <c r="B549" s="1060"/>
      <c r="C549" s="1060"/>
      <c r="D549" s="1061"/>
      <c r="E549" s="155"/>
      <c r="F549" s="1060"/>
      <c r="G549" s="140"/>
      <c r="H549" s="141"/>
      <c r="I549" s="218"/>
      <c r="J549" s="149"/>
      <c r="K549" s="218"/>
      <c r="L549" s="149"/>
      <c r="M549" s="143"/>
      <c r="N549" s="170"/>
      <c r="O549" s="115"/>
      <c r="P549" s="115"/>
      <c r="Q549" s="116"/>
      <c r="R549" s="116"/>
      <c r="S549" s="117"/>
    </row>
    <row r="550" spans="1:19" s="146" customFormat="1" ht="18" customHeight="1">
      <c r="A550" s="183"/>
      <c r="B550" s="1060"/>
      <c r="C550" s="1060"/>
      <c r="D550" s="1061"/>
      <c r="E550" s="155"/>
      <c r="F550" s="1060"/>
      <c r="G550" s="140"/>
      <c r="H550" s="141"/>
      <c r="I550" s="218"/>
      <c r="J550" s="149"/>
      <c r="K550" s="218"/>
      <c r="L550" s="149"/>
      <c r="M550" s="143"/>
      <c r="N550" s="170"/>
      <c r="O550" s="115"/>
      <c r="P550" s="115"/>
      <c r="Q550" s="116"/>
      <c r="R550" s="116"/>
      <c r="S550" s="117"/>
    </row>
    <row r="551" spans="1:19" s="146" customFormat="1" ht="18" customHeight="1">
      <c r="A551" s="183"/>
      <c r="B551" s="1060"/>
      <c r="C551" s="1060"/>
      <c r="D551" s="1061"/>
      <c r="E551" s="155"/>
      <c r="F551" s="1060"/>
      <c r="G551" s="140"/>
      <c r="H551" s="141"/>
      <c r="I551" s="218"/>
      <c r="J551" s="143"/>
      <c r="K551" s="218"/>
      <c r="L551" s="143"/>
      <c r="M551" s="143"/>
      <c r="N551" s="170"/>
      <c r="O551" s="115"/>
      <c r="P551" s="115"/>
      <c r="Q551" s="116"/>
      <c r="R551" s="116"/>
      <c r="S551" s="117"/>
    </row>
    <row r="552" spans="1:19" s="146" customFormat="1" ht="18" customHeight="1">
      <c r="A552" s="183">
        <v>2</v>
      </c>
      <c r="B552" s="1060"/>
      <c r="C552" s="1060"/>
      <c r="D552" s="1061"/>
      <c r="E552" s="155" t="s">
        <v>87</v>
      </c>
      <c r="F552" s="1060"/>
      <c r="G552" s="140"/>
      <c r="H552" s="141" t="s">
        <v>12</v>
      </c>
      <c r="I552" s="184" t="s">
        <v>89</v>
      </c>
      <c r="J552" s="143">
        <v>198264</v>
      </c>
      <c r="K552" s="184" t="s">
        <v>89</v>
      </c>
      <c r="L552" s="143">
        <v>206376</v>
      </c>
      <c r="M552" s="144">
        <f>L552-J552</f>
        <v>8112</v>
      </c>
      <c r="N552" s="1015">
        <f>L552/12</f>
        <v>17198</v>
      </c>
      <c r="O552" s="115">
        <f>L552-J552</f>
        <v>8112</v>
      </c>
      <c r="P552" s="115">
        <f>O552-M552</f>
        <v>0</v>
      </c>
      <c r="Q552" s="116">
        <v>14764</v>
      </c>
      <c r="R552" s="116">
        <f>Q552*12</f>
        <v>177168</v>
      </c>
      <c r="S552" s="145">
        <f>R552-L552</f>
        <v>-29208</v>
      </c>
    </row>
    <row r="553" spans="1:19" s="146" customFormat="1" ht="18" customHeight="1">
      <c r="A553" s="183"/>
      <c r="B553" s="1060"/>
      <c r="C553" s="1060"/>
      <c r="D553" s="1061"/>
      <c r="E553" s="155"/>
      <c r="F553" s="1060"/>
      <c r="G553" s="140"/>
      <c r="H553" s="141"/>
      <c r="I553" s="218"/>
      <c r="J553" s="143"/>
      <c r="K553" s="218"/>
      <c r="L553" s="143"/>
      <c r="M553" s="144"/>
      <c r="N553" s="1015"/>
      <c r="O553" s="115"/>
      <c r="P553" s="115"/>
      <c r="Q553" s="116"/>
      <c r="R553" s="116"/>
      <c r="S553" s="117"/>
    </row>
    <row r="554" spans="1:19" s="146" customFormat="1" ht="18" customHeight="1">
      <c r="A554" s="183"/>
      <c r="B554" s="1060"/>
      <c r="C554" s="1060"/>
      <c r="D554" s="1061"/>
      <c r="E554" s="155"/>
      <c r="F554" s="1060"/>
      <c r="G554" s="140"/>
      <c r="H554" s="141"/>
      <c r="I554" s="218"/>
      <c r="J554" s="143"/>
      <c r="K554" s="218"/>
      <c r="L554" s="143"/>
      <c r="M554" s="144"/>
      <c r="N554" s="1015"/>
      <c r="O554" s="115"/>
      <c r="P554" s="115"/>
      <c r="Q554" s="116"/>
      <c r="R554" s="116"/>
      <c r="S554" s="117"/>
    </row>
    <row r="555" spans="1:19" s="146" customFormat="1" ht="18" customHeight="1">
      <c r="A555" s="183"/>
      <c r="B555" s="1060"/>
      <c r="C555" s="1060"/>
      <c r="D555" s="1061"/>
      <c r="E555" s="155"/>
      <c r="F555" s="1060"/>
      <c r="G555" s="140"/>
      <c r="H555" s="141"/>
      <c r="I555" s="156"/>
      <c r="J555" s="143"/>
      <c r="K555" s="156"/>
      <c r="L555" s="143"/>
      <c r="M555" s="144"/>
      <c r="N555" s="1015"/>
      <c r="O555" s="115"/>
      <c r="P555" s="115"/>
      <c r="Q555" s="116"/>
      <c r="R555" s="116"/>
      <c r="S555" s="117"/>
    </row>
    <row r="556" spans="1:19" s="146" customFormat="1" ht="18" customHeight="1">
      <c r="A556" s="183">
        <v>3</v>
      </c>
      <c r="B556" s="1060"/>
      <c r="C556" s="1060"/>
      <c r="D556" s="1061"/>
      <c r="E556" s="155" t="s">
        <v>75</v>
      </c>
      <c r="F556" s="1060"/>
      <c r="G556" s="140"/>
      <c r="H556" s="219" t="s">
        <v>939</v>
      </c>
      <c r="I556" s="194" t="s">
        <v>243</v>
      </c>
      <c r="J556" s="143">
        <v>165240</v>
      </c>
      <c r="K556" s="194" t="s">
        <v>243</v>
      </c>
      <c r="L556" s="143">
        <v>172140</v>
      </c>
      <c r="M556" s="144">
        <f>L556-J556</f>
        <v>6900</v>
      </c>
      <c r="N556" s="1015">
        <f>L556/12</f>
        <v>14345</v>
      </c>
      <c r="O556" s="115">
        <f>L556-J556</f>
        <v>6900</v>
      </c>
      <c r="P556" s="115">
        <f>O556-M556</f>
        <v>0</v>
      </c>
      <c r="Q556" s="116">
        <v>12189</v>
      </c>
      <c r="R556" s="116">
        <f>Q556*12</f>
        <v>146268</v>
      </c>
      <c r="S556" s="145">
        <f>R556-L556</f>
        <v>-25872</v>
      </c>
    </row>
    <row r="557" spans="1:19" s="146" customFormat="1" ht="18" customHeight="1">
      <c r="A557" s="183"/>
      <c r="B557" s="1060"/>
      <c r="C557" s="1060"/>
      <c r="D557" s="1061"/>
      <c r="E557" s="155"/>
      <c r="F557" s="1060"/>
      <c r="G557" s="140"/>
      <c r="H557" s="141"/>
      <c r="I557" s="194"/>
      <c r="J557" s="149"/>
      <c r="K557" s="194"/>
      <c r="L557" s="149"/>
      <c r="M557" s="144"/>
      <c r="N557" s="1015"/>
      <c r="O557" s="115"/>
      <c r="P557" s="115"/>
      <c r="Q557" s="116"/>
      <c r="R557" s="116"/>
      <c r="S557" s="145"/>
    </row>
    <row r="558" spans="1:19" s="146" customFormat="1" ht="18" customHeight="1">
      <c r="A558" s="183"/>
      <c r="B558" s="1060"/>
      <c r="C558" s="1060"/>
      <c r="D558" s="1061"/>
      <c r="E558" s="155"/>
      <c r="F558" s="1060"/>
      <c r="G558" s="140"/>
      <c r="H558" s="141"/>
      <c r="I558" s="194"/>
      <c r="J558" s="149"/>
      <c r="K558" s="194"/>
      <c r="L558" s="149"/>
      <c r="M558" s="144"/>
      <c r="N558" s="1015"/>
      <c r="O558" s="115"/>
      <c r="P558" s="115"/>
      <c r="Q558" s="116"/>
      <c r="R558" s="116"/>
      <c r="S558" s="117"/>
    </row>
    <row r="559" spans="1:19" s="146" customFormat="1" ht="18" customHeight="1">
      <c r="A559" s="183"/>
      <c r="B559" s="1060"/>
      <c r="C559" s="1060"/>
      <c r="D559" s="1061"/>
      <c r="E559" s="155"/>
      <c r="F559" s="1060"/>
      <c r="G559" s="140"/>
      <c r="H559" s="141"/>
      <c r="I559" s="194"/>
      <c r="J559" s="143"/>
      <c r="K559" s="194"/>
      <c r="L559" s="143"/>
      <c r="M559" s="144"/>
      <c r="N559" s="1015"/>
      <c r="O559" s="115"/>
      <c r="P559" s="115"/>
      <c r="Q559" s="116"/>
      <c r="R559" s="116"/>
      <c r="S559" s="117"/>
    </row>
    <row r="560" spans="1:19" s="146" customFormat="1" ht="18" customHeight="1">
      <c r="A560" s="220">
        <v>4</v>
      </c>
      <c r="B560" s="221"/>
      <c r="C560" s="221"/>
      <c r="D560" s="222"/>
      <c r="E560" s="223" t="s">
        <v>54</v>
      </c>
      <c r="F560" s="221"/>
      <c r="G560" s="224"/>
      <c r="H560" s="141" t="s">
        <v>1575</v>
      </c>
      <c r="I560" s="225" t="s">
        <v>56</v>
      </c>
      <c r="J560" s="226">
        <v>146880</v>
      </c>
      <c r="K560" s="225" t="s">
        <v>56</v>
      </c>
      <c r="L560" s="226">
        <v>152928</v>
      </c>
      <c r="M560" s="144">
        <f>L560-J560</f>
        <v>6048</v>
      </c>
      <c r="N560" s="1015">
        <f>L560/12</f>
        <v>12744</v>
      </c>
      <c r="O560" s="115">
        <f>L560-J560</f>
        <v>6048</v>
      </c>
      <c r="P560" s="115">
        <f>O560-M560</f>
        <v>0</v>
      </c>
      <c r="Q560" s="116">
        <v>10773</v>
      </c>
      <c r="R560" s="116">
        <f>Q560*12</f>
        <v>129276</v>
      </c>
      <c r="S560" s="145">
        <f>R560-L560</f>
        <v>-23652</v>
      </c>
    </row>
    <row r="561" spans="1:19" s="146" customFormat="1" ht="18" customHeight="1">
      <c r="A561" s="183"/>
      <c r="B561" s="1060"/>
      <c r="C561" s="1060"/>
      <c r="D561" s="1060"/>
      <c r="E561" s="1059"/>
      <c r="F561" s="1060"/>
      <c r="G561" s="140"/>
      <c r="H561" s="141"/>
      <c r="I561" s="225"/>
      <c r="J561" s="149"/>
      <c r="K561" s="225"/>
      <c r="L561" s="149"/>
      <c r="M561" s="144"/>
      <c r="N561" s="1015"/>
      <c r="O561" s="115"/>
      <c r="P561" s="115"/>
      <c r="Q561" s="116"/>
      <c r="R561" s="116"/>
      <c r="S561" s="145"/>
    </row>
    <row r="562" spans="1:19" s="146" customFormat="1" ht="18" customHeight="1">
      <c r="A562" s="183"/>
      <c r="B562" s="1060"/>
      <c r="C562" s="1060"/>
      <c r="D562" s="1060"/>
      <c r="E562" s="1059"/>
      <c r="F562" s="1060"/>
      <c r="G562" s="140"/>
      <c r="H562" s="141"/>
      <c r="I562" s="225"/>
      <c r="J562" s="149"/>
      <c r="K562" s="225"/>
      <c r="L562" s="149"/>
      <c r="M562" s="144"/>
      <c r="N562" s="1015"/>
      <c r="O562" s="115"/>
      <c r="P562" s="115"/>
      <c r="Q562" s="116"/>
      <c r="R562" s="116"/>
      <c r="S562" s="145"/>
    </row>
    <row r="563" spans="1:19" s="146" customFormat="1" ht="18" customHeight="1">
      <c r="A563" s="183"/>
      <c r="B563" s="1060"/>
      <c r="C563" s="1060"/>
      <c r="D563" s="1060"/>
      <c r="E563" s="1059"/>
      <c r="F563" s="1060"/>
      <c r="G563" s="140"/>
      <c r="H563" s="141"/>
      <c r="I563" s="142"/>
      <c r="J563" s="227"/>
      <c r="K563" s="142"/>
      <c r="L563" s="227"/>
      <c r="M563" s="143"/>
      <c r="N563" s="170"/>
      <c r="O563" s="115"/>
      <c r="P563" s="115"/>
      <c r="Q563" s="116"/>
      <c r="R563" s="116"/>
      <c r="S563" s="117"/>
    </row>
    <row r="564" spans="1:19" s="146" customFormat="1" ht="18" customHeight="1">
      <c r="A564" s="183">
        <v>5</v>
      </c>
      <c r="B564" s="1060"/>
      <c r="C564" s="1060"/>
      <c r="D564" s="1060"/>
      <c r="E564" s="1059" t="s">
        <v>974</v>
      </c>
      <c r="F564" s="1060"/>
      <c r="G564" s="140"/>
      <c r="H564" s="141" t="s">
        <v>1564</v>
      </c>
      <c r="I564" s="142" t="s">
        <v>257</v>
      </c>
      <c r="J564" s="143">
        <v>265728</v>
      </c>
      <c r="K564" s="142" t="s">
        <v>257</v>
      </c>
      <c r="L564" s="143">
        <v>281604</v>
      </c>
      <c r="M564" s="144">
        <f>L564-J564</f>
        <v>15876</v>
      </c>
      <c r="N564" s="1015">
        <f>L564/12</f>
        <v>23467</v>
      </c>
      <c r="O564" s="115">
        <f>L564-J564</f>
        <v>15876</v>
      </c>
      <c r="P564" s="115"/>
      <c r="Q564" s="116"/>
      <c r="R564" s="116"/>
      <c r="S564" s="145"/>
    </row>
    <row r="565" spans="1:19" s="146" customFormat="1" ht="18" customHeight="1">
      <c r="A565" s="183"/>
      <c r="B565" s="1060"/>
      <c r="C565" s="1060"/>
      <c r="D565" s="1060"/>
      <c r="E565" s="1059"/>
      <c r="F565" s="1060"/>
      <c r="G565" s="140"/>
      <c r="H565" s="141"/>
      <c r="I565" s="142"/>
      <c r="J565" s="143"/>
      <c r="K565" s="142"/>
      <c r="L565" s="143"/>
      <c r="M565" s="143"/>
      <c r="N565" s="170"/>
      <c r="O565" s="115"/>
      <c r="P565" s="115"/>
      <c r="Q565" s="116"/>
      <c r="R565" s="116"/>
      <c r="S565" s="117"/>
    </row>
    <row r="566" spans="1:19" s="146" customFormat="1" ht="18" customHeight="1">
      <c r="A566" s="183"/>
      <c r="B566" s="1060"/>
      <c r="C566" s="1060"/>
      <c r="D566" s="1060"/>
      <c r="E566" s="1059"/>
      <c r="F566" s="1060"/>
      <c r="G566" s="140"/>
      <c r="H566" s="141"/>
      <c r="I566" s="142"/>
      <c r="J566" s="143"/>
      <c r="K566" s="142"/>
      <c r="L566" s="143"/>
      <c r="M566" s="143"/>
      <c r="N566" s="170"/>
      <c r="O566" s="115"/>
      <c r="P566" s="115"/>
      <c r="Q566" s="116"/>
      <c r="R566" s="116"/>
      <c r="S566" s="117"/>
    </row>
    <row r="567" spans="1:19" s="146" customFormat="1" ht="18" customHeight="1">
      <c r="A567" s="183"/>
      <c r="B567" s="1328">
        <v>6</v>
      </c>
      <c r="C567" s="1329"/>
      <c r="D567" s="1330"/>
      <c r="E567" s="1070" t="s">
        <v>1736</v>
      </c>
      <c r="F567" s="1071"/>
      <c r="G567" s="140"/>
      <c r="H567" s="141" t="s">
        <v>104</v>
      </c>
      <c r="I567" s="142"/>
      <c r="J567" s="143"/>
      <c r="K567" s="142" t="s">
        <v>1737</v>
      </c>
      <c r="L567" s="143">
        <f>389136</f>
        <v>389136</v>
      </c>
      <c r="M567" s="144">
        <f>L567-J567</f>
        <v>389136</v>
      </c>
      <c r="N567" s="1015">
        <f>L567/12</f>
        <v>32428</v>
      </c>
      <c r="O567" s="115">
        <f>L567-J567</f>
        <v>389136</v>
      </c>
      <c r="P567" s="115"/>
      <c r="Q567" s="116"/>
      <c r="R567" s="116"/>
      <c r="S567" s="145"/>
    </row>
    <row r="568" spans="1:19" s="146" customFormat="1" ht="18" customHeight="1">
      <c r="A568" s="183"/>
      <c r="B568" s="1060"/>
      <c r="C568" s="1060"/>
      <c r="D568" s="1060"/>
      <c r="E568" s="1059"/>
      <c r="F568" s="1060"/>
      <c r="G568" s="140"/>
      <c r="H568" s="141" t="s">
        <v>1899</v>
      </c>
      <c r="I568" s="142"/>
      <c r="J568" s="143"/>
      <c r="K568" s="142"/>
      <c r="L568" s="143"/>
      <c r="M568" s="143"/>
      <c r="N568" s="170"/>
      <c r="O568" s="115"/>
      <c r="P568" s="115"/>
      <c r="Q568" s="116"/>
      <c r="R568" s="116"/>
      <c r="S568" s="117"/>
    </row>
    <row r="569" spans="1:19" s="146" customFormat="1" ht="18" customHeight="1">
      <c r="A569" s="183"/>
      <c r="B569" s="1060"/>
      <c r="C569" s="1060"/>
      <c r="D569" s="1060"/>
      <c r="E569" s="1059"/>
      <c r="F569" s="1060"/>
      <c r="G569" s="140"/>
      <c r="H569" s="141"/>
      <c r="I569" s="142"/>
      <c r="J569" s="143"/>
      <c r="K569" s="142"/>
      <c r="L569" s="143"/>
      <c r="M569" s="143"/>
      <c r="N569" s="170"/>
      <c r="O569" s="115"/>
      <c r="P569" s="115"/>
      <c r="Q569" s="116"/>
      <c r="R569" s="116"/>
      <c r="S569" s="117"/>
    </row>
    <row r="570" spans="1:19" s="146" customFormat="1" ht="18" customHeight="1">
      <c r="A570" s="183"/>
      <c r="B570" s="1060"/>
      <c r="C570" s="1060"/>
      <c r="D570" s="1060"/>
      <c r="E570" s="1059"/>
      <c r="F570" s="1060"/>
      <c r="G570" s="140"/>
      <c r="H570" s="141"/>
      <c r="I570" s="142"/>
      <c r="J570" s="143"/>
      <c r="K570" s="142"/>
      <c r="L570" s="143"/>
      <c r="M570" s="143"/>
      <c r="N570" s="170"/>
      <c r="O570" s="115"/>
      <c r="P570" s="115"/>
      <c r="Q570" s="116"/>
      <c r="R570" s="116"/>
      <c r="S570" s="117"/>
    </row>
    <row r="571" spans="1:19" s="146" customFormat="1" ht="18" customHeight="1">
      <c r="A571" s="183"/>
      <c r="B571" s="1060"/>
      <c r="C571" s="1060"/>
      <c r="D571" s="1060"/>
      <c r="E571" s="1059"/>
      <c r="F571" s="1060"/>
      <c r="G571" s="140"/>
      <c r="H571" s="141"/>
      <c r="I571" s="142"/>
      <c r="J571" s="143"/>
      <c r="K571" s="142"/>
      <c r="L571" s="143"/>
      <c r="M571" s="143"/>
      <c r="N571" s="170"/>
      <c r="O571" s="115"/>
      <c r="P571" s="115"/>
      <c r="Q571" s="116"/>
      <c r="R571" s="116"/>
      <c r="S571" s="117"/>
    </row>
    <row r="572" spans="1:19" s="146" customFormat="1" ht="18" customHeight="1">
      <c r="A572" s="183"/>
      <c r="B572" s="1060"/>
      <c r="C572" s="1060"/>
      <c r="D572" s="1060"/>
      <c r="E572" s="1059"/>
      <c r="F572" s="1060"/>
      <c r="G572" s="140"/>
      <c r="H572" s="141"/>
      <c r="I572" s="142"/>
      <c r="J572" s="143"/>
      <c r="K572" s="142"/>
      <c r="L572" s="143"/>
      <c r="M572" s="143"/>
      <c r="N572" s="170"/>
      <c r="O572" s="115"/>
      <c r="P572" s="115"/>
      <c r="Q572" s="116"/>
      <c r="R572" s="116"/>
      <c r="S572" s="117"/>
    </row>
    <row r="573" spans="1:19" s="146" customFormat="1" ht="18" customHeight="1">
      <c r="A573" s="183"/>
      <c r="B573" s="1060"/>
      <c r="C573" s="1060"/>
      <c r="D573" s="1060"/>
      <c r="E573" s="1059"/>
      <c r="F573" s="1060"/>
      <c r="G573" s="140"/>
      <c r="H573" s="141"/>
      <c r="I573" s="142"/>
      <c r="J573" s="143"/>
      <c r="K573" s="142"/>
      <c r="L573" s="143"/>
      <c r="M573" s="143"/>
      <c r="N573" s="170"/>
      <c r="O573" s="115"/>
      <c r="P573" s="115"/>
      <c r="Q573" s="116"/>
      <c r="R573" s="116"/>
      <c r="S573" s="117"/>
    </row>
    <row r="574" spans="1:19" s="146" customFormat="1" ht="18" customHeight="1">
      <c r="A574" s="183"/>
      <c r="B574" s="1060"/>
      <c r="C574" s="1060"/>
      <c r="D574" s="1060"/>
      <c r="E574" s="1059"/>
      <c r="F574" s="1060"/>
      <c r="G574" s="140"/>
      <c r="H574" s="141"/>
      <c r="I574" s="142"/>
      <c r="J574" s="143"/>
      <c r="K574" s="142"/>
      <c r="L574" s="143"/>
      <c r="M574" s="143"/>
      <c r="N574" s="170"/>
      <c r="O574" s="115"/>
      <c r="P574" s="115"/>
      <c r="Q574" s="116"/>
      <c r="R574" s="116"/>
      <c r="S574" s="117"/>
    </row>
    <row r="575" spans="1:19" s="146" customFormat="1" ht="18" customHeight="1">
      <c r="A575" s="183"/>
      <c r="B575" s="1060"/>
      <c r="C575" s="1060"/>
      <c r="D575" s="1060"/>
      <c r="E575" s="1059"/>
      <c r="F575" s="1060"/>
      <c r="G575" s="140"/>
      <c r="H575" s="141"/>
      <c r="I575" s="142"/>
      <c r="J575" s="143"/>
      <c r="K575" s="142"/>
      <c r="L575" s="143"/>
      <c r="M575" s="143"/>
      <c r="N575" s="170"/>
      <c r="O575" s="115"/>
      <c r="P575" s="115"/>
      <c r="Q575" s="116"/>
      <c r="R575" s="116"/>
      <c r="S575" s="117"/>
    </row>
    <row r="576" spans="1:19" s="146" customFormat="1" ht="18" customHeight="1">
      <c r="A576" s="183"/>
      <c r="B576" s="1060"/>
      <c r="C576" s="1060"/>
      <c r="D576" s="1060"/>
      <c r="E576" s="1059"/>
      <c r="F576" s="1060"/>
      <c r="G576" s="140"/>
      <c r="H576" s="141"/>
      <c r="I576" s="142"/>
      <c r="J576" s="143"/>
      <c r="K576" s="142"/>
      <c r="L576" s="143"/>
      <c r="M576" s="143"/>
      <c r="N576" s="170"/>
      <c r="O576" s="115"/>
      <c r="P576" s="115"/>
      <c r="Q576" s="116"/>
      <c r="R576" s="116"/>
      <c r="S576" s="117"/>
    </row>
    <row r="577" spans="1:19" s="146" customFormat="1" ht="18" customHeight="1">
      <c r="A577" s="183"/>
      <c r="B577" s="1060"/>
      <c r="C577" s="1060"/>
      <c r="D577" s="1060"/>
      <c r="E577" s="1059"/>
      <c r="F577" s="1060"/>
      <c r="G577" s="140"/>
      <c r="H577" s="141"/>
      <c r="I577" s="142"/>
      <c r="J577" s="143"/>
      <c r="K577" s="142"/>
      <c r="L577" s="143"/>
      <c r="M577" s="143"/>
      <c r="N577" s="170"/>
      <c r="O577" s="115"/>
      <c r="P577" s="115"/>
      <c r="Q577" s="116"/>
      <c r="R577" s="116"/>
      <c r="S577" s="117"/>
    </row>
    <row r="578" spans="1:19" s="146" customFormat="1" ht="18" customHeight="1">
      <c r="A578" s="183"/>
      <c r="B578" s="1060"/>
      <c r="C578" s="1060"/>
      <c r="D578" s="1060"/>
      <c r="E578" s="1059"/>
      <c r="F578" s="1060"/>
      <c r="G578" s="140"/>
      <c r="H578" s="141"/>
      <c r="I578" s="142"/>
      <c r="J578" s="143"/>
      <c r="K578" s="142"/>
      <c r="L578" s="143"/>
      <c r="M578" s="143"/>
      <c r="N578" s="170"/>
      <c r="O578" s="115"/>
      <c r="P578" s="115"/>
      <c r="Q578" s="116"/>
      <c r="R578" s="116"/>
      <c r="S578" s="117"/>
    </row>
    <row r="579" spans="1:19" s="146" customFormat="1" ht="18" customHeight="1">
      <c r="A579" s="183"/>
      <c r="B579" s="1060"/>
      <c r="C579" s="1060"/>
      <c r="D579" s="1060"/>
      <c r="E579" s="1059"/>
      <c r="F579" s="1060"/>
      <c r="G579" s="140"/>
      <c r="H579" s="141"/>
      <c r="I579" s="142"/>
      <c r="J579" s="143"/>
      <c r="K579" s="142"/>
      <c r="L579" s="143"/>
      <c r="M579" s="143"/>
      <c r="N579" s="170"/>
      <c r="O579" s="115"/>
      <c r="P579" s="115"/>
      <c r="Q579" s="116"/>
      <c r="R579" s="116"/>
      <c r="S579" s="117"/>
    </row>
    <row r="580" spans="1:19" s="146" customFormat="1" ht="18" customHeight="1">
      <c r="A580" s="141"/>
      <c r="B580" s="155"/>
      <c r="C580" s="1060"/>
      <c r="D580" s="1060"/>
      <c r="E580" s="154"/>
      <c r="F580" s="155"/>
      <c r="G580" s="140"/>
      <c r="H580" s="141"/>
      <c r="I580" s="210"/>
      <c r="J580" s="143"/>
      <c r="K580" s="210"/>
      <c r="L580" s="143"/>
      <c r="M580" s="143"/>
      <c r="N580" s="170"/>
      <c r="O580" s="115"/>
      <c r="P580" s="115"/>
      <c r="Q580" s="116"/>
      <c r="R580" s="116"/>
      <c r="S580" s="117"/>
    </row>
    <row r="581" spans="1:19" s="146" customFormat="1" ht="18" customHeight="1">
      <c r="A581" s="141"/>
      <c r="B581" s="155"/>
      <c r="C581" s="1060"/>
      <c r="D581" s="1060"/>
      <c r="E581" s="154"/>
      <c r="F581" s="155"/>
      <c r="G581" s="140"/>
      <c r="H581" s="141"/>
      <c r="I581" s="210"/>
      <c r="J581" s="143"/>
      <c r="K581" s="210"/>
      <c r="L581" s="143"/>
      <c r="M581" s="143"/>
      <c r="N581" s="170"/>
      <c r="O581" s="115"/>
      <c r="P581" s="115"/>
      <c r="Q581" s="116"/>
      <c r="R581" s="116"/>
      <c r="S581" s="117"/>
    </row>
    <row r="582" spans="1:19" s="146" customFormat="1" ht="18" customHeight="1">
      <c r="A582" s="141"/>
      <c r="B582" s="155"/>
      <c r="C582" s="1060"/>
      <c r="D582" s="1060"/>
      <c r="E582" s="154"/>
      <c r="F582" s="155"/>
      <c r="G582" s="140"/>
      <c r="H582" s="141"/>
      <c r="I582" s="210"/>
      <c r="J582" s="143"/>
      <c r="K582" s="210"/>
      <c r="L582" s="143"/>
      <c r="M582" s="143"/>
      <c r="N582" s="170"/>
      <c r="O582" s="115"/>
      <c r="P582" s="115"/>
      <c r="Q582" s="116"/>
      <c r="R582" s="116"/>
      <c r="S582" s="117"/>
    </row>
    <row r="583" spans="1:19" s="146" customFormat="1" ht="18" customHeight="1">
      <c r="A583" s="141"/>
      <c r="B583" s="155"/>
      <c r="C583" s="1060"/>
      <c r="D583" s="1060"/>
      <c r="E583" s="154"/>
      <c r="F583" s="155"/>
      <c r="G583" s="140"/>
      <c r="H583" s="141"/>
      <c r="I583" s="210"/>
      <c r="J583" s="143"/>
      <c r="K583" s="210"/>
      <c r="L583" s="143"/>
      <c r="M583" s="143"/>
      <c r="N583" s="170"/>
      <c r="O583" s="115"/>
      <c r="P583" s="115"/>
      <c r="Q583" s="116"/>
      <c r="R583" s="116"/>
      <c r="S583" s="117"/>
    </row>
    <row r="584" spans="1:19" s="146" customFormat="1" ht="18" customHeight="1">
      <c r="A584" s="141"/>
      <c r="B584" s="155"/>
      <c r="C584" s="1060"/>
      <c r="D584" s="1060"/>
      <c r="E584" s="154"/>
      <c r="F584" s="155"/>
      <c r="G584" s="140"/>
      <c r="H584" s="141"/>
      <c r="I584" s="210"/>
      <c r="J584" s="143"/>
      <c r="K584" s="210"/>
      <c r="L584" s="143"/>
      <c r="M584" s="143"/>
      <c r="N584" s="170"/>
      <c r="O584" s="115"/>
      <c r="P584" s="115"/>
      <c r="Q584" s="116"/>
      <c r="R584" s="116"/>
      <c r="S584" s="117"/>
    </row>
    <row r="585" spans="1:19" s="146" customFormat="1" ht="18" customHeight="1">
      <c r="A585" s="141"/>
      <c r="B585" s="155"/>
      <c r="C585" s="1060"/>
      <c r="D585" s="1060"/>
      <c r="E585" s="154"/>
      <c r="F585" s="155"/>
      <c r="G585" s="140"/>
      <c r="H585" s="141"/>
      <c r="I585" s="210"/>
      <c r="J585" s="143"/>
      <c r="K585" s="210"/>
      <c r="L585" s="143"/>
      <c r="M585" s="143"/>
      <c r="N585" s="170"/>
      <c r="O585" s="115"/>
      <c r="P585" s="115"/>
      <c r="Q585" s="116"/>
      <c r="R585" s="116"/>
      <c r="S585" s="117"/>
    </row>
    <row r="586" spans="1:19" s="146" customFormat="1" ht="18" customHeight="1">
      <c r="A586" s="141"/>
      <c r="B586" s="155"/>
      <c r="C586" s="1060"/>
      <c r="D586" s="1060"/>
      <c r="E586" s="154"/>
      <c r="F586" s="155"/>
      <c r="G586" s="140"/>
      <c r="H586" s="141"/>
      <c r="I586" s="210"/>
      <c r="J586" s="143"/>
      <c r="K586" s="210"/>
      <c r="L586" s="143"/>
      <c r="M586" s="143"/>
      <c r="N586" s="170"/>
      <c r="O586" s="115"/>
      <c r="P586" s="115"/>
      <c r="Q586" s="116"/>
      <c r="R586" s="116"/>
      <c r="S586" s="117"/>
    </row>
    <row r="587" spans="1:19" s="168" customFormat="1" ht="18" customHeight="1" thickBot="1">
      <c r="A587" s="162"/>
      <c r="B587" s="159"/>
      <c r="C587" s="158"/>
      <c r="D587" s="158"/>
      <c r="E587" s="157"/>
      <c r="F587" s="159"/>
      <c r="G587" s="160"/>
      <c r="H587" s="161" t="s">
        <v>15</v>
      </c>
      <c r="I587" s="214"/>
      <c r="J587" s="163">
        <f>SUM(J547:J586)</f>
        <v>1704912</v>
      </c>
      <c r="K587" s="214"/>
      <c r="L587" s="163">
        <f>SUM(L547:L586)</f>
        <v>2148852</v>
      </c>
      <c r="M587" s="163">
        <f>SUM(M547:M586)</f>
        <v>443940</v>
      </c>
      <c r="N587" s="169"/>
      <c r="O587" s="165"/>
      <c r="P587" s="165"/>
      <c r="Q587" s="166"/>
      <c r="R587" s="166"/>
      <c r="S587" s="167"/>
    </row>
    <row r="588" spans="1:19" s="146" customFormat="1" ht="18" customHeight="1" thickTop="1">
      <c r="A588" s="155"/>
      <c r="B588" s="155"/>
      <c r="C588" s="1060"/>
      <c r="D588" s="1060"/>
      <c r="E588" s="155"/>
      <c r="F588" s="155"/>
      <c r="G588" s="155"/>
      <c r="H588" s="155"/>
      <c r="I588" s="155"/>
      <c r="J588" s="169"/>
      <c r="K588" s="228"/>
      <c r="L588" s="171"/>
      <c r="M588" s="171"/>
      <c r="N588" s="171"/>
      <c r="O588" s="115"/>
      <c r="P588" s="115"/>
      <c r="Q588" s="116"/>
      <c r="R588" s="116"/>
      <c r="S588" s="117"/>
    </row>
    <row r="589" spans="1:19" s="146" customFormat="1" ht="18" customHeight="1">
      <c r="A589" s="155"/>
      <c r="B589" s="155"/>
      <c r="C589" s="1060"/>
      <c r="D589" s="1060"/>
      <c r="E589" s="155"/>
      <c r="F589" s="155"/>
      <c r="G589" s="155"/>
      <c r="H589" s="155"/>
      <c r="I589" s="155"/>
      <c r="J589" s="155"/>
      <c r="K589" s="172"/>
      <c r="L589" s="170"/>
      <c r="M589" s="170"/>
      <c r="N589" s="170"/>
      <c r="O589" s="115"/>
      <c r="P589" s="115"/>
      <c r="Q589" s="116"/>
      <c r="R589" s="116"/>
      <c r="S589" s="117"/>
    </row>
    <row r="590" spans="1:19" s="146" customFormat="1" ht="18" customHeight="1">
      <c r="A590" s="155"/>
      <c r="B590" s="155"/>
      <c r="C590" s="1060"/>
      <c r="D590" s="1060"/>
      <c r="E590" s="155"/>
      <c r="F590" s="155"/>
      <c r="G590" s="155"/>
      <c r="H590" s="155"/>
      <c r="I590" s="155"/>
      <c r="J590" s="155"/>
      <c r="K590" s="172"/>
      <c r="L590" s="170"/>
      <c r="M590" s="170"/>
      <c r="N590" s="170"/>
      <c r="O590" s="115"/>
      <c r="P590" s="115"/>
      <c r="Q590" s="116"/>
      <c r="R590" s="116"/>
      <c r="S590" s="117"/>
    </row>
    <row r="591" spans="1:19" s="146" customFormat="1" ht="18" customHeight="1">
      <c r="A591" s="173" t="s">
        <v>626</v>
      </c>
      <c r="B591" s="173"/>
      <c r="C591" s="1052"/>
      <c r="D591" s="1052"/>
      <c r="E591" s="174"/>
      <c r="F591" s="174"/>
      <c r="G591" s="174"/>
      <c r="H591" s="173" t="s">
        <v>627</v>
      </c>
      <c r="I591" s="174"/>
      <c r="K591" s="173" t="s">
        <v>258</v>
      </c>
      <c r="L591" s="175"/>
      <c r="M591" s="175"/>
      <c r="N591" s="175"/>
      <c r="O591" s="115"/>
      <c r="P591" s="115"/>
      <c r="Q591" s="116"/>
      <c r="R591" s="116"/>
      <c r="S591" s="117"/>
    </row>
    <row r="592" spans="1:19" s="146" customFormat="1" ht="18" customHeight="1">
      <c r="A592" s="174"/>
      <c r="B592" s="174"/>
      <c r="C592" s="1053"/>
      <c r="D592" s="1053"/>
      <c r="E592" s="174"/>
      <c r="F592" s="174"/>
      <c r="G592" s="174"/>
      <c r="H592" s="174"/>
      <c r="I592" s="174"/>
      <c r="J592" s="174"/>
      <c r="K592" s="176"/>
      <c r="L592" s="175"/>
      <c r="M592" s="175"/>
      <c r="N592" s="175"/>
      <c r="O592" s="115"/>
      <c r="P592" s="115"/>
      <c r="Q592" s="116"/>
      <c r="R592" s="116"/>
      <c r="S592" s="117"/>
    </row>
    <row r="593" spans="1:19" s="146" customFormat="1" ht="18" customHeight="1">
      <c r="A593" s="1310" t="s">
        <v>65</v>
      </c>
      <c r="B593" s="1310"/>
      <c r="C593" s="1310"/>
      <c r="D593" s="1310"/>
      <c r="E593" s="1310"/>
      <c r="F593" s="1310"/>
      <c r="G593" s="174"/>
      <c r="H593" s="1310" t="s">
        <v>17</v>
      </c>
      <c r="I593" s="1310"/>
      <c r="J593" s="174"/>
      <c r="K593" s="1310" t="s">
        <v>1454</v>
      </c>
      <c r="L593" s="1310"/>
      <c r="M593" s="1310"/>
      <c r="N593" s="1052"/>
      <c r="O593" s="115"/>
      <c r="P593" s="115"/>
      <c r="Q593" s="116"/>
      <c r="R593" s="116"/>
      <c r="S593" s="117"/>
    </row>
    <row r="594" spans="1:19" s="146" customFormat="1" ht="18" customHeight="1">
      <c r="A594" s="1294" t="s">
        <v>430</v>
      </c>
      <c r="B594" s="1294"/>
      <c r="C594" s="1294"/>
      <c r="D594" s="1294"/>
      <c r="E594" s="1294"/>
      <c r="F594" s="1294"/>
      <c r="G594" s="177"/>
      <c r="H594" s="1294" t="s">
        <v>18</v>
      </c>
      <c r="I594" s="1294"/>
      <c r="J594" s="1052"/>
      <c r="K594" s="1294" t="s">
        <v>14</v>
      </c>
      <c r="L594" s="1294"/>
      <c r="M594" s="1294"/>
      <c r="N594" s="1053"/>
      <c r="O594" s="115"/>
      <c r="P594" s="115"/>
      <c r="Q594" s="116"/>
      <c r="R594" s="116"/>
      <c r="S594" s="117"/>
    </row>
    <row r="595" spans="1:19" ht="18" customHeight="1">
      <c r="A595" s="111"/>
      <c r="B595" s="111"/>
      <c r="C595" s="1050"/>
      <c r="D595" s="1050"/>
      <c r="E595" s="1321"/>
      <c r="F595" s="1321"/>
      <c r="G595" s="1321"/>
      <c r="H595" s="1050"/>
      <c r="I595" s="1050"/>
      <c r="J595" s="1050"/>
      <c r="K595" s="1321"/>
      <c r="L595" s="1321"/>
      <c r="M595" s="1321"/>
      <c r="N595" s="1050"/>
    </row>
    <row r="596" spans="1:19" ht="18" customHeight="1">
      <c r="A596" s="111"/>
      <c r="B596" s="111"/>
      <c r="C596" s="1050"/>
      <c r="D596" s="1050"/>
      <c r="E596" s="1050"/>
      <c r="F596" s="1050"/>
      <c r="G596" s="1050"/>
      <c r="H596" s="1050"/>
      <c r="I596" s="1050"/>
      <c r="J596" s="1050"/>
      <c r="K596" s="1050"/>
      <c r="L596" s="1050"/>
      <c r="M596" s="1050"/>
      <c r="N596" s="1050"/>
    </row>
    <row r="597" spans="1:19" ht="18" customHeight="1">
      <c r="A597" s="111"/>
      <c r="B597" s="111"/>
      <c r="C597" s="1050"/>
      <c r="D597" s="1050"/>
      <c r="E597" s="1050"/>
      <c r="F597" s="1050"/>
      <c r="G597" s="1050"/>
      <c r="H597" s="1050"/>
      <c r="I597" s="1050"/>
      <c r="J597" s="1050"/>
      <c r="K597" s="1050"/>
      <c r="L597" s="1050"/>
      <c r="M597" s="1050"/>
      <c r="N597" s="1050"/>
    </row>
    <row r="598" spans="1:19" ht="18" customHeight="1">
      <c r="A598" s="111"/>
      <c r="B598" s="111"/>
      <c r="C598" s="1050"/>
      <c r="D598" s="1050"/>
      <c r="E598" s="1050"/>
      <c r="F598" s="1050"/>
      <c r="G598" s="1050"/>
      <c r="H598" s="1050"/>
      <c r="I598" s="1050"/>
      <c r="J598" s="1050"/>
      <c r="K598" s="1050"/>
      <c r="L598" s="1050"/>
      <c r="M598" s="1050"/>
      <c r="N598" s="1050"/>
    </row>
    <row r="599" spans="1:19" ht="18" customHeight="1">
      <c r="A599" s="111"/>
      <c r="B599" s="111"/>
      <c r="C599" s="1050"/>
      <c r="D599" s="1050"/>
      <c r="E599" s="1050"/>
      <c r="F599" s="1050"/>
      <c r="G599" s="1050"/>
      <c r="H599" s="1050"/>
      <c r="I599" s="1050"/>
      <c r="J599" s="1050"/>
      <c r="K599" s="1050"/>
      <c r="L599" s="1050"/>
      <c r="M599" s="1050"/>
      <c r="N599" s="1050"/>
    </row>
    <row r="600" spans="1:19" ht="18" customHeight="1">
      <c r="A600" s="111"/>
      <c r="B600" s="111"/>
      <c r="C600" s="1050"/>
      <c r="D600" s="1050"/>
      <c r="E600" s="1050"/>
      <c r="F600" s="1050"/>
      <c r="G600" s="1050"/>
      <c r="H600" s="1050"/>
      <c r="I600" s="1050"/>
      <c r="J600" s="1050"/>
      <c r="K600" s="1050"/>
      <c r="L600" s="1050"/>
      <c r="M600" s="1050"/>
      <c r="N600" s="1050"/>
    </row>
    <row r="601" spans="1:19" ht="18" customHeight="1"/>
    <row r="602" spans="1:19" ht="20.100000000000001" customHeight="1">
      <c r="A602" s="1263" t="s">
        <v>991</v>
      </c>
      <c r="B602" s="1263"/>
      <c r="C602" s="1263"/>
      <c r="D602" s="1263"/>
      <c r="E602" s="1263"/>
      <c r="F602" s="1263"/>
      <c r="G602" s="1263"/>
      <c r="H602" s="1263"/>
      <c r="I602" s="1263"/>
      <c r="J602" s="1263"/>
      <c r="K602" s="1263"/>
      <c r="L602" s="1263"/>
      <c r="M602" s="1263"/>
      <c r="N602" s="1058"/>
    </row>
    <row r="603" spans="1:19" ht="18" customHeight="1">
      <c r="A603" s="110"/>
      <c r="B603" s="110"/>
      <c r="C603" s="1057"/>
      <c r="D603" s="1057"/>
      <c r="E603" s="111"/>
      <c r="F603" s="111"/>
      <c r="G603" s="111"/>
      <c r="H603" s="111"/>
      <c r="I603" s="111"/>
      <c r="J603" s="111"/>
      <c r="K603" s="112"/>
      <c r="M603" s="114"/>
      <c r="N603" s="114"/>
    </row>
    <row r="604" spans="1:19" ht="18" customHeight="1">
      <c r="A604" s="1319" t="s">
        <v>1675</v>
      </c>
      <c r="B604" s="1319"/>
      <c r="C604" s="1319"/>
      <c r="D604" s="1319"/>
      <c r="E604" s="1319"/>
      <c r="F604" s="1319"/>
      <c r="G604" s="1319"/>
      <c r="H604" s="1319"/>
      <c r="I604" s="1319"/>
      <c r="J604" s="1319"/>
      <c r="K604" s="1319"/>
      <c r="L604" s="1319"/>
      <c r="M604" s="1319"/>
      <c r="N604" s="1048"/>
    </row>
    <row r="605" spans="1:19" ht="18" customHeight="1">
      <c r="A605" s="1320" t="s">
        <v>358</v>
      </c>
      <c r="B605" s="1320"/>
      <c r="C605" s="1320"/>
      <c r="D605" s="1320"/>
      <c r="E605" s="1320"/>
      <c r="F605" s="1320"/>
      <c r="G605" s="1320"/>
      <c r="H605" s="1320"/>
      <c r="I605" s="1320"/>
      <c r="J605" s="1320"/>
      <c r="K605" s="1320"/>
      <c r="L605" s="1320"/>
      <c r="M605" s="1320"/>
      <c r="N605" s="1049"/>
    </row>
    <row r="606" spans="1:19" ht="18" customHeight="1">
      <c r="A606" s="1321"/>
      <c r="B606" s="1321"/>
      <c r="C606" s="1321"/>
      <c r="D606" s="1321"/>
      <c r="E606" s="1321"/>
      <c r="F606" s="1321"/>
      <c r="G606" s="1321"/>
      <c r="H606" s="1321"/>
      <c r="I606" s="1321"/>
      <c r="J606" s="1321"/>
      <c r="K606" s="1321"/>
      <c r="L606" s="1321"/>
      <c r="M606" s="1321"/>
      <c r="N606" s="1050"/>
    </row>
    <row r="607" spans="1:19" ht="18" customHeight="1">
      <c r="A607" s="1050"/>
      <c r="B607" s="1050"/>
      <c r="C607" s="1050"/>
      <c r="D607" s="1050"/>
      <c r="E607" s="1050"/>
      <c r="F607" s="1050"/>
      <c r="G607" s="1050"/>
      <c r="H607" s="1050"/>
      <c r="I607" s="1050"/>
      <c r="J607" s="1050"/>
      <c r="K607" s="1050"/>
      <c r="L607" s="1050"/>
      <c r="M607" s="1050"/>
      <c r="N607" s="1050"/>
    </row>
    <row r="608" spans="1:19" ht="18" customHeight="1">
      <c r="A608" s="111" t="s">
        <v>450</v>
      </c>
      <c r="B608" s="111"/>
      <c r="C608" s="111" t="s">
        <v>448</v>
      </c>
      <c r="D608" s="111" t="s">
        <v>315</v>
      </c>
      <c r="E608" s="111"/>
      <c r="F608" s="111"/>
      <c r="G608" s="111"/>
      <c r="H608" s="1050"/>
      <c r="I608" s="1050"/>
      <c r="J608" s="1050"/>
      <c r="K608" s="1050"/>
      <c r="L608" s="1050"/>
      <c r="M608" s="1050"/>
      <c r="N608" s="1050"/>
    </row>
    <row r="609" spans="1:19" ht="18" customHeight="1">
      <c r="A609" s="111" t="s">
        <v>458</v>
      </c>
      <c r="B609" s="111"/>
      <c r="C609" s="111" t="s">
        <v>448</v>
      </c>
      <c r="D609" s="111" t="s">
        <v>467</v>
      </c>
      <c r="E609" s="111"/>
      <c r="F609" s="111"/>
      <c r="G609" s="111"/>
      <c r="H609" s="1050"/>
      <c r="I609" s="1050"/>
      <c r="J609" s="1050"/>
      <c r="K609" s="1050"/>
      <c r="L609" s="1050"/>
      <c r="M609" s="1050"/>
      <c r="N609" s="1050"/>
      <c r="O609" s="180"/>
    </row>
    <row r="610" spans="1:19" ht="18" customHeight="1" thickBot="1">
      <c r="A610" s="111" t="s">
        <v>455</v>
      </c>
      <c r="B610" s="111"/>
      <c r="C610" s="216" t="s">
        <v>448</v>
      </c>
      <c r="D610" s="111" t="s">
        <v>468</v>
      </c>
      <c r="E610" s="111"/>
      <c r="F610" s="111"/>
      <c r="G610" s="111"/>
      <c r="H610" s="1050"/>
      <c r="I610" s="1050"/>
      <c r="J610" s="1050"/>
      <c r="K610" s="1050"/>
      <c r="L610" s="1050"/>
      <c r="M610" s="1050"/>
      <c r="N610" s="1050"/>
      <c r="O610" s="180"/>
    </row>
    <row r="611" spans="1:19" ht="18" customHeight="1">
      <c r="A611" s="1322" t="s">
        <v>631</v>
      </c>
      <c r="B611" s="1323"/>
      <c r="C611" s="1323"/>
      <c r="D611" s="1323"/>
      <c r="E611" s="1324"/>
      <c r="F611" s="1323"/>
      <c r="G611" s="1325"/>
      <c r="H611" s="121"/>
      <c r="I611" s="1326" t="s">
        <v>635</v>
      </c>
      <c r="J611" s="1327"/>
      <c r="K611" s="1326" t="s">
        <v>635</v>
      </c>
      <c r="L611" s="1327"/>
      <c r="M611" s="122"/>
      <c r="N611" s="1012"/>
      <c r="O611" s="180"/>
    </row>
    <row r="612" spans="1:19" ht="18" customHeight="1">
      <c r="A612" s="123" t="s">
        <v>632</v>
      </c>
      <c r="B612" s="1311" t="s">
        <v>633</v>
      </c>
      <c r="C612" s="1312"/>
      <c r="D612" s="1313"/>
      <c r="E612" s="1314" t="s">
        <v>44</v>
      </c>
      <c r="F612" s="1315"/>
      <c r="G612" s="1316"/>
      <c r="H612" s="1054" t="s">
        <v>45</v>
      </c>
      <c r="I612" s="1314" t="s">
        <v>1502</v>
      </c>
      <c r="J612" s="1316"/>
      <c r="K612" s="1315" t="s">
        <v>1676</v>
      </c>
      <c r="L612" s="1316"/>
      <c r="M612" s="124" t="s">
        <v>46</v>
      </c>
      <c r="N612" s="1013"/>
    </row>
    <row r="613" spans="1:19" ht="18" customHeight="1">
      <c r="A613" s="125"/>
      <c r="B613" s="1054"/>
      <c r="C613" s="1055"/>
      <c r="D613" s="1055"/>
      <c r="E613" s="1054"/>
      <c r="F613" s="1055"/>
      <c r="G613" s="1056"/>
      <c r="H613" s="1054" t="s">
        <v>47</v>
      </c>
      <c r="I613" s="1317"/>
      <c r="J613" s="1318"/>
      <c r="K613" s="1317"/>
      <c r="L613" s="1318"/>
      <c r="M613" s="124" t="s">
        <v>48</v>
      </c>
      <c r="N613" s="1013"/>
    </row>
    <row r="614" spans="1:19" ht="18" customHeight="1">
      <c r="A614" s="125"/>
      <c r="B614" s="1054"/>
      <c r="C614" s="1055"/>
      <c r="D614" s="1055"/>
      <c r="E614" s="1054"/>
      <c r="F614" s="1055"/>
      <c r="G614" s="126"/>
      <c r="H614" s="127"/>
      <c r="I614" s="128" t="s">
        <v>634</v>
      </c>
      <c r="J614" s="129" t="s">
        <v>49</v>
      </c>
      <c r="K614" s="128" t="s">
        <v>634</v>
      </c>
      <c r="L614" s="129" t="s">
        <v>49</v>
      </c>
      <c r="M614" s="124"/>
      <c r="N614" s="120" t="s">
        <v>1628</v>
      </c>
    </row>
    <row r="615" spans="1:19" ht="18" customHeight="1" thickBot="1">
      <c r="A615" s="130"/>
      <c r="B615" s="1307"/>
      <c r="C615" s="1308"/>
      <c r="D615" s="1309"/>
      <c r="E615" s="1307"/>
      <c r="F615" s="1308"/>
      <c r="G615" s="1309"/>
      <c r="H615" s="131"/>
      <c r="I615" s="131"/>
      <c r="J615" s="131"/>
      <c r="K615" s="131"/>
      <c r="L615" s="131"/>
      <c r="M615" s="132"/>
      <c r="N615" s="1019" t="s">
        <v>1629</v>
      </c>
    </row>
    <row r="616" spans="1:19" ht="18" customHeight="1">
      <c r="A616" s="181"/>
      <c r="B616" s="119"/>
      <c r="C616" s="119"/>
      <c r="D616" s="119"/>
      <c r="E616" s="133"/>
      <c r="F616" s="119"/>
      <c r="G616" s="217"/>
      <c r="H616" s="181"/>
      <c r="I616" s="181"/>
      <c r="J616" s="181"/>
      <c r="K616" s="181"/>
      <c r="L616" s="181"/>
      <c r="M616" s="181"/>
      <c r="N616" s="119"/>
    </row>
    <row r="617" spans="1:19" s="146" customFormat="1" ht="18" customHeight="1">
      <c r="A617" s="183">
        <v>1</v>
      </c>
      <c r="B617" s="1060"/>
      <c r="C617" s="1060"/>
      <c r="D617" s="1060"/>
      <c r="E617" s="154" t="s">
        <v>77</v>
      </c>
      <c r="F617" s="1060"/>
      <c r="G617" s="140"/>
      <c r="H617" s="141" t="s">
        <v>88</v>
      </c>
      <c r="I617" s="184" t="s">
        <v>221</v>
      </c>
      <c r="J617" s="143">
        <v>899208</v>
      </c>
      <c r="K617" s="184" t="s">
        <v>221</v>
      </c>
      <c r="L617" s="143">
        <v>916500</v>
      </c>
      <c r="M617" s="144">
        <f>L617-J617</f>
        <v>17292</v>
      </c>
      <c r="N617" s="1015">
        <f t="shared" ref="N617:N618" si="6">L617/12</f>
        <v>76375</v>
      </c>
      <c r="O617" s="115">
        <f>L617-J617</f>
        <v>17292</v>
      </c>
      <c r="P617" s="115">
        <f>O617-M617</f>
        <v>0</v>
      </c>
      <c r="Q617" s="116">
        <v>62304</v>
      </c>
      <c r="R617" s="116">
        <f>Q617*12</f>
        <v>747648</v>
      </c>
      <c r="S617" s="145">
        <f>R617-L617</f>
        <v>-168852</v>
      </c>
    </row>
    <row r="618" spans="1:19" s="146" customFormat="1" ht="18" customHeight="1">
      <c r="A618" s="183"/>
      <c r="B618" s="1060"/>
      <c r="C618" s="1060"/>
      <c r="D618" s="1060"/>
      <c r="E618" s="154" t="s">
        <v>905</v>
      </c>
      <c r="F618" s="1060"/>
      <c r="G618" s="140"/>
      <c r="H618" s="141"/>
      <c r="I618" s="184"/>
      <c r="J618" s="143"/>
      <c r="K618" s="184"/>
      <c r="L618" s="143"/>
      <c r="M618" s="144"/>
      <c r="N618" s="1015">
        <f t="shared" si="6"/>
        <v>0</v>
      </c>
      <c r="O618" s="115"/>
      <c r="P618" s="115"/>
      <c r="Q618" s="116"/>
      <c r="R618" s="116"/>
      <c r="S618" s="117"/>
    </row>
    <row r="619" spans="1:19" s="146" customFormat="1" ht="18" customHeight="1">
      <c r="A619" s="183"/>
      <c r="B619" s="1060"/>
      <c r="C619" s="1060"/>
      <c r="D619" s="1060"/>
      <c r="E619" s="154"/>
      <c r="F619" s="1060"/>
      <c r="G619" s="140"/>
      <c r="H619" s="141"/>
      <c r="I619" s="184"/>
      <c r="J619" s="143"/>
      <c r="K619" s="184"/>
      <c r="L619" s="149"/>
      <c r="M619" s="144"/>
      <c r="N619" s="1015"/>
      <c r="O619" s="115"/>
      <c r="P619" s="115"/>
      <c r="Q619" s="116"/>
      <c r="R619" s="116"/>
      <c r="S619" s="117"/>
    </row>
    <row r="620" spans="1:19" s="146" customFormat="1" ht="18" customHeight="1">
      <c r="A620" s="183"/>
      <c r="B620" s="1060"/>
      <c r="C620" s="1060"/>
      <c r="D620" s="1060"/>
      <c r="E620" s="147" t="s">
        <v>92</v>
      </c>
      <c r="F620" s="1060"/>
      <c r="G620" s="148"/>
      <c r="H620" s="141"/>
      <c r="I620" s="185"/>
      <c r="J620" s="143"/>
      <c r="K620" s="185"/>
      <c r="L620" s="143"/>
      <c r="M620" s="144"/>
      <c r="N620" s="1015"/>
      <c r="O620" s="115"/>
      <c r="P620" s="115"/>
      <c r="Q620" s="116"/>
      <c r="R620" s="116"/>
      <c r="S620" s="117"/>
    </row>
    <row r="621" spans="1:19" s="146" customFormat="1" ht="18" customHeight="1">
      <c r="A621" s="183"/>
      <c r="B621" s="1060"/>
      <c r="C621" s="1060"/>
      <c r="D621" s="1060"/>
      <c r="E621" s="154"/>
      <c r="F621" s="1060"/>
      <c r="G621" s="140"/>
      <c r="H621" s="141"/>
      <c r="I621" s="185"/>
      <c r="J621" s="143"/>
      <c r="K621" s="185"/>
      <c r="L621" s="143"/>
      <c r="M621" s="144"/>
      <c r="N621" s="1015"/>
      <c r="O621" s="115"/>
      <c r="P621" s="115"/>
      <c r="Q621" s="116"/>
      <c r="R621" s="116"/>
      <c r="S621" s="117"/>
    </row>
    <row r="622" spans="1:19" s="146" customFormat="1" ht="18" customHeight="1">
      <c r="A622" s="183">
        <v>2</v>
      </c>
      <c r="B622" s="1060"/>
      <c r="C622" s="1060"/>
      <c r="D622" s="1060"/>
      <c r="E622" s="154" t="s">
        <v>93</v>
      </c>
      <c r="F622" s="1060"/>
      <c r="G622" s="140"/>
      <c r="H622" s="141" t="s">
        <v>94</v>
      </c>
      <c r="I622" s="184" t="s">
        <v>1504</v>
      </c>
      <c r="J622" s="143">
        <v>332124</v>
      </c>
      <c r="K622" s="184" t="s">
        <v>1504</v>
      </c>
      <c r="L622" s="143">
        <v>347652</v>
      </c>
      <c r="M622" s="144">
        <f>L622-J622</f>
        <v>15528</v>
      </c>
      <c r="N622" s="1015">
        <f t="shared" ref="N622:N623" si="7">L622/12</f>
        <v>28971</v>
      </c>
      <c r="O622" s="115">
        <f>L622-J622</f>
        <v>15528</v>
      </c>
      <c r="P622" s="115">
        <f>O622-M622</f>
        <v>0</v>
      </c>
      <c r="Q622" s="116">
        <v>23326</v>
      </c>
      <c r="R622" s="116">
        <f>Q622*12</f>
        <v>279912</v>
      </c>
      <c r="S622" s="145">
        <f>R622-L622</f>
        <v>-67740</v>
      </c>
    </row>
    <row r="623" spans="1:19" s="146" customFormat="1" ht="18" customHeight="1">
      <c r="A623" s="183"/>
      <c r="B623" s="1060"/>
      <c r="C623" s="1060"/>
      <c r="D623" s="1060"/>
      <c r="E623" s="154"/>
      <c r="F623" s="1060"/>
      <c r="G623" s="140"/>
      <c r="H623" s="141"/>
      <c r="I623" s="184"/>
      <c r="J623" s="143"/>
      <c r="K623" s="184"/>
      <c r="L623" s="143"/>
      <c r="M623" s="144"/>
      <c r="N623" s="1015">
        <f t="shared" si="7"/>
        <v>0</v>
      </c>
      <c r="O623" s="115"/>
      <c r="P623" s="115"/>
      <c r="Q623" s="116"/>
      <c r="R623" s="116"/>
      <c r="S623" s="145"/>
    </row>
    <row r="624" spans="1:19" s="146" customFormat="1" ht="18" customHeight="1">
      <c r="A624" s="183"/>
      <c r="B624" s="1060"/>
      <c r="C624" s="1060"/>
      <c r="D624" s="1060"/>
      <c r="E624" s="147" t="s">
        <v>95</v>
      </c>
      <c r="F624" s="1060"/>
      <c r="G624" s="148"/>
      <c r="H624" s="141"/>
      <c r="I624" s="185"/>
      <c r="J624" s="149"/>
      <c r="K624" s="185"/>
      <c r="L624" s="149"/>
      <c r="M624" s="144"/>
      <c r="N624" s="1015"/>
      <c r="O624" s="115"/>
      <c r="P624" s="115"/>
      <c r="Q624" s="116"/>
      <c r="R624" s="116"/>
      <c r="S624" s="117"/>
    </row>
    <row r="625" spans="1:19" s="146" customFormat="1" ht="18" customHeight="1">
      <c r="A625" s="183"/>
      <c r="B625" s="1060"/>
      <c r="C625" s="1060"/>
      <c r="D625" s="1060"/>
      <c r="E625" s="154"/>
      <c r="F625" s="1060"/>
      <c r="G625" s="140"/>
      <c r="H625" s="141"/>
      <c r="I625" s="185"/>
      <c r="J625" s="143"/>
      <c r="K625" s="185"/>
      <c r="L625" s="143"/>
      <c r="M625" s="144"/>
      <c r="N625" s="1015"/>
      <c r="O625" s="115"/>
      <c r="P625" s="115"/>
      <c r="Q625" s="116"/>
      <c r="R625" s="116"/>
      <c r="S625" s="117"/>
    </row>
    <row r="626" spans="1:19" s="146" customFormat="1" ht="18" customHeight="1">
      <c r="A626" s="183">
        <v>3</v>
      </c>
      <c r="B626" s="1060"/>
      <c r="C626" s="1060"/>
      <c r="D626" s="1060"/>
      <c r="E626" s="154" t="s">
        <v>96</v>
      </c>
      <c r="F626" s="1060"/>
      <c r="G626" s="140"/>
      <c r="H626" s="141" t="s">
        <v>440</v>
      </c>
      <c r="I626" s="184" t="s">
        <v>134</v>
      </c>
      <c r="J626" s="143">
        <v>246444</v>
      </c>
      <c r="K626" s="184" t="s">
        <v>134</v>
      </c>
      <c r="L626" s="143">
        <v>262380</v>
      </c>
      <c r="M626" s="144">
        <f>L626-J626</f>
        <v>15936</v>
      </c>
      <c r="N626" s="1015">
        <f>L626/12</f>
        <v>21865</v>
      </c>
      <c r="O626" s="115">
        <f>L626-J626</f>
        <v>15936</v>
      </c>
      <c r="P626" s="115">
        <f>O626-M626</f>
        <v>0</v>
      </c>
      <c r="Q626" s="116">
        <v>17152</v>
      </c>
      <c r="R626" s="116">
        <f>Q626*12</f>
        <v>205824</v>
      </c>
      <c r="S626" s="145">
        <f>R626-L626</f>
        <v>-56556</v>
      </c>
    </row>
    <row r="627" spans="1:19" s="146" customFormat="1" ht="18" customHeight="1">
      <c r="A627" s="183"/>
      <c r="B627" s="1060"/>
      <c r="C627" s="1060"/>
      <c r="D627" s="1060"/>
      <c r="E627" s="154" t="s">
        <v>84</v>
      </c>
      <c r="F627" s="1060"/>
      <c r="G627" s="140"/>
      <c r="H627" s="141"/>
      <c r="I627" s="184"/>
      <c r="J627" s="143"/>
      <c r="K627" s="184" t="s">
        <v>138</v>
      </c>
      <c r="L627" s="143">
        <v>265320</v>
      </c>
      <c r="M627" s="144">
        <v>245</v>
      </c>
      <c r="N627" s="1015"/>
      <c r="O627" s="115"/>
      <c r="P627" s="115"/>
      <c r="Q627" s="116"/>
      <c r="R627" s="116"/>
      <c r="S627" s="117"/>
    </row>
    <row r="628" spans="1:19" s="146" customFormat="1" ht="18" customHeight="1">
      <c r="A628" s="183"/>
      <c r="B628" s="1060"/>
      <c r="C628" s="1060"/>
      <c r="D628" s="1060"/>
      <c r="E628" s="154"/>
      <c r="F628" s="1060"/>
      <c r="G628" s="140"/>
      <c r="H628" s="141"/>
      <c r="I628" s="184"/>
      <c r="J628" s="143"/>
      <c r="K628" s="184"/>
      <c r="L628" s="149">
        <v>44896</v>
      </c>
      <c r="M628" s="144"/>
      <c r="N628" s="1015"/>
      <c r="O628" s="115"/>
      <c r="P628" s="115"/>
      <c r="Q628" s="116"/>
      <c r="R628" s="116"/>
      <c r="S628" s="117"/>
    </row>
    <row r="629" spans="1:19" s="146" customFormat="1" ht="18" customHeight="1">
      <c r="A629" s="183"/>
      <c r="B629" s="1060"/>
      <c r="C629" s="1060"/>
      <c r="D629" s="1060"/>
      <c r="E629" s="154"/>
      <c r="F629" s="1060"/>
      <c r="G629" s="140"/>
      <c r="H629" s="141"/>
      <c r="I629" s="194"/>
      <c r="J629" s="149"/>
      <c r="K629" s="194"/>
      <c r="L629" s="149"/>
      <c r="M629" s="144"/>
      <c r="N629" s="1015"/>
      <c r="O629" s="115"/>
      <c r="P629" s="115"/>
      <c r="Q629" s="116"/>
      <c r="R629" s="116"/>
      <c r="S629" s="117"/>
    </row>
    <row r="630" spans="1:19" s="146" customFormat="1" ht="18" customHeight="1">
      <c r="A630" s="183">
        <v>4</v>
      </c>
      <c r="B630" s="1060"/>
      <c r="C630" s="1060"/>
      <c r="D630" s="1060"/>
      <c r="E630" s="154" t="s">
        <v>97</v>
      </c>
      <c r="F630" s="1060"/>
      <c r="G630" s="140"/>
      <c r="H630" s="141" t="s">
        <v>98</v>
      </c>
      <c r="I630" s="184" t="s">
        <v>1505</v>
      </c>
      <c r="J630" s="143">
        <v>180672</v>
      </c>
      <c r="K630" s="184" t="s">
        <v>1505</v>
      </c>
      <c r="L630" s="143">
        <v>188244</v>
      </c>
      <c r="M630" s="144">
        <f>L630-J630</f>
        <v>7572</v>
      </c>
      <c r="N630" s="1015">
        <f t="shared" ref="N630:N631" si="8">L630/12</f>
        <v>15687</v>
      </c>
      <c r="O630" s="115">
        <f>L630-J630</f>
        <v>7572</v>
      </c>
      <c r="P630" s="115">
        <f>O630-M630</f>
        <v>0</v>
      </c>
      <c r="Q630" s="116">
        <v>13181</v>
      </c>
      <c r="R630" s="116">
        <f>Q630*12</f>
        <v>158172</v>
      </c>
      <c r="S630" s="145">
        <f>R630-L630</f>
        <v>-30072</v>
      </c>
    </row>
    <row r="631" spans="1:19" s="146" customFormat="1" ht="18" customHeight="1">
      <c r="A631" s="183"/>
      <c r="B631" s="1060"/>
      <c r="C631" s="1060"/>
      <c r="D631" s="1060"/>
      <c r="E631" s="154"/>
      <c r="F631" s="1060"/>
      <c r="G631" s="140"/>
      <c r="H631" s="141"/>
      <c r="I631" s="184"/>
      <c r="J631" s="143"/>
      <c r="K631" s="184"/>
      <c r="L631" s="143"/>
      <c r="M631" s="144"/>
      <c r="N631" s="1015">
        <f t="shared" si="8"/>
        <v>0</v>
      </c>
      <c r="O631" s="115"/>
      <c r="P631" s="115"/>
      <c r="Q631" s="116"/>
      <c r="R631" s="116"/>
      <c r="S631" s="145"/>
    </row>
    <row r="632" spans="1:19" s="146" customFormat="1" ht="18" customHeight="1">
      <c r="A632" s="183">
        <v>5</v>
      </c>
      <c r="B632" s="1060"/>
      <c r="C632" s="1060"/>
      <c r="D632" s="1060"/>
      <c r="E632" s="154" t="s">
        <v>97</v>
      </c>
      <c r="F632" s="1060"/>
      <c r="G632" s="140"/>
      <c r="H632" s="141" t="s">
        <v>382</v>
      </c>
      <c r="I632" s="184" t="s">
        <v>441</v>
      </c>
      <c r="J632" s="143">
        <v>176568</v>
      </c>
      <c r="K632" s="184" t="s">
        <v>441</v>
      </c>
      <c r="L632" s="143">
        <v>183972</v>
      </c>
      <c r="M632" s="144">
        <f>L632-J632</f>
        <v>7404</v>
      </c>
      <c r="N632" s="1015">
        <f>L632/12</f>
        <v>15331</v>
      </c>
      <c r="O632" s="115">
        <f>L632-J632</f>
        <v>7404</v>
      </c>
      <c r="P632" s="115">
        <f>O632-M632</f>
        <v>0</v>
      </c>
      <c r="Q632" s="116">
        <v>12966</v>
      </c>
      <c r="R632" s="116">
        <f>Q632*12</f>
        <v>155592</v>
      </c>
      <c r="S632" s="145">
        <f>R632-L632</f>
        <v>-28380</v>
      </c>
    </row>
    <row r="633" spans="1:19" s="146" customFormat="1" ht="18" customHeight="1">
      <c r="A633" s="183"/>
      <c r="B633" s="1060"/>
      <c r="C633" s="1060"/>
      <c r="D633" s="1060"/>
      <c r="E633" s="154"/>
      <c r="F633" s="1060"/>
      <c r="G633" s="140"/>
      <c r="H633" s="141"/>
      <c r="I633" s="184"/>
      <c r="J633" s="143"/>
      <c r="K633" s="184" t="s">
        <v>1711</v>
      </c>
      <c r="L633" s="143">
        <v>185400</v>
      </c>
      <c r="M633" s="144">
        <v>119</v>
      </c>
      <c r="N633" s="1015"/>
      <c r="O633" s="115"/>
      <c r="P633" s="115"/>
      <c r="Q633" s="116"/>
      <c r="R633" s="116"/>
      <c r="S633" s="145"/>
    </row>
    <row r="634" spans="1:19" s="146" customFormat="1" ht="18" customHeight="1">
      <c r="A634" s="183"/>
      <c r="B634" s="1060"/>
      <c r="C634" s="1060"/>
      <c r="D634" s="1060"/>
      <c r="E634" s="154"/>
      <c r="F634" s="1060"/>
      <c r="G634" s="140"/>
      <c r="H634" s="141"/>
      <c r="I634" s="184"/>
      <c r="J634" s="143"/>
      <c r="K634" s="184"/>
      <c r="L634" s="149">
        <v>44896</v>
      </c>
      <c r="M634" s="144"/>
      <c r="N634" s="1015"/>
      <c r="O634" s="115"/>
      <c r="P634" s="115"/>
      <c r="Q634" s="116"/>
      <c r="R634" s="116"/>
      <c r="S634" s="145"/>
    </row>
    <row r="635" spans="1:19" s="146" customFormat="1" ht="18" customHeight="1">
      <c r="A635" s="183"/>
      <c r="B635" s="1060"/>
      <c r="C635" s="1060"/>
      <c r="D635" s="1060"/>
      <c r="E635" s="154"/>
      <c r="F635" s="1060"/>
      <c r="G635" s="140"/>
      <c r="H635" s="141"/>
      <c r="I635" s="184"/>
      <c r="J635" s="143"/>
      <c r="K635" s="184"/>
      <c r="L635" s="143"/>
      <c r="M635" s="144"/>
      <c r="N635" s="1015"/>
      <c r="O635" s="115"/>
      <c r="P635" s="115"/>
      <c r="Q635" s="116"/>
      <c r="R635" s="116"/>
      <c r="S635" s="145"/>
    </row>
    <row r="636" spans="1:19" s="146" customFormat="1" ht="18" customHeight="1">
      <c r="A636" s="183">
        <v>6</v>
      </c>
      <c r="B636" s="1060"/>
      <c r="C636" s="1060"/>
      <c r="D636" s="1060"/>
      <c r="E636" s="154" t="s">
        <v>97</v>
      </c>
      <c r="F636" s="1060"/>
      <c r="G636" s="140"/>
      <c r="H636" s="141" t="s">
        <v>81</v>
      </c>
      <c r="I636" s="184" t="s">
        <v>441</v>
      </c>
      <c r="J636" s="143">
        <v>176568</v>
      </c>
      <c r="K636" s="184" t="s">
        <v>441</v>
      </c>
      <c r="L636" s="143">
        <v>183972</v>
      </c>
      <c r="M636" s="144">
        <f>L636-J636</f>
        <v>7404</v>
      </c>
      <c r="N636" s="1015">
        <f>L636/12</f>
        <v>15331</v>
      </c>
      <c r="O636" s="115">
        <f>L636-J636</f>
        <v>7404</v>
      </c>
      <c r="P636" s="115">
        <f>O636-M636</f>
        <v>0</v>
      </c>
      <c r="Q636" s="116">
        <v>12966</v>
      </c>
      <c r="R636" s="116">
        <f>Q636*12</f>
        <v>155592</v>
      </c>
      <c r="S636" s="145">
        <f>R636-L636</f>
        <v>-28380</v>
      </c>
    </row>
    <row r="637" spans="1:19" s="146" customFormat="1" ht="18" customHeight="1">
      <c r="A637" s="183"/>
      <c r="B637" s="1060"/>
      <c r="C637" s="1060"/>
      <c r="D637" s="1060"/>
      <c r="E637" s="154"/>
      <c r="F637" s="1060"/>
      <c r="G637" s="140"/>
      <c r="H637" s="141"/>
      <c r="I637" s="184"/>
      <c r="J637" s="143"/>
      <c r="K637" s="184" t="s">
        <v>1711</v>
      </c>
      <c r="L637" s="143">
        <v>185400</v>
      </c>
      <c r="M637" s="144">
        <v>119</v>
      </c>
      <c r="N637" s="1015"/>
      <c r="O637" s="115"/>
      <c r="P637" s="115"/>
      <c r="Q637" s="116"/>
      <c r="R637" s="116"/>
      <c r="S637" s="145"/>
    </row>
    <row r="638" spans="1:19" s="146" customFormat="1" ht="18" customHeight="1">
      <c r="A638" s="183"/>
      <c r="B638" s="1060"/>
      <c r="C638" s="1060"/>
      <c r="D638" s="1060"/>
      <c r="E638" s="154"/>
      <c r="F638" s="1060"/>
      <c r="G638" s="140"/>
      <c r="H638" s="141"/>
      <c r="I638" s="184"/>
      <c r="J638" s="143"/>
      <c r="K638" s="184"/>
      <c r="L638" s="149">
        <v>44911</v>
      </c>
      <c r="M638" s="144"/>
      <c r="N638" s="1015"/>
      <c r="O638" s="115"/>
      <c r="P638" s="115"/>
      <c r="Q638" s="116"/>
      <c r="R638" s="116"/>
      <c r="S638" s="145"/>
    </row>
    <row r="639" spans="1:19" s="146" customFormat="1" ht="18" customHeight="1">
      <c r="A639" s="183"/>
      <c r="B639" s="1060"/>
      <c r="C639" s="1060"/>
      <c r="D639" s="1060"/>
      <c r="E639" s="154"/>
      <c r="F639" s="1060"/>
      <c r="G639" s="140"/>
      <c r="H639" s="141"/>
      <c r="I639" s="185"/>
      <c r="J639" s="143"/>
      <c r="K639" s="185"/>
      <c r="L639" s="143"/>
      <c r="M639" s="144"/>
      <c r="N639" s="1015"/>
      <c r="O639" s="115"/>
      <c r="P639" s="115"/>
      <c r="Q639" s="116"/>
      <c r="R639" s="116"/>
      <c r="S639" s="117"/>
    </row>
    <row r="640" spans="1:19" s="146" customFormat="1" ht="18" customHeight="1">
      <c r="A640" s="183">
        <v>7</v>
      </c>
      <c r="B640" s="1060"/>
      <c r="C640" s="1060"/>
      <c r="D640" s="1060"/>
      <c r="E640" s="154" t="s">
        <v>100</v>
      </c>
      <c r="F640" s="1060"/>
      <c r="G640" s="140"/>
      <c r="H640" s="141" t="s">
        <v>889</v>
      </c>
      <c r="I640" s="184" t="s">
        <v>442</v>
      </c>
      <c r="J640" s="143">
        <v>157008</v>
      </c>
      <c r="K640" s="184" t="s">
        <v>442</v>
      </c>
      <c r="L640" s="143">
        <v>163524</v>
      </c>
      <c r="M640" s="144">
        <f>L640-J640</f>
        <v>6516</v>
      </c>
      <c r="N640" s="1015">
        <f>L640/12</f>
        <v>13627</v>
      </c>
      <c r="O640" s="115">
        <f>L640-J640</f>
        <v>6516</v>
      </c>
      <c r="P640" s="115">
        <f>O640-M640</f>
        <v>0</v>
      </c>
      <c r="Q640" s="116">
        <v>11459</v>
      </c>
      <c r="R640" s="116">
        <f>Q640*12</f>
        <v>137508</v>
      </c>
      <c r="S640" s="145">
        <f>R640-L640</f>
        <v>-26016</v>
      </c>
    </row>
    <row r="641" spans="1:19" s="146" customFormat="1" ht="18" customHeight="1">
      <c r="A641" s="183"/>
      <c r="B641" s="1060"/>
      <c r="C641" s="1060"/>
      <c r="D641" s="1060"/>
      <c r="E641" s="154"/>
      <c r="F641" s="1060"/>
      <c r="G641" s="140"/>
      <c r="H641" s="141"/>
      <c r="I641" s="184"/>
      <c r="J641" s="143"/>
      <c r="K641" s="184" t="s">
        <v>1457</v>
      </c>
      <c r="L641" s="143">
        <v>164784</v>
      </c>
      <c r="M641" s="144">
        <v>105</v>
      </c>
      <c r="N641" s="1015"/>
      <c r="O641" s="115"/>
      <c r="P641" s="115"/>
      <c r="Q641" s="116"/>
      <c r="R641" s="116"/>
      <c r="S641" s="145"/>
    </row>
    <row r="642" spans="1:19" s="146" customFormat="1" ht="18" customHeight="1">
      <c r="A642" s="183"/>
      <c r="B642" s="1060"/>
      <c r="C642" s="1060"/>
      <c r="D642" s="1060"/>
      <c r="E642" s="154"/>
      <c r="F642" s="1060"/>
      <c r="G642" s="140"/>
      <c r="H642" s="141"/>
      <c r="I642" s="184"/>
      <c r="J642" s="143"/>
      <c r="K642" s="184"/>
      <c r="L642" s="149">
        <v>44911</v>
      </c>
      <c r="M642" s="144"/>
      <c r="N642" s="1015"/>
      <c r="O642" s="115"/>
      <c r="P642" s="115"/>
      <c r="Q642" s="116"/>
      <c r="R642" s="116"/>
      <c r="S642" s="145"/>
    </row>
    <row r="643" spans="1:19" s="146" customFormat="1" ht="18" customHeight="1">
      <c r="A643" s="183"/>
      <c r="B643" s="1060"/>
      <c r="C643" s="1060"/>
      <c r="D643" s="1060"/>
      <c r="E643" s="154"/>
      <c r="F643" s="1060"/>
      <c r="G643" s="140"/>
      <c r="H643" s="141"/>
      <c r="I643" s="184"/>
      <c r="J643" s="143"/>
      <c r="K643" s="184"/>
      <c r="L643" s="143"/>
      <c r="M643" s="144"/>
      <c r="N643" s="1015"/>
      <c r="O643" s="115"/>
      <c r="P643" s="115"/>
      <c r="Q643" s="116"/>
      <c r="R643" s="116"/>
      <c r="S643" s="145"/>
    </row>
    <row r="644" spans="1:19" s="146" customFormat="1" ht="18" customHeight="1">
      <c r="A644" s="183">
        <v>8</v>
      </c>
      <c r="B644" s="1060"/>
      <c r="C644" s="1060"/>
      <c r="D644" s="1060"/>
      <c r="E644" s="154" t="s">
        <v>100</v>
      </c>
      <c r="F644" s="1060"/>
      <c r="G644" s="140"/>
      <c r="H644" s="141" t="s">
        <v>282</v>
      </c>
      <c r="I644" s="184" t="s">
        <v>1457</v>
      </c>
      <c r="J644" s="143">
        <v>158208</v>
      </c>
      <c r="K644" s="184" t="s">
        <v>1457</v>
      </c>
      <c r="L644" s="143">
        <v>164784</v>
      </c>
      <c r="M644" s="144">
        <f>L644-J644</f>
        <v>6576</v>
      </c>
      <c r="N644" s="1015">
        <f>L644/12</f>
        <v>13732</v>
      </c>
      <c r="O644" s="115">
        <f>L644-J644</f>
        <v>6576</v>
      </c>
      <c r="P644" s="115">
        <f>O644-M644</f>
        <v>0</v>
      </c>
      <c r="Q644" s="116">
        <v>11565</v>
      </c>
      <c r="R644" s="116">
        <f>Q644*12</f>
        <v>138780</v>
      </c>
      <c r="S644" s="145">
        <f>R644-L644</f>
        <v>-26004</v>
      </c>
    </row>
    <row r="645" spans="1:19" s="146" customFormat="1" ht="18" customHeight="1">
      <c r="A645" s="183"/>
      <c r="B645" s="1060"/>
      <c r="C645" s="1060"/>
      <c r="D645" s="1060"/>
      <c r="E645" s="154"/>
      <c r="F645" s="1060"/>
      <c r="G645" s="140"/>
      <c r="H645" s="141"/>
      <c r="I645" s="184"/>
      <c r="J645" s="149"/>
      <c r="K645" s="184"/>
      <c r="L645" s="149"/>
      <c r="M645" s="144"/>
      <c r="N645" s="1015"/>
      <c r="O645" s="115"/>
      <c r="P645" s="115"/>
      <c r="Q645" s="116"/>
      <c r="R645" s="116"/>
      <c r="S645" s="145"/>
    </row>
    <row r="646" spans="1:19" s="146" customFormat="1" ht="18" customHeight="1">
      <c r="A646" s="183">
        <v>9</v>
      </c>
      <c r="B646" s="1060"/>
      <c r="C646" s="1060"/>
      <c r="D646" s="1060"/>
      <c r="E646" s="154" t="s">
        <v>100</v>
      </c>
      <c r="F646" s="1060"/>
      <c r="G646" s="140"/>
      <c r="H646" s="150" t="s">
        <v>887</v>
      </c>
      <c r="I646" s="184" t="s">
        <v>1457</v>
      </c>
      <c r="J646" s="143">
        <v>158208</v>
      </c>
      <c r="K646" s="184" t="s">
        <v>1506</v>
      </c>
      <c r="L646" s="143">
        <v>162276</v>
      </c>
      <c r="M646" s="144">
        <f>L646-J646</f>
        <v>4068</v>
      </c>
      <c r="N646" s="1015">
        <f>L646/12</f>
        <v>13523</v>
      </c>
      <c r="O646" s="115">
        <f>L646-J646</f>
        <v>4068</v>
      </c>
      <c r="P646" s="115">
        <f>O646-M646</f>
        <v>0</v>
      </c>
      <c r="Q646" s="116">
        <v>11565</v>
      </c>
      <c r="R646" s="116">
        <f>Q646*12</f>
        <v>138780</v>
      </c>
      <c r="S646" s="145">
        <f>R646-L646</f>
        <v>-23496</v>
      </c>
    </row>
    <row r="647" spans="1:19" s="146" customFormat="1" ht="18" customHeight="1">
      <c r="A647" s="183"/>
      <c r="B647" s="1060"/>
      <c r="C647" s="1060"/>
      <c r="D647" s="1060"/>
      <c r="E647" s="154"/>
      <c r="F647" s="1060"/>
      <c r="G647" s="140"/>
      <c r="H647" s="141"/>
      <c r="I647" s="184"/>
      <c r="J647" s="149"/>
      <c r="K647" s="184"/>
      <c r="L647" s="149"/>
      <c r="M647" s="144"/>
      <c r="N647" s="1015"/>
      <c r="O647" s="115"/>
      <c r="P647" s="115"/>
      <c r="Q647" s="116"/>
      <c r="R647" s="116"/>
      <c r="S647" s="145"/>
    </row>
    <row r="648" spans="1:19" s="146" customFormat="1" ht="18" customHeight="1">
      <c r="A648" s="183">
        <v>10</v>
      </c>
      <c r="B648" s="1060"/>
      <c r="C648" s="1060"/>
      <c r="D648" s="1060"/>
      <c r="E648" s="154" t="s">
        <v>100</v>
      </c>
      <c r="F648" s="1060"/>
      <c r="G648" s="140"/>
      <c r="H648" s="141" t="s">
        <v>890</v>
      </c>
      <c r="I648" s="184" t="s">
        <v>442</v>
      </c>
      <c r="J648" s="143">
        <v>157008</v>
      </c>
      <c r="K648" s="184" t="s">
        <v>442</v>
      </c>
      <c r="L648" s="143">
        <v>163524</v>
      </c>
      <c r="M648" s="144">
        <f>L648-J648</f>
        <v>6516</v>
      </c>
      <c r="N648" s="1015">
        <f>L648/12</f>
        <v>13627</v>
      </c>
      <c r="O648" s="115">
        <f>L648-J648</f>
        <v>6516</v>
      </c>
      <c r="P648" s="115">
        <f>O648-M648</f>
        <v>0</v>
      </c>
      <c r="Q648" s="116">
        <v>11459</v>
      </c>
      <c r="R648" s="116">
        <f>Q648*12</f>
        <v>137508</v>
      </c>
      <c r="S648" s="145">
        <f>R648-L648</f>
        <v>-26016</v>
      </c>
    </row>
    <row r="649" spans="1:19" s="146" customFormat="1" ht="18" customHeight="1">
      <c r="A649" s="183"/>
      <c r="B649" s="1060"/>
      <c r="C649" s="1060"/>
      <c r="D649" s="1060"/>
      <c r="E649" s="154"/>
      <c r="F649" s="1060"/>
      <c r="G649" s="140"/>
      <c r="H649" s="141"/>
      <c r="I649" s="184"/>
      <c r="J649" s="143"/>
      <c r="K649" s="184" t="s">
        <v>1457</v>
      </c>
      <c r="L649" s="143">
        <v>164784</v>
      </c>
      <c r="M649" s="144">
        <v>105</v>
      </c>
      <c r="N649" s="1015"/>
      <c r="O649" s="115"/>
      <c r="P649" s="115"/>
      <c r="Q649" s="116"/>
      <c r="R649" s="116"/>
      <c r="S649" s="145"/>
    </row>
    <row r="650" spans="1:19" s="146" customFormat="1" ht="18" customHeight="1">
      <c r="A650" s="183"/>
      <c r="B650" s="1060"/>
      <c r="C650" s="1060"/>
      <c r="D650" s="1060"/>
      <c r="E650" s="154"/>
      <c r="F650" s="1060"/>
      <c r="G650" s="140"/>
      <c r="H650" s="141"/>
      <c r="I650" s="184"/>
      <c r="J650" s="143"/>
      <c r="K650" s="184"/>
      <c r="L650" s="149">
        <v>44896</v>
      </c>
      <c r="M650" s="144"/>
      <c r="N650" s="1015"/>
      <c r="O650" s="115"/>
      <c r="P650" s="115"/>
      <c r="Q650" s="116"/>
      <c r="R650" s="116"/>
      <c r="S650" s="145"/>
    </row>
    <row r="651" spans="1:19" s="146" customFormat="1" ht="18" customHeight="1">
      <c r="A651" s="183"/>
      <c r="B651" s="1060"/>
      <c r="C651" s="1060"/>
      <c r="D651" s="1060"/>
      <c r="E651" s="154"/>
      <c r="F651" s="1060"/>
      <c r="G651" s="140"/>
      <c r="H651" s="141"/>
      <c r="I651" s="184"/>
      <c r="J651" s="143"/>
      <c r="K651" s="184"/>
      <c r="L651" s="143"/>
      <c r="M651" s="144"/>
      <c r="N651" s="1015"/>
      <c r="O651" s="115"/>
      <c r="P651" s="115"/>
      <c r="Q651" s="116"/>
      <c r="R651" s="116"/>
      <c r="S651" s="117"/>
    </row>
    <row r="652" spans="1:19" s="146" customFormat="1" ht="18" customHeight="1">
      <c r="A652" s="183">
        <v>11</v>
      </c>
      <c r="B652" s="1060"/>
      <c r="C652" s="1060"/>
      <c r="D652" s="1060"/>
      <c r="E652" s="154" t="s">
        <v>100</v>
      </c>
      <c r="F652" s="1060"/>
      <c r="G652" s="140"/>
      <c r="H652" s="141" t="s">
        <v>965</v>
      </c>
      <c r="I652" s="184" t="s">
        <v>1506</v>
      </c>
      <c r="J652" s="143">
        <v>155808</v>
      </c>
      <c r="K652" s="184" t="s">
        <v>1506</v>
      </c>
      <c r="L652" s="143">
        <v>162276</v>
      </c>
      <c r="M652" s="144">
        <f>L652-J652</f>
        <v>6468</v>
      </c>
      <c r="N652" s="1015">
        <f>L652/12</f>
        <v>13523</v>
      </c>
      <c r="O652" s="115">
        <f>L652-J652</f>
        <v>6468</v>
      </c>
      <c r="P652" s="115">
        <f>O652-M652</f>
        <v>0</v>
      </c>
      <c r="Q652" s="116">
        <v>11459</v>
      </c>
      <c r="R652" s="116">
        <f>Q652*12</f>
        <v>137508</v>
      </c>
      <c r="S652" s="145">
        <f>R652-L652</f>
        <v>-24768</v>
      </c>
    </row>
    <row r="653" spans="1:19" s="146" customFormat="1" ht="18" customHeight="1">
      <c r="A653" s="183"/>
      <c r="B653" s="1060"/>
      <c r="C653" s="1060"/>
      <c r="D653" s="1060"/>
      <c r="E653" s="154"/>
      <c r="F653" s="1060"/>
      <c r="G653" s="140"/>
      <c r="H653" s="141"/>
      <c r="I653" s="184"/>
      <c r="J653" s="143"/>
      <c r="K653" s="184" t="s">
        <v>442</v>
      </c>
      <c r="L653" s="143">
        <v>163524</v>
      </c>
      <c r="M653" s="144">
        <v>416</v>
      </c>
      <c r="N653" s="1015"/>
      <c r="O653" s="115"/>
      <c r="P653" s="115"/>
      <c r="Q653" s="116"/>
      <c r="R653" s="116"/>
      <c r="S653" s="145"/>
    </row>
    <row r="654" spans="1:19" s="146" customFormat="1" ht="18" customHeight="1">
      <c r="A654" s="183"/>
      <c r="B654" s="1060"/>
      <c r="C654" s="1060"/>
      <c r="D654" s="1060"/>
      <c r="E654" s="154"/>
      <c r="F654" s="1060"/>
      <c r="G654" s="140"/>
      <c r="H654" s="141"/>
      <c r="I654" s="184"/>
      <c r="J654" s="143"/>
      <c r="K654" s="184"/>
      <c r="L654" s="149">
        <v>44820</v>
      </c>
      <c r="M654" s="144"/>
      <c r="N654" s="1015"/>
      <c r="O654" s="115"/>
      <c r="P654" s="115"/>
      <c r="Q654" s="116"/>
      <c r="R654" s="116"/>
      <c r="S654" s="145"/>
    </row>
    <row r="655" spans="1:19" s="146" customFormat="1" ht="18" customHeight="1">
      <c r="A655" s="183"/>
      <c r="B655" s="1060"/>
      <c r="C655" s="1060"/>
      <c r="D655" s="1060"/>
      <c r="E655" s="154"/>
      <c r="F655" s="1060"/>
      <c r="G655" s="140"/>
      <c r="H655" s="141"/>
      <c r="I655" s="194"/>
      <c r="J655" s="143"/>
      <c r="K655" s="194"/>
      <c r="L655" s="143"/>
      <c r="M655" s="144"/>
      <c r="N655" s="1015"/>
      <c r="O655" s="115"/>
      <c r="P655" s="115"/>
      <c r="Q655" s="116"/>
      <c r="R655" s="116"/>
      <c r="S655" s="117"/>
    </row>
    <row r="656" spans="1:19" s="146" customFormat="1" ht="18" customHeight="1">
      <c r="A656" s="183">
        <v>12</v>
      </c>
      <c r="B656" s="1060"/>
      <c r="C656" s="1060"/>
      <c r="D656" s="1060"/>
      <c r="E656" s="154" t="s">
        <v>58</v>
      </c>
      <c r="F656" s="1060"/>
      <c r="G656" s="140"/>
      <c r="H656" s="141" t="s">
        <v>1507</v>
      </c>
      <c r="I656" s="184" t="s">
        <v>246</v>
      </c>
      <c r="J656" s="143">
        <v>138432</v>
      </c>
      <c r="K656" s="184" t="s">
        <v>246</v>
      </c>
      <c r="L656" s="143">
        <v>144072</v>
      </c>
      <c r="M656" s="144">
        <f>L656-J656</f>
        <v>5640</v>
      </c>
      <c r="N656" s="1015">
        <f>L656/12</f>
        <v>12006</v>
      </c>
      <c r="O656" s="115">
        <f>L656-J656</f>
        <v>5640</v>
      </c>
      <c r="P656" s="115">
        <f>O656-M656</f>
        <v>0</v>
      </c>
      <c r="Q656" s="116">
        <v>10127</v>
      </c>
      <c r="R656" s="116">
        <f>Q656*12</f>
        <v>121524</v>
      </c>
      <c r="S656" s="145">
        <f>R656-L656</f>
        <v>-22548</v>
      </c>
    </row>
    <row r="657" spans="1:23" s="146" customFormat="1" ht="18" customHeight="1">
      <c r="A657" s="183"/>
      <c r="B657" s="1071"/>
      <c r="C657" s="1071"/>
      <c r="D657" s="1071"/>
      <c r="E657" s="154"/>
      <c r="F657" s="1071"/>
      <c r="G657" s="140"/>
      <c r="H657" s="141"/>
      <c r="I657" s="184"/>
      <c r="J657" s="143"/>
      <c r="K657" s="184"/>
      <c r="L657" s="143"/>
      <c r="M657" s="144"/>
      <c r="N657" s="1015"/>
      <c r="O657" s="115"/>
      <c r="P657" s="115"/>
      <c r="Q657" s="116"/>
      <c r="R657" s="116"/>
      <c r="S657" s="145"/>
    </row>
    <row r="658" spans="1:23" s="146" customFormat="1" ht="18" customHeight="1">
      <c r="A658" s="183"/>
      <c r="B658" s="1071"/>
      <c r="C658" s="1071"/>
      <c r="D658" s="1071"/>
      <c r="E658" s="154"/>
      <c r="F658" s="1071"/>
      <c r="G658" s="140"/>
      <c r="H658" s="141"/>
      <c r="I658" s="184"/>
      <c r="J658" s="143"/>
      <c r="K658" s="184"/>
      <c r="L658" s="143"/>
      <c r="M658" s="144"/>
      <c r="N658" s="1015"/>
      <c r="O658" s="115"/>
      <c r="P658" s="115"/>
      <c r="Q658" s="116"/>
      <c r="R658" s="116"/>
      <c r="S658" s="145"/>
    </row>
    <row r="659" spans="1:23" s="146" customFormat="1" ht="18" customHeight="1">
      <c r="A659" s="183"/>
      <c r="B659" s="1328">
        <v>13</v>
      </c>
      <c r="C659" s="1329"/>
      <c r="D659" s="1330"/>
      <c r="E659" s="154" t="s">
        <v>1738</v>
      </c>
      <c r="F659" s="1071"/>
      <c r="G659" s="140"/>
      <c r="H659" s="141" t="s">
        <v>104</v>
      </c>
      <c r="I659" s="184"/>
      <c r="J659" s="143"/>
      <c r="K659" s="184" t="s">
        <v>392</v>
      </c>
      <c r="L659" s="143">
        <v>259476</v>
      </c>
      <c r="M659" s="144">
        <f>L659-J659</f>
        <v>259476</v>
      </c>
      <c r="N659" s="1015">
        <f>L659/12</f>
        <v>21623</v>
      </c>
      <c r="O659" s="115">
        <f>L659-J659</f>
        <v>259476</v>
      </c>
      <c r="P659" s="115">
        <f>O659-M659</f>
        <v>0</v>
      </c>
      <c r="Q659" s="116">
        <v>10127</v>
      </c>
      <c r="R659" s="116">
        <f>Q659*12</f>
        <v>121524</v>
      </c>
      <c r="S659" s="145">
        <f>R659-L659</f>
        <v>-137952</v>
      </c>
    </row>
    <row r="660" spans="1:23" s="146" customFormat="1" ht="18" customHeight="1">
      <c r="A660" s="183"/>
      <c r="B660" s="1060"/>
      <c r="C660" s="1060"/>
      <c r="D660" s="1060"/>
      <c r="E660" s="154"/>
      <c r="F660" s="1060"/>
      <c r="G660" s="140"/>
      <c r="H660" s="141" t="s">
        <v>1900</v>
      </c>
      <c r="I660" s="185"/>
      <c r="J660" s="143"/>
      <c r="K660" s="185"/>
      <c r="L660" s="143"/>
      <c r="M660" s="143"/>
      <c r="N660" s="170"/>
      <c r="O660" s="115"/>
      <c r="P660" s="115"/>
      <c r="Q660" s="116"/>
      <c r="R660" s="116"/>
      <c r="S660" s="117"/>
    </row>
    <row r="661" spans="1:23" s="168" customFormat="1" ht="18" customHeight="1" thickBot="1">
      <c r="A661" s="161"/>
      <c r="B661" s="158"/>
      <c r="C661" s="158"/>
      <c r="D661" s="158"/>
      <c r="E661" s="186"/>
      <c r="F661" s="158"/>
      <c r="G661" s="160"/>
      <c r="H661" s="161" t="s">
        <v>15</v>
      </c>
      <c r="I661" s="187"/>
      <c r="J661" s="164">
        <f>SUM(J617:J660)</f>
        <v>2936256</v>
      </c>
      <c r="K661" s="187"/>
      <c r="L661" s="164"/>
      <c r="M661" s="164">
        <f>SUM(M617:M660)</f>
        <v>367505</v>
      </c>
      <c r="N661" s="171"/>
      <c r="O661" s="165"/>
      <c r="P661" s="165"/>
      <c r="Q661" s="166"/>
      <c r="R661" s="166"/>
      <c r="S661" s="167"/>
    </row>
    <row r="662" spans="1:23" s="146" customFormat="1" ht="18" customHeight="1" thickTop="1">
      <c r="A662" s="1060"/>
      <c r="B662" s="1060"/>
      <c r="C662" s="1060"/>
      <c r="D662" s="1060"/>
      <c r="E662" s="1060"/>
      <c r="F662" s="1060"/>
      <c r="G662" s="155"/>
      <c r="H662" s="155"/>
      <c r="I662" s="1060"/>
      <c r="J662" s="171"/>
      <c r="K662" s="152"/>
      <c r="L662" s="170"/>
      <c r="M662" s="171"/>
      <c r="N662" s="171"/>
      <c r="O662" s="115"/>
      <c r="P662" s="115"/>
      <c r="Q662" s="116"/>
      <c r="R662" s="116"/>
      <c r="S662" s="117"/>
    </row>
    <row r="663" spans="1:23" s="146" customFormat="1" ht="18" customHeight="1">
      <c r="A663" s="1060"/>
      <c r="B663" s="1060"/>
      <c r="C663" s="1060"/>
      <c r="D663" s="1060"/>
      <c r="E663" s="1060"/>
      <c r="F663" s="1060"/>
      <c r="G663" s="155"/>
      <c r="H663" s="155"/>
      <c r="I663" s="1060"/>
      <c r="J663" s="171"/>
      <c r="K663" s="152"/>
      <c r="L663" s="170"/>
      <c r="M663" s="171"/>
      <c r="N663" s="171"/>
      <c r="O663" s="115"/>
      <c r="P663" s="115"/>
      <c r="Q663" s="116"/>
      <c r="R663" s="116"/>
      <c r="S663" s="117"/>
    </row>
    <row r="664" spans="1:23" s="146" customFormat="1" ht="18" customHeight="1">
      <c r="A664" s="174"/>
      <c r="B664" s="174"/>
      <c r="C664" s="1053"/>
      <c r="D664" s="1053"/>
      <c r="E664" s="174"/>
      <c r="F664" s="174"/>
      <c r="G664" s="174"/>
      <c r="H664" s="174"/>
      <c r="I664" s="174"/>
      <c r="J664" s="174"/>
      <c r="K664" s="176"/>
      <c r="L664" s="175"/>
      <c r="M664" s="175"/>
      <c r="N664" s="175"/>
      <c r="O664" s="115"/>
      <c r="P664" s="115"/>
      <c r="Q664" s="116"/>
      <c r="R664" s="116"/>
      <c r="S664" s="117"/>
    </row>
    <row r="665" spans="1:23" s="146" customFormat="1" ht="18" customHeight="1">
      <c r="A665" s="173" t="s">
        <v>626</v>
      </c>
      <c r="B665" s="173"/>
      <c r="C665" s="1052"/>
      <c r="D665" s="1052"/>
      <c r="E665" s="174"/>
      <c r="F665" s="174"/>
      <c r="G665" s="174"/>
      <c r="H665" s="173" t="s">
        <v>627</v>
      </c>
      <c r="I665" s="174"/>
      <c r="K665" s="173" t="s">
        <v>258</v>
      </c>
      <c r="L665" s="175"/>
      <c r="M665" s="175"/>
      <c r="N665" s="175"/>
      <c r="O665" s="115"/>
      <c r="P665" s="115"/>
      <c r="Q665" s="116"/>
      <c r="R665" s="116"/>
      <c r="S665" s="117"/>
    </row>
    <row r="666" spans="1:23" s="146" customFormat="1" ht="18" customHeight="1">
      <c r="A666" s="174"/>
      <c r="B666" s="174"/>
      <c r="C666" s="1053"/>
      <c r="D666" s="1053"/>
      <c r="E666" s="174"/>
      <c r="F666" s="174"/>
      <c r="G666" s="174"/>
      <c r="H666" s="174"/>
      <c r="I666" s="174"/>
      <c r="J666" s="174"/>
      <c r="K666" s="176"/>
      <c r="L666" s="175"/>
      <c r="M666" s="175"/>
      <c r="N666" s="175"/>
      <c r="O666" s="115"/>
      <c r="P666" s="115"/>
      <c r="Q666" s="116"/>
      <c r="R666" s="116"/>
      <c r="S666" s="117"/>
    </row>
    <row r="667" spans="1:23" s="146" customFormat="1" ht="18" customHeight="1">
      <c r="A667" s="1310" t="s">
        <v>65</v>
      </c>
      <c r="B667" s="1310"/>
      <c r="C667" s="1310"/>
      <c r="D667" s="1310"/>
      <c r="E667" s="1310"/>
      <c r="F667" s="1310"/>
      <c r="G667" s="174"/>
      <c r="H667" s="1310" t="s">
        <v>17</v>
      </c>
      <c r="I667" s="1310"/>
      <c r="J667" s="174"/>
      <c r="K667" s="1310" t="s">
        <v>1454</v>
      </c>
      <c r="L667" s="1310"/>
      <c r="M667" s="1310"/>
      <c r="N667" s="1052"/>
      <c r="O667" s="115"/>
      <c r="P667" s="115"/>
      <c r="Q667" s="116"/>
      <c r="R667" s="116"/>
      <c r="S667" s="117"/>
    </row>
    <row r="668" spans="1:23" s="146" customFormat="1" ht="18" customHeight="1">
      <c r="A668" s="1294" t="s">
        <v>430</v>
      </c>
      <c r="B668" s="1294"/>
      <c r="C668" s="1294"/>
      <c r="D668" s="1294"/>
      <c r="E668" s="1294"/>
      <c r="F668" s="1294"/>
      <c r="G668" s="177"/>
      <c r="H668" s="1294" t="s">
        <v>18</v>
      </c>
      <c r="I668" s="1294"/>
      <c r="J668" s="1052"/>
      <c r="K668" s="1294" t="s">
        <v>14</v>
      </c>
      <c r="L668" s="1294"/>
      <c r="M668" s="1294"/>
      <c r="N668" s="1053"/>
      <c r="O668" s="115"/>
      <c r="P668" s="115"/>
      <c r="Q668" s="116"/>
      <c r="R668" s="116"/>
      <c r="S668" s="117"/>
    </row>
    <row r="669" spans="1:23" ht="18" customHeight="1">
      <c r="A669" s="111" t="s">
        <v>176</v>
      </c>
      <c r="B669" s="111"/>
      <c r="C669" s="1050"/>
      <c r="D669" s="1050"/>
      <c r="E669" s="1321"/>
      <c r="F669" s="1321"/>
      <c r="G669" s="1321"/>
      <c r="H669" s="1050"/>
      <c r="I669" s="1050"/>
      <c r="J669" s="1050"/>
      <c r="K669" s="1321"/>
      <c r="L669" s="1321"/>
      <c r="M669" s="1321"/>
      <c r="N669" s="1050"/>
    </row>
    <row r="670" spans="1:23" ht="18" customHeight="1">
      <c r="A670" s="111"/>
      <c r="B670" s="111"/>
      <c r="C670" s="1050"/>
      <c r="D670" s="1050"/>
      <c r="E670" s="1050"/>
      <c r="F670" s="1050"/>
      <c r="G670" s="1050"/>
      <c r="H670" s="1050"/>
      <c r="I670" s="1050"/>
      <c r="J670" s="1050"/>
      <c r="K670" s="1050"/>
      <c r="L670" s="1050"/>
      <c r="M670" s="1050"/>
      <c r="N670" s="1050"/>
    </row>
    <row r="671" spans="1:23" s="115" customFormat="1" ht="18" customHeight="1">
      <c r="A671" s="111"/>
      <c r="B671" s="111"/>
      <c r="C671" s="1050"/>
      <c r="D671" s="1050"/>
      <c r="E671" s="1050"/>
      <c r="F671" s="1050"/>
      <c r="G671" s="1050"/>
      <c r="H671" s="1050"/>
      <c r="I671" s="1050"/>
      <c r="J671" s="1050"/>
      <c r="K671" s="1050"/>
      <c r="L671" s="1050"/>
      <c r="M671" s="1050"/>
      <c r="N671" s="1050"/>
      <c r="Q671" s="116"/>
      <c r="R671" s="116"/>
      <c r="S671" s="117"/>
      <c r="T671" s="118"/>
      <c r="U671" s="118"/>
      <c r="V671" s="118"/>
      <c r="W671" s="118"/>
    </row>
    <row r="672" spans="1:23" s="115" customFormat="1" ht="18" customHeight="1">
      <c r="A672" s="111"/>
      <c r="B672" s="111"/>
      <c r="C672" s="1050"/>
      <c r="D672" s="1050"/>
      <c r="E672" s="111"/>
      <c r="F672" s="111"/>
      <c r="G672" s="111"/>
      <c r="H672" s="111"/>
      <c r="I672" s="111"/>
      <c r="J672" s="111"/>
      <c r="K672" s="112"/>
      <c r="L672" s="113"/>
      <c r="M672" s="113"/>
      <c r="N672" s="113"/>
      <c r="Q672" s="116"/>
      <c r="R672" s="116"/>
      <c r="S672" s="117"/>
      <c r="T672" s="118"/>
      <c r="U672" s="118"/>
      <c r="V672" s="118"/>
      <c r="W672" s="118"/>
    </row>
    <row r="673" spans="1:23" s="115" customFormat="1" ht="18" customHeight="1">
      <c r="A673" s="111"/>
      <c r="B673" s="111"/>
      <c r="C673" s="1050"/>
      <c r="D673" s="1050"/>
      <c r="E673" s="111"/>
      <c r="F673" s="111"/>
      <c r="G673" s="111"/>
      <c r="H673" s="111"/>
      <c r="I673" s="111"/>
      <c r="J673" s="111"/>
      <c r="K673" s="112"/>
      <c r="L673" s="113"/>
      <c r="M673" s="113"/>
      <c r="N673" s="113"/>
      <c r="Q673" s="116"/>
      <c r="R673" s="116"/>
      <c r="S673" s="117"/>
      <c r="T673" s="118"/>
      <c r="U673" s="118"/>
      <c r="V673" s="118"/>
      <c r="W673" s="118"/>
    </row>
    <row r="674" spans="1:23" s="271" customFormat="1" ht="20.100000000000001" customHeight="1">
      <c r="A674" s="1263" t="s">
        <v>992</v>
      </c>
      <c r="B674" s="1263"/>
      <c r="C674" s="1263"/>
      <c r="D674" s="1263"/>
      <c r="E674" s="1263"/>
      <c r="F674" s="1263"/>
      <c r="G674" s="1263"/>
      <c r="H674" s="1263"/>
      <c r="I674" s="1263"/>
      <c r="J674" s="1263"/>
      <c r="K674" s="1263"/>
      <c r="L674" s="1263"/>
      <c r="M674" s="1263"/>
      <c r="N674" s="1058"/>
      <c r="S674" s="179"/>
      <c r="T674" s="179"/>
      <c r="U674" s="179"/>
      <c r="V674" s="179"/>
      <c r="W674" s="179"/>
    </row>
    <row r="675" spans="1:23" s="115" customFormat="1" ht="18" customHeight="1">
      <c r="A675" s="110"/>
      <c r="B675" s="110"/>
      <c r="C675" s="1057"/>
      <c r="D675" s="1057"/>
      <c r="E675" s="111"/>
      <c r="F675" s="111"/>
      <c r="G675" s="111"/>
      <c r="H675" s="111"/>
      <c r="I675" s="111"/>
      <c r="J675" s="111"/>
      <c r="K675" s="112"/>
      <c r="L675" s="113"/>
      <c r="M675" s="114"/>
      <c r="N675" s="114"/>
      <c r="Q675" s="116"/>
      <c r="R675" s="116"/>
      <c r="S675" s="117"/>
      <c r="T675" s="118"/>
      <c r="U675" s="118"/>
      <c r="V675" s="118"/>
      <c r="W675" s="118"/>
    </row>
    <row r="676" spans="1:23" s="115" customFormat="1" ht="18" customHeight="1">
      <c r="A676" s="1319" t="s">
        <v>1675</v>
      </c>
      <c r="B676" s="1319"/>
      <c r="C676" s="1319"/>
      <c r="D676" s="1319"/>
      <c r="E676" s="1319"/>
      <c r="F676" s="1319"/>
      <c r="G676" s="1319"/>
      <c r="H676" s="1319"/>
      <c r="I676" s="1319"/>
      <c r="J676" s="1319"/>
      <c r="K676" s="1319"/>
      <c r="L676" s="1319"/>
      <c r="M676" s="1319"/>
      <c r="N676" s="1048"/>
      <c r="Q676" s="116"/>
      <c r="R676" s="116"/>
      <c r="S676" s="117"/>
      <c r="T676" s="118"/>
      <c r="U676" s="118"/>
      <c r="V676" s="118"/>
      <c r="W676" s="118"/>
    </row>
    <row r="677" spans="1:23" s="115" customFormat="1" ht="18" customHeight="1">
      <c r="A677" s="1320" t="s">
        <v>358</v>
      </c>
      <c r="B677" s="1320"/>
      <c r="C677" s="1320"/>
      <c r="D677" s="1320"/>
      <c r="E677" s="1320"/>
      <c r="F677" s="1320"/>
      <c r="G677" s="1320"/>
      <c r="H677" s="1320"/>
      <c r="I677" s="1320"/>
      <c r="J677" s="1320"/>
      <c r="K677" s="1320"/>
      <c r="L677" s="1320"/>
      <c r="M677" s="1320"/>
      <c r="N677" s="1049"/>
      <c r="Q677" s="116"/>
      <c r="R677" s="116"/>
      <c r="S677" s="117"/>
      <c r="T677" s="118"/>
      <c r="U677" s="118"/>
      <c r="V677" s="118"/>
      <c r="W677" s="118"/>
    </row>
    <row r="678" spans="1:23" s="115" customFormat="1" ht="18" customHeight="1">
      <c r="A678" s="1321"/>
      <c r="B678" s="1321"/>
      <c r="C678" s="1321"/>
      <c r="D678" s="1321"/>
      <c r="E678" s="1321"/>
      <c r="F678" s="1321"/>
      <c r="G678" s="1321"/>
      <c r="H678" s="1321"/>
      <c r="I678" s="1321"/>
      <c r="J678" s="1321"/>
      <c r="K678" s="1321"/>
      <c r="L678" s="1321"/>
      <c r="M678" s="1321"/>
      <c r="N678" s="1050"/>
      <c r="Q678" s="116"/>
      <c r="R678" s="116"/>
      <c r="S678" s="117"/>
      <c r="T678" s="118"/>
      <c r="U678" s="118"/>
      <c r="V678" s="118"/>
      <c r="W678" s="118"/>
    </row>
    <row r="679" spans="1:23" s="115" customFormat="1" ht="18" customHeight="1">
      <c r="A679" s="1050"/>
      <c r="B679" s="1050"/>
      <c r="C679" s="1050"/>
      <c r="D679" s="1050"/>
      <c r="E679" s="1050"/>
      <c r="F679" s="1050"/>
      <c r="G679" s="1050"/>
      <c r="H679" s="1050"/>
      <c r="I679" s="1050"/>
      <c r="J679" s="1050"/>
      <c r="K679" s="1050"/>
      <c r="L679" s="1050"/>
      <c r="M679" s="1050"/>
      <c r="N679" s="1050"/>
      <c r="Q679" s="116"/>
      <c r="R679" s="116"/>
      <c r="S679" s="117"/>
      <c r="T679" s="118"/>
      <c r="U679" s="118"/>
      <c r="V679" s="118"/>
      <c r="W679" s="118"/>
    </row>
    <row r="680" spans="1:23" s="115" customFormat="1" ht="18" customHeight="1">
      <c r="A680" s="111" t="s">
        <v>463</v>
      </c>
      <c r="B680" s="111"/>
      <c r="C680" s="111" t="s">
        <v>448</v>
      </c>
      <c r="D680" s="111" t="s">
        <v>316</v>
      </c>
      <c r="E680" s="111"/>
      <c r="F680" s="111"/>
      <c r="G680" s="111"/>
      <c r="H680" s="111"/>
      <c r="I680" s="1050"/>
      <c r="J680" s="1050"/>
      <c r="K680" s="1050"/>
      <c r="L680" s="1050"/>
      <c r="M680" s="1050"/>
      <c r="N680" s="1050"/>
      <c r="Q680" s="116"/>
      <c r="R680" s="116"/>
      <c r="S680" s="117"/>
      <c r="T680" s="118"/>
      <c r="U680" s="118"/>
      <c r="V680" s="118"/>
      <c r="W680" s="118"/>
    </row>
    <row r="681" spans="1:23" s="115" customFormat="1" ht="18" customHeight="1">
      <c r="A681" s="111" t="s">
        <v>451</v>
      </c>
      <c r="B681" s="111"/>
      <c r="C681" s="111" t="s">
        <v>448</v>
      </c>
      <c r="D681" s="111" t="s">
        <v>469</v>
      </c>
      <c r="E681" s="111"/>
      <c r="F681" s="111"/>
      <c r="G681" s="111"/>
      <c r="H681" s="111"/>
      <c r="I681" s="1050"/>
      <c r="J681" s="1050"/>
      <c r="K681" s="1050"/>
      <c r="L681" s="1050"/>
      <c r="M681" s="1050"/>
      <c r="N681" s="1050"/>
      <c r="O681" s="180"/>
      <c r="Q681" s="116"/>
      <c r="R681" s="116"/>
      <c r="S681" s="117"/>
      <c r="T681" s="118"/>
      <c r="U681" s="118"/>
      <c r="V681" s="118"/>
      <c r="W681" s="118"/>
    </row>
    <row r="682" spans="1:23" s="115" customFormat="1" ht="18" customHeight="1" thickBot="1">
      <c r="A682" s="111" t="s">
        <v>455</v>
      </c>
      <c r="B682" s="111"/>
      <c r="C682" s="216" t="s">
        <v>448</v>
      </c>
      <c r="D682" s="111" t="s">
        <v>677</v>
      </c>
      <c r="E682" s="111"/>
      <c r="F682" s="111"/>
      <c r="G682" s="111"/>
      <c r="H682" s="111"/>
      <c r="I682" s="1050"/>
      <c r="J682" s="1050"/>
      <c r="K682" s="1050"/>
      <c r="L682" s="1050"/>
      <c r="M682" s="1050"/>
      <c r="N682" s="1050"/>
      <c r="O682" s="180"/>
      <c r="Q682" s="116"/>
      <c r="R682" s="116"/>
      <c r="S682" s="117"/>
      <c r="T682" s="118"/>
      <c r="U682" s="118"/>
      <c r="V682" s="118"/>
      <c r="W682" s="118"/>
    </row>
    <row r="683" spans="1:23" s="115" customFormat="1" ht="18" customHeight="1">
      <c r="A683" s="1322" t="s">
        <v>631</v>
      </c>
      <c r="B683" s="1323"/>
      <c r="C683" s="1323"/>
      <c r="D683" s="1323"/>
      <c r="E683" s="1324"/>
      <c r="F683" s="1323"/>
      <c r="G683" s="1325"/>
      <c r="H683" s="121"/>
      <c r="I683" s="1326" t="s">
        <v>635</v>
      </c>
      <c r="J683" s="1327"/>
      <c r="K683" s="1326" t="s">
        <v>635</v>
      </c>
      <c r="L683" s="1327"/>
      <c r="M683" s="122"/>
      <c r="N683" s="1012"/>
      <c r="O683" s="180"/>
      <c r="Q683" s="116"/>
      <c r="R683" s="116"/>
      <c r="S683" s="117"/>
      <c r="T683" s="118"/>
      <c r="U683" s="118"/>
      <c r="V683" s="118"/>
      <c r="W683" s="118"/>
    </row>
    <row r="684" spans="1:23" s="115" customFormat="1" ht="18" customHeight="1">
      <c r="A684" s="123" t="s">
        <v>632</v>
      </c>
      <c r="B684" s="1311" t="s">
        <v>633</v>
      </c>
      <c r="C684" s="1312"/>
      <c r="D684" s="1313"/>
      <c r="E684" s="1314" t="s">
        <v>44</v>
      </c>
      <c r="F684" s="1315"/>
      <c r="G684" s="1316"/>
      <c r="H684" s="1054" t="s">
        <v>45</v>
      </c>
      <c r="I684" s="1314" t="s">
        <v>1502</v>
      </c>
      <c r="J684" s="1316"/>
      <c r="K684" s="1315" t="s">
        <v>1676</v>
      </c>
      <c r="L684" s="1316"/>
      <c r="M684" s="124" t="s">
        <v>46</v>
      </c>
      <c r="N684" s="1013"/>
      <c r="Q684" s="116"/>
      <c r="R684" s="116"/>
      <c r="S684" s="117"/>
      <c r="T684" s="118"/>
      <c r="U684" s="118"/>
      <c r="V684" s="118"/>
      <c r="W684" s="118"/>
    </row>
    <row r="685" spans="1:23" s="115" customFormat="1" ht="18" customHeight="1">
      <c r="A685" s="125"/>
      <c r="B685" s="1054"/>
      <c r="C685" s="1055"/>
      <c r="D685" s="1055"/>
      <c r="E685" s="1054"/>
      <c r="F685" s="1055"/>
      <c r="G685" s="1056"/>
      <c r="H685" s="1054" t="s">
        <v>47</v>
      </c>
      <c r="I685" s="1317"/>
      <c r="J685" s="1318"/>
      <c r="K685" s="1317"/>
      <c r="L685" s="1318"/>
      <c r="M685" s="124" t="s">
        <v>48</v>
      </c>
      <c r="N685" s="1013"/>
      <c r="Q685" s="116"/>
      <c r="R685" s="116"/>
      <c r="S685" s="117"/>
      <c r="T685" s="118"/>
      <c r="U685" s="118"/>
      <c r="V685" s="118"/>
      <c r="W685" s="118"/>
    </row>
    <row r="686" spans="1:23" s="115" customFormat="1" ht="18" customHeight="1">
      <c r="A686" s="125"/>
      <c r="B686" s="1054"/>
      <c r="C686" s="1055"/>
      <c r="D686" s="1055"/>
      <c r="E686" s="1054"/>
      <c r="F686" s="1055"/>
      <c r="G686" s="126"/>
      <c r="H686" s="127"/>
      <c r="I686" s="128" t="s">
        <v>634</v>
      </c>
      <c r="J686" s="129" t="s">
        <v>49</v>
      </c>
      <c r="K686" s="128" t="s">
        <v>634</v>
      </c>
      <c r="L686" s="129" t="s">
        <v>49</v>
      </c>
      <c r="M686" s="124"/>
      <c r="N686" s="120" t="s">
        <v>1628</v>
      </c>
      <c r="Q686" s="116"/>
      <c r="R686" s="116"/>
      <c r="S686" s="117"/>
      <c r="T686" s="118"/>
      <c r="U686" s="118"/>
      <c r="V686" s="118"/>
      <c r="W686" s="118"/>
    </row>
    <row r="687" spans="1:23" ht="18" customHeight="1" thickBot="1">
      <c r="A687" s="130"/>
      <c r="B687" s="1307"/>
      <c r="C687" s="1308"/>
      <c r="D687" s="1309"/>
      <c r="E687" s="1307"/>
      <c r="F687" s="1308"/>
      <c r="G687" s="1309"/>
      <c r="H687" s="131"/>
      <c r="I687" s="131"/>
      <c r="J687" s="131"/>
      <c r="K687" s="131"/>
      <c r="L687" s="131"/>
      <c r="M687" s="132"/>
      <c r="N687" s="1019" t="s">
        <v>1629</v>
      </c>
    </row>
    <row r="688" spans="1:23" ht="18" customHeight="1">
      <c r="A688" s="181"/>
      <c r="B688" s="119"/>
      <c r="C688" s="119"/>
      <c r="D688" s="119"/>
      <c r="E688" s="133"/>
      <c r="F688" s="119"/>
      <c r="G688" s="134"/>
      <c r="H688" s="135"/>
      <c r="I688" s="182"/>
      <c r="J688" s="137"/>
      <c r="K688" s="182"/>
      <c r="L688" s="137"/>
      <c r="M688" s="137"/>
      <c r="N688" s="1016"/>
    </row>
    <row r="689" spans="1:19" s="146" customFormat="1" ht="18" customHeight="1">
      <c r="A689" s="183">
        <v>1</v>
      </c>
      <c r="B689" s="1060"/>
      <c r="C689" s="1060"/>
      <c r="D689" s="1060"/>
      <c r="E689" s="154" t="s">
        <v>77</v>
      </c>
      <c r="F689" s="1060"/>
      <c r="G689" s="140"/>
      <c r="H689" s="229" t="s">
        <v>24</v>
      </c>
      <c r="I689" s="184" t="s">
        <v>1508</v>
      </c>
      <c r="J689" s="143">
        <v>943956</v>
      </c>
      <c r="K689" s="184" t="s">
        <v>1508</v>
      </c>
      <c r="L689" s="143">
        <v>962112</v>
      </c>
      <c r="M689" s="144">
        <f>L689-J689</f>
        <v>18156</v>
      </c>
      <c r="N689" s="1015">
        <f t="shared" ref="N689:N690" si="9">L689/12</f>
        <v>80176</v>
      </c>
      <c r="O689" s="115">
        <f>L689-J689</f>
        <v>18156</v>
      </c>
      <c r="P689" s="115">
        <f>O689-M689</f>
        <v>0</v>
      </c>
      <c r="Q689" s="116">
        <v>64185</v>
      </c>
      <c r="R689" s="116">
        <f>Q689*12</f>
        <v>770220</v>
      </c>
      <c r="S689" s="145">
        <f>R689-L689</f>
        <v>-191892</v>
      </c>
    </row>
    <row r="690" spans="1:19" s="146" customFormat="1" ht="18" customHeight="1">
      <c r="A690" s="183"/>
      <c r="B690" s="1060"/>
      <c r="C690" s="1060"/>
      <c r="D690" s="1060"/>
      <c r="E690" s="154" t="s">
        <v>906</v>
      </c>
      <c r="F690" s="1060"/>
      <c r="G690" s="140"/>
      <c r="H690" s="141"/>
      <c r="I690" s="184"/>
      <c r="J690" s="143"/>
      <c r="K690" s="184"/>
      <c r="L690" s="143"/>
      <c r="M690" s="143"/>
      <c r="N690" s="1015">
        <f t="shared" si="9"/>
        <v>0</v>
      </c>
      <c r="O690" s="115"/>
      <c r="P690" s="115"/>
      <c r="Q690" s="116">
        <v>65147</v>
      </c>
      <c r="R690" s="116">
        <f>Q690*12</f>
        <v>781764</v>
      </c>
      <c r="S690" s="145">
        <f>R690-L690</f>
        <v>781764</v>
      </c>
    </row>
    <row r="691" spans="1:19" s="146" customFormat="1" ht="18" customHeight="1">
      <c r="A691" s="183"/>
      <c r="B691" s="1060"/>
      <c r="C691" s="1060"/>
      <c r="D691" s="1060"/>
      <c r="E691" s="154"/>
      <c r="F691" s="1060"/>
      <c r="G691" s="140"/>
      <c r="H691" s="141"/>
      <c r="I691" s="184"/>
      <c r="J691" s="149"/>
      <c r="K691" s="184"/>
      <c r="L691" s="149"/>
      <c r="M691" s="143"/>
      <c r="N691" s="170"/>
      <c r="O691" s="115"/>
      <c r="P691" s="115"/>
      <c r="Q691" s="116"/>
      <c r="R691" s="116"/>
      <c r="S691" s="117"/>
    </row>
    <row r="692" spans="1:19" s="146" customFormat="1" ht="18" customHeight="1">
      <c r="A692" s="183"/>
      <c r="B692" s="1060"/>
      <c r="C692" s="1060"/>
      <c r="D692" s="1060"/>
      <c r="E692" s="154"/>
      <c r="F692" s="1060"/>
      <c r="G692" s="140"/>
      <c r="H692" s="141"/>
      <c r="I692" s="185"/>
      <c r="J692" s="143"/>
      <c r="K692" s="185"/>
      <c r="L692" s="143"/>
      <c r="M692" s="143"/>
      <c r="N692" s="170"/>
      <c r="O692" s="115"/>
      <c r="P692" s="115"/>
      <c r="Q692" s="116"/>
      <c r="R692" s="116"/>
      <c r="S692" s="117"/>
    </row>
    <row r="693" spans="1:19" s="146" customFormat="1" ht="18" customHeight="1">
      <c r="A693" s="183">
        <v>2</v>
      </c>
      <c r="B693" s="1060"/>
      <c r="C693" s="1060"/>
      <c r="D693" s="1060"/>
      <c r="E693" s="154" t="s">
        <v>103</v>
      </c>
      <c r="F693" s="1060"/>
      <c r="G693" s="140"/>
      <c r="H693" s="141" t="s">
        <v>101</v>
      </c>
      <c r="I693" s="184" t="s">
        <v>392</v>
      </c>
      <c r="J693" s="143">
        <v>243540</v>
      </c>
      <c r="K693" s="184" t="s">
        <v>392</v>
      </c>
      <c r="L693" s="143">
        <v>259476</v>
      </c>
      <c r="M693" s="144">
        <f>L693-J693</f>
        <v>15936</v>
      </c>
      <c r="N693" s="1015">
        <f>L693/12</f>
        <v>21623</v>
      </c>
      <c r="O693" s="115">
        <f>L693-J693</f>
        <v>15936</v>
      </c>
      <c r="P693" s="115">
        <f>O693-M693</f>
        <v>0</v>
      </c>
      <c r="Q693" s="116">
        <v>17593</v>
      </c>
      <c r="R693" s="116">
        <f>Q693*12</f>
        <v>211116</v>
      </c>
      <c r="S693" s="145">
        <f>R693-L693</f>
        <v>-48360</v>
      </c>
    </row>
    <row r="694" spans="1:19" s="146" customFormat="1" ht="18" customHeight="1">
      <c r="A694" s="183"/>
      <c r="B694" s="1060"/>
      <c r="C694" s="1060"/>
      <c r="D694" s="1060"/>
      <c r="E694" s="154" t="s">
        <v>84</v>
      </c>
      <c r="F694" s="1060"/>
      <c r="G694" s="140"/>
      <c r="H694" s="141"/>
      <c r="I694" s="184"/>
      <c r="J694" s="143"/>
      <c r="K694" s="184" t="s">
        <v>134</v>
      </c>
      <c r="L694" s="143">
        <v>262380</v>
      </c>
      <c r="M694" s="144">
        <v>968</v>
      </c>
      <c r="N694" s="1015"/>
      <c r="O694" s="115"/>
      <c r="P694" s="115"/>
      <c r="Q694" s="116"/>
      <c r="R694" s="116"/>
      <c r="S694" s="145"/>
    </row>
    <row r="695" spans="1:19" s="146" customFormat="1" ht="18" customHeight="1">
      <c r="A695" s="183"/>
      <c r="B695" s="1060"/>
      <c r="C695" s="1060"/>
      <c r="D695" s="1060"/>
      <c r="E695" s="154"/>
      <c r="F695" s="1060"/>
      <c r="G695" s="140"/>
      <c r="H695" s="141"/>
      <c r="I695" s="184"/>
      <c r="J695" s="143"/>
      <c r="K695" s="184"/>
      <c r="L695" s="149">
        <v>44820</v>
      </c>
      <c r="M695" s="144"/>
      <c r="N695" s="1015"/>
      <c r="O695" s="115"/>
      <c r="P695" s="115"/>
      <c r="Q695" s="116"/>
      <c r="R695" s="116"/>
      <c r="S695" s="145"/>
    </row>
    <row r="696" spans="1:19" s="146" customFormat="1" ht="18" customHeight="1">
      <c r="A696" s="183"/>
      <c r="B696" s="1060"/>
      <c r="C696" s="1060"/>
      <c r="D696" s="1060"/>
      <c r="E696" s="154"/>
      <c r="F696" s="1060"/>
      <c r="G696" s="140"/>
      <c r="H696" s="141"/>
      <c r="I696" s="184"/>
      <c r="J696" s="143"/>
      <c r="K696" s="184"/>
      <c r="L696" s="143"/>
      <c r="M696" s="144"/>
      <c r="N696" s="1015"/>
      <c r="O696" s="115"/>
      <c r="P696" s="115"/>
      <c r="Q696" s="116"/>
      <c r="R696" s="116"/>
      <c r="S696" s="145"/>
    </row>
    <row r="697" spans="1:19" s="146" customFormat="1" ht="18" customHeight="1">
      <c r="A697" s="183"/>
      <c r="B697" s="1060"/>
      <c r="C697" s="1060"/>
      <c r="D697" s="1060"/>
      <c r="E697" s="154"/>
      <c r="F697" s="1060"/>
      <c r="G697" s="140"/>
      <c r="H697" s="141"/>
      <c r="I697" s="185"/>
      <c r="J697" s="149"/>
      <c r="K697" s="185"/>
      <c r="L697" s="149"/>
      <c r="M697" s="143"/>
      <c r="N697" s="170"/>
      <c r="O697" s="115"/>
      <c r="P697" s="115"/>
      <c r="Q697" s="116"/>
      <c r="R697" s="116"/>
      <c r="S697" s="117"/>
    </row>
    <row r="698" spans="1:19" s="146" customFormat="1" ht="18" customHeight="1">
      <c r="A698" s="183"/>
      <c r="B698" s="1060"/>
      <c r="C698" s="1060"/>
      <c r="D698" s="1060"/>
      <c r="E698" s="154"/>
      <c r="F698" s="1060"/>
      <c r="G698" s="140"/>
      <c r="H698" s="141"/>
      <c r="I698" s="185"/>
      <c r="J698" s="149"/>
      <c r="K698" s="185"/>
      <c r="L698" s="149"/>
      <c r="M698" s="143"/>
      <c r="N698" s="170"/>
      <c r="O698" s="115"/>
      <c r="P698" s="115"/>
      <c r="Q698" s="116"/>
      <c r="R698" s="116"/>
      <c r="S698" s="117"/>
    </row>
    <row r="699" spans="1:19" s="146" customFormat="1" ht="18" customHeight="1">
      <c r="A699" s="183"/>
      <c r="B699" s="1060"/>
      <c r="C699" s="1060"/>
      <c r="D699" s="1060"/>
      <c r="E699" s="154"/>
      <c r="F699" s="1060"/>
      <c r="G699" s="140"/>
      <c r="H699" s="141"/>
      <c r="I699" s="185"/>
      <c r="J699" s="149"/>
      <c r="K699" s="185"/>
      <c r="L699" s="149"/>
      <c r="M699" s="143"/>
      <c r="N699" s="170"/>
      <c r="O699" s="115"/>
      <c r="P699" s="115"/>
      <c r="Q699" s="116"/>
      <c r="R699" s="116"/>
      <c r="S699" s="117"/>
    </row>
    <row r="700" spans="1:19" s="146" customFormat="1" ht="18" customHeight="1">
      <c r="A700" s="183">
        <v>3</v>
      </c>
      <c r="B700" s="1060"/>
      <c r="C700" s="1060"/>
      <c r="D700" s="1060"/>
      <c r="E700" s="154" t="s">
        <v>105</v>
      </c>
      <c r="F700" s="1060"/>
      <c r="G700" s="140"/>
      <c r="H700" s="141" t="s">
        <v>284</v>
      </c>
      <c r="I700" s="184" t="s">
        <v>243</v>
      </c>
      <c r="J700" s="143">
        <v>165240</v>
      </c>
      <c r="K700" s="184" t="s">
        <v>243</v>
      </c>
      <c r="L700" s="143">
        <v>172140</v>
      </c>
      <c r="M700" s="144">
        <f>L700-J700</f>
        <v>6900</v>
      </c>
      <c r="N700" s="1015">
        <f>L700/12</f>
        <v>14345</v>
      </c>
      <c r="O700" s="115">
        <f>L700-J700</f>
        <v>6900</v>
      </c>
      <c r="P700" s="115">
        <f>O700-M700</f>
        <v>0</v>
      </c>
      <c r="Q700" s="116">
        <v>12290</v>
      </c>
      <c r="R700" s="116">
        <f>Q700*12</f>
        <v>147480</v>
      </c>
      <c r="S700" s="145">
        <f>R700-L700</f>
        <v>-24660</v>
      </c>
    </row>
    <row r="701" spans="1:19" s="146" customFormat="1" ht="18" customHeight="1">
      <c r="A701" s="183"/>
      <c r="B701" s="1060"/>
      <c r="C701" s="1060"/>
      <c r="D701" s="1060"/>
      <c r="E701" s="154"/>
      <c r="F701" s="1060"/>
      <c r="G701" s="140"/>
      <c r="H701" s="141"/>
      <c r="I701" s="184"/>
      <c r="J701" s="143"/>
      <c r="K701" s="184"/>
      <c r="L701" s="143"/>
      <c r="M701" s="144"/>
      <c r="N701" s="1015"/>
      <c r="O701" s="115"/>
      <c r="P701" s="115"/>
      <c r="Q701" s="116"/>
      <c r="R701" s="116"/>
      <c r="S701" s="145"/>
    </row>
    <row r="702" spans="1:19" s="146" customFormat="1" ht="18" customHeight="1">
      <c r="A702" s="183"/>
      <c r="B702" s="1060"/>
      <c r="C702" s="1060"/>
      <c r="D702" s="1060"/>
      <c r="E702" s="154"/>
      <c r="F702" s="1060"/>
      <c r="G702" s="140"/>
      <c r="H702" s="141"/>
      <c r="I702" s="184"/>
      <c r="J702" s="149"/>
      <c r="K702" s="184"/>
      <c r="L702" s="149"/>
      <c r="M702" s="144"/>
      <c r="N702" s="1015"/>
      <c r="O702" s="115"/>
      <c r="P702" s="115"/>
      <c r="Q702" s="116"/>
      <c r="R702" s="116"/>
      <c r="S702" s="117"/>
    </row>
    <row r="703" spans="1:19" s="146" customFormat="1" ht="18" customHeight="1">
      <c r="A703" s="183"/>
      <c r="B703" s="1060"/>
      <c r="C703" s="1060"/>
      <c r="D703" s="1060"/>
      <c r="E703" s="154"/>
      <c r="F703" s="1060"/>
      <c r="G703" s="140"/>
      <c r="H703" s="141"/>
      <c r="I703" s="184"/>
      <c r="J703" s="149"/>
      <c r="K703" s="184"/>
      <c r="L703" s="149"/>
      <c r="M703" s="144"/>
      <c r="N703" s="1015"/>
      <c r="O703" s="115"/>
      <c r="P703" s="115"/>
      <c r="Q703" s="116"/>
      <c r="R703" s="116"/>
      <c r="S703" s="117"/>
    </row>
    <row r="704" spans="1:19" s="146" customFormat="1" ht="18" customHeight="1">
      <c r="A704" s="183"/>
      <c r="B704" s="1060"/>
      <c r="C704" s="1060"/>
      <c r="D704" s="1060"/>
      <c r="E704" s="154"/>
      <c r="F704" s="1060"/>
      <c r="G704" s="140"/>
      <c r="H704" s="141"/>
      <c r="I704" s="185"/>
      <c r="J704" s="143"/>
      <c r="K704" s="185"/>
      <c r="L704" s="143"/>
      <c r="M704" s="143"/>
      <c r="N704" s="170"/>
      <c r="O704" s="115"/>
      <c r="P704" s="115"/>
      <c r="Q704" s="116"/>
      <c r="R704" s="116"/>
      <c r="S704" s="117"/>
    </row>
    <row r="705" spans="1:19" s="146" customFormat="1" ht="18" customHeight="1">
      <c r="A705" s="183">
        <v>4</v>
      </c>
      <c r="B705" s="1060"/>
      <c r="C705" s="1060"/>
      <c r="D705" s="1060"/>
      <c r="E705" s="154" t="s">
        <v>106</v>
      </c>
      <c r="F705" s="1060"/>
      <c r="G705" s="140"/>
      <c r="H705" s="141" t="s">
        <v>1565</v>
      </c>
      <c r="I705" s="184" t="s">
        <v>56</v>
      </c>
      <c r="J705" s="143">
        <v>146880</v>
      </c>
      <c r="K705" s="184" t="s">
        <v>56</v>
      </c>
      <c r="L705" s="143">
        <v>152928</v>
      </c>
      <c r="M705" s="144">
        <f>L705-J705</f>
        <v>6048</v>
      </c>
      <c r="N705" s="1015">
        <f>L705/12</f>
        <v>12744</v>
      </c>
      <c r="O705" s="115">
        <f>L705-J705</f>
        <v>6048</v>
      </c>
      <c r="P705" s="115">
        <f>O705-M705</f>
        <v>0</v>
      </c>
      <c r="Q705" s="116">
        <v>10861</v>
      </c>
      <c r="R705" s="116">
        <f>Q705*12</f>
        <v>130332</v>
      </c>
      <c r="S705" s="145">
        <f>R705-L705</f>
        <v>-22596</v>
      </c>
    </row>
    <row r="706" spans="1:19" s="146" customFormat="1" ht="18" customHeight="1">
      <c r="A706" s="183"/>
      <c r="B706" s="1060"/>
      <c r="C706" s="1060"/>
      <c r="D706" s="1060"/>
      <c r="E706" s="154"/>
      <c r="F706" s="1060"/>
      <c r="G706" s="140"/>
      <c r="H706" s="141"/>
      <c r="I706" s="184"/>
      <c r="J706" s="149"/>
      <c r="K706" s="184"/>
      <c r="L706" s="149"/>
      <c r="M706" s="144"/>
      <c r="N706" s="1015"/>
      <c r="O706" s="115"/>
      <c r="P706" s="115"/>
      <c r="Q706" s="116"/>
      <c r="R706" s="116"/>
      <c r="S706" s="117"/>
    </row>
    <row r="707" spans="1:19" s="146" customFormat="1" ht="18" customHeight="1">
      <c r="A707" s="183"/>
      <c r="B707" s="1060"/>
      <c r="C707" s="1060"/>
      <c r="D707" s="1060"/>
      <c r="E707" s="154"/>
      <c r="F707" s="1060"/>
      <c r="G707" s="140"/>
      <c r="H707" s="141"/>
      <c r="I707" s="184"/>
      <c r="J707" s="149"/>
      <c r="K707" s="184"/>
      <c r="L707" s="149"/>
      <c r="M707" s="144"/>
      <c r="N707" s="1015"/>
      <c r="O707" s="115"/>
      <c r="P707" s="115"/>
      <c r="Q707" s="116"/>
      <c r="R707" s="116"/>
      <c r="S707" s="117"/>
    </row>
    <row r="708" spans="1:19" s="146" customFormat="1" ht="18" customHeight="1">
      <c r="A708" s="183"/>
      <c r="B708" s="1060"/>
      <c r="C708" s="1060"/>
      <c r="D708" s="1060"/>
      <c r="E708" s="154"/>
      <c r="F708" s="1060"/>
      <c r="G708" s="140"/>
      <c r="H708" s="141"/>
      <c r="I708" s="184"/>
      <c r="J708" s="149"/>
      <c r="K708" s="184"/>
      <c r="L708" s="149"/>
      <c r="M708" s="144"/>
      <c r="N708" s="1015"/>
      <c r="O708" s="115"/>
      <c r="P708" s="115"/>
      <c r="Q708" s="116"/>
      <c r="R708" s="116"/>
      <c r="S708" s="117"/>
    </row>
    <row r="709" spans="1:19" s="146" customFormat="1" ht="18" customHeight="1">
      <c r="A709" s="183"/>
      <c r="B709" s="1060"/>
      <c r="C709" s="1060"/>
      <c r="D709" s="1060"/>
      <c r="E709" s="154"/>
      <c r="F709" s="1060"/>
      <c r="G709" s="140"/>
      <c r="H709" s="141"/>
      <c r="I709" s="185"/>
      <c r="J709" s="149"/>
      <c r="K709" s="185"/>
      <c r="L709" s="149"/>
      <c r="M709" s="143"/>
      <c r="N709" s="170"/>
      <c r="O709" s="115"/>
      <c r="P709" s="115"/>
      <c r="Q709" s="116"/>
      <c r="R709" s="116"/>
      <c r="S709" s="117"/>
    </row>
    <row r="710" spans="1:19" s="146" customFormat="1" ht="18" customHeight="1">
      <c r="A710" s="183">
        <v>5</v>
      </c>
      <c r="B710" s="1060"/>
      <c r="C710" s="1060"/>
      <c r="D710" s="1060"/>
      <c r="E710" s="154" t="s">
        <v>107</v>
      </c>
      <c r="F710" s="1060"/>
      <c r="G710" s="140"/>
      <c r="H710" s="141" t="s">
        <v>108</v>
      </c>
      <c r="I710" s="184" t="s">
        <v>1458</v>
      </c>
      <c r="J710" s="143">
        <v>151452</v>
      </c>
      <c r="K710" s="184" t="s">
        <v>1458</v>
      </c>
      <c r="L710" s="143">
        <v>157680</v>
      </c>
      <c r="M710" s="144">
        <f>L710-J710</f>
        <v>6228</v>
      </c>
      <c r="N710" s="1015">
        <f>L710/12</f>
        <v>13140</v>
      </c>
      <c r="O710" s="115">
        <f>L710-J710</f>
        <v>6228</v>
      </c>
      <c r="P710" s="115">
        <f>O710-M710</f>
        <v>0</v>
      </c>
      <c r="Q710" s="116">
        <v>11042</v>
      </c>
      <c r="R710" s="116">
        <f>Q710*12</f>
        <v>132504</v>
      </c>
      <c r="S710" s="145">
        <f>R710-L710</f>
        <v>-25176</v>
      </c>
    </row>
    <row r="711" spans="1:19" s="146" customFormat="1" ht="18" customHeight="1">
      <c r="A711" s="183"/>
      <c r="B711" s="1060"/>
      <c r="C711" s="1060"/>
      <c r="D711" s="1060"/>
      <c r="E711" s="154"/>
      <c r="F711" s="1060"/>
      <c r="G711" s="140"/>
      <c r="H711" s="141"/>
      <c r="I711" s="185"/>
      <c r="J711" s="149"/>
      <c r="K711" s="185"/>
      <c r="L711" s="149"/>
      <c r="M711" s="143"/>
      <c r="N711" s="170"/>
      <c r="O711" s="115"/>
      <c r="P711" s="115"/>
      <c r="Q711" s="116"/>
      <c r="R711" s="116"/>
      <c r="S711" s="117"/>
    </row>
    <row r="712" spans="1:19" s="146" customFormat="1" ht="18" customHeight="1">
      <c r="A712" s="183"/>
      <c r="B712" s="1060"/>
      <c r="C712" s="1060"/>
      <c r="D712" s="1060"/>
      <c r="E712" s="154"/>
      <c r="F712" s="1060"/>
      <c r="G712" s="140"/>
      <c r="H712" s="141"/>
      <c r="I712" s="185"/>
      <c r="J712" s="149"/>
      <c r="K712" s="185"/>
      <c r="L712" s="149"/>
      <c r="M712" s="143"/>
      <c r="N712" s="170"/>
      <c r="O712" s="115"/>
      <c r="P712" s="115"/>
      <c r="Q712" s="116"/>
      <c r="R712" s="116"/>
      <c r="S712" s="117"/>
    </row>
    <row r="713" spans="1:19" s="146" customFormat="1" ht="18" customHeight="1">
      <c r="A713" s="183"/>
      <c r="B713" s="1060"/>
      <c r="C713" s="1060"/>
      <c r="D713" s="1060"/>
      <c r="E713" s="154"/>
      <c r="F713" s="1060"/>
      <c r="G713" s="140"/>
      <c r="H713" s="141"/>
      <c r="I713" s="185"/>
      <c r="J713" s="149"/>
      <c r="K713" s="185"/>
      <c r="L713" s="149"/>
      <c r="M713" s="143"/>
      <c r="N713" s="170"/>
      <c r="O713" s="115"/>
      <c r="P713" s="115"/>
      <c r="Q713" s="116"/>
      <c r="R713" s="116"/>
      <c r="S713" s="117"/>
    </row>
    <row r="714" spans="1:19" s="146" customFormat="1" ht="18" customHeight="1">
      <c r="A714" s="183"/>
      <c r="B714" s="1060"/>
      <c r="C714" s="1060"/>
      <c r="D714" s="1060"/>
      <c r="E714" s="154"/>
      <c r="F714" s="1060"/>
      <c r="G714" s="140"/>
      <c r="H714" s="141"/>
      <c r="I714" s="185"/>
      <c r="J714" s="149"/>
      <c r="K714" s="185"/>
      <c r="L714" s="149"/>
      <c r="M714" s="143"/>
      <c r="N714" s="170"/>
      <c r="O714" s="115"/>
      <c r="P714" s="115"/>
      <c r="Q714" s="116"/>
      <c r="R714" s="116"/>
      <c r="S714" s="117"/>
    </row>
    <row r="715" spans="1:19" s="146" customFormat="1" ht="18" customHeight="1">
      <c r="A715" s="183">
        <v>6</v>
      </c>
      <c r="B715" s="1060"/>
      <c r="C715" s="1060"/>
      <c r="D715" s="1060"/>
      <c r="E715" s="154" t="s">
        <v>79</v>
      </c>
      <c r="F715" s="1060"/>
      <c r="G715" s="140"/>
      <c r="H715" s="141" t="s">
        <v>110</v>
      </c>
      <c r="I715" s="184" t="s">
        <v>80</v>
      </c>
      <c r="J715" s="143">
        <v>174336</v>
      </c>
      <c r="K715" s="184" t="s">
        <v>80</v>
      </c>
      <c r="L715" s="143">
        <v>181620</v>
      </c>
      <c r="M715" s="144">
        <f>L715-J715</f>
        <v>7284</v>
      </c>
      <c r="N715" s="1015">
        <f>L715/12</f>
        <v>15135</v>
      </c>
      <c r="O715" s="115">
        <f>L715-J715</f>
        <v>7284</v>
      </c>
      <c r="P715" s="115">
        <f>O715-M715</f>
        <v>0</v>
      </c>
      <c r="Q715" s="116">
        <v>12912</v>
      </c>
      <c r="R715" s="116">
        <f>Q715*12</f>
        <v>154944</v>
      </c>
      <c r="S715" s="145">
        <f>R715-L715</f>
        <v>-26676</v>
      </c>
    </row>
    <row r="716" spans="1:19" s="146" customFormat="1" ht="18" customHeight="1">
      <c r="A716" s="183"/>
      <c r="B716" s="1060"/>
      <c r="C716" s="1060"/>
      <c r="D716" s="1060"/>
      <c r="E716" s="154"/>
      <c r="F716" s="1060"/>
      <c r="G716" s="140"/>
      <c r="H716" s="141"/>
      <c r="I716" s="185"/>
      <c r="J716" s="143"/>
      <c r="K716" s="185"/>
      <c r="L716" s="143"/>
      <c r="M716" s="143"/>
      <c r="N716" s="170"/>
      <c r="O716" s="115"/>
      <c r="P716" s="115"/>
      <c r="Q716" s="116"/>
      <c r="R716" s="116"/>
      <c r="S716" s="117"/>
    </row>
    <row r="717" spans="1:19" s="146" customFormat="1" ht="18" customHeight="1">
      <c r="A717" s="183"/>
      <c r="B717" s="1060"/>
      <c r="C717" s="1060"/>
      <c r="D717" s="1060"/>
      <c r="E717" s="154"/>
      <c r="F717" s="1060"/>
      <c r="G717" s="140"/>
      <c r="H717" s="141"/>
      <c r="I717" s="185"/>
      <c r="J717" s="143"/>
      <c r="K717" s="185"/>
      <c r="L717" s="143"/>
      <c r="M717" s="143"/>
      <c r="N717" s="170"/>
      <c r="O717" s="115"/>
      <c r="P717" s="115"/>
      <c r="Q717" s="116"/>
      <c r="R717" s="116"/>
      <c r="S717" s="117"/>
    </row>
    <row r="718" spans="1:19" s="146" customFormat="1" ht="18" customHeight="1">
      <c r="A718" s="183"/>
      <c r="B718" s="1060"/>
      <c r="C718" s="1060"/>
      <c r="D718" s="1060"/>
      <c r="E718" s="154"/>
      <c r="F718" s="1060"/>
      <c r="G718" s="140"/>
      <c r="H718" s="141"/>
      <c r="I718" s="185"/>
      <c r="J718" s="143"/>
      <c r="K718" s="185"/>
      <c r="L718" s="143"/>
      <c r="M718" s="143"/>
      <c r="N718" s="170"/>
      <c r="O718" s="115"/>
      <c r="P718" s="115"/>
      <c r="Q718" s="116"/>
      <c r="R718" s="116"/>
      <c r="S718" s="117"/>
    </row>
    <row r="719" spans="1:19" s="146" customFormat="1" ht="18" customHeight="1">
      <c r="A719" s="183"/>
      <c r="B719" s="1060"/>
      <c r="C719" s="1060"/>
      <c r="D719" s="1060"/>
      <c r="E719" s="154"/>
      <c r="F719" s="1060"/>
      <c r="G719" s="140"/>
      <c r="H719" s="141"/>
      <c r="I719" s="185"/>
      <c r="J719" s="143"/>
      <c r="K719" s="185"/>
      <c r="L719" s="143"/>
      <c r="M719" s="143"/>
      <c r="N719" s="170"/>
      <c r="O719" s="115"/>
      <c r="P719" s="115"/>
      <c r="Q719" s="116"/>
      <c r="R719" s="116"/>
      <c r="S719" s="117"/>
    </row>
    <row r="720" spans="1:19" s="146" customFormat="1" ht="18" customHeight="1">
      <c r="A720" s="183"/>
      <c r="B720" s="1060"/>
      <c r="C720" s="1060"/>
      <c r="D720" s="1060"/>
      <c r="E720" s="154"/>
      <c r="F720" s="1060"/>
      <c r="G720" s="140"/>
      <c r="H720" s="141"/>
      <c r="I720" s="142"/>
      <c r="J720" s="143"/>
      <c r="K720" s="142"/>
      <c r="L720" s="143"/>
      <c r="M720" s="143"/>
      <c r="N720" s="170"/>
      <c r="O720" s="115"/>
      <c r="P720" s="115"/>
      <c r="Q720" s="116"/>
      <c r="R720" s="116"/>
      <c r="S720" s="117"/>
    </row>
    <row r="721" spans="1:19" s="146" customFormat="1" ht="18" customHeight="1">
      <c r="A721" s="183"/>
      <c r="B721" s="1060"/>
      <c r="C721" s="1060"/>
      <c r="D721" s="1060"/>
      <c r="E721" s="154"/>
      <c r="F721" s="1060"/>
      <c r="G721" s="140"/>
      <c r="H721" s="141"/>
      <c r="I721" s="210"/>
      <c r="J721" s="143"/>
      <c r="K721" s="210"/>
      <c r="L721" s="143"/>
      <c r="M721" s="143"/>
      <c r="N721" s="170"/>
      <c r="O721" s="115"/>
      <c r="P721" s="115"/>
      <c r="Q721" s="116"/>
      <c r="R721" s="116"/>
      <c r="S721" s="117"/>
    </row>
    <row r="722" spans="1:19" s="146" customFormat="1" ht="18" customHeight="1">
      <c r="A722" s="183"/>
      <c r="B722" s="1060"/>
      <c r="C722" s="1060"/>
      <c r="D722" s="1060"/>
      <c r="E722" s="154"/>
      <c r="F722" s="1060"/>
      <c r="G722" s="140"/>
      <c r="H722" s="141"/>
      <c r="I722" s="210"/>
      <c r="J722" s="143"/>
      <c r="K722" s="210"/>
      <c r="L722" s="143"/>
      <c r="M722" s="143"/>
      <c r="N722" s="170"/>
      <c r="O722" s="115"/>
      <c r="P722" s="115"/>
      <c r="Q722" s="116"/>
      <c r="R722" s="116"/>
      <c r="S722" s="117"/>
    </row>
    <row r="723" spans="1:19" s="146" customFormat="1" ht="18" customHeight="1">
      <c r="A723" s="183"/>
      <c r="B723" s="1060"/>
      <c r="C723" s="1060"/>
      <c r="D723" s="1060"/>
      <c r="E723" s="154"/>
      <c r="F723" s="1060"/>
      <c r="G723" s="140"/>
      <c r="H723" s="141"/>
      <c r="I723" s="210"/>
      <c r="J723" s="143"/>
      <c r="K723" s="210"/>
      <c r="L723" s="143"/>
      <c r="M723" s="143"/>
      <c r="N723" s="170"/>
      <c r="O723" s="115"/>
      <c r="P723" s="115"/>
      <c r="Q723" s="116"/>
      <c r="R723" s="116"/>
      <c r="S723" s="117"/>
    </row>
    <row r="724" spans="1:19" s="146" customFormat="1" ht="18" customHeight="1">
      <c r="A724" s="141"/>
      <c r="B724" s="155"/>
      <c r="C724" s="1060"/>
      <c r="D724" s="1060"/>
      <c r="E724" s="154"/>
      <c r="F724" s="155"/>
      <c r="G724" s="140"/>
      <c r="H724" s="141"/>
      <c r="I724" s="210"/>
      <c r="J724" s="143"/>
      <c r="K724" s="210"/>
      <c r="L724" s="143"/>
      <c r="M724" s="143"/>
      <c r="N724" s="170"/>
      <c r="O724" s="115"/>
      <c r="P724" s="115"/>
      <c r="Q724" s="116"/>
      <c r="R724" s="116"/>
      <c r="S724" s="117"/>
    </row>
    <row r="725" spans="1:19" s="146" customFormat="1" ht="18" customHeight="1">
      <c r="A725" s="141"/>
      <c r="B725" s="155"/>
      <c r="C725" s="1060"/>
      <c r="D725" s="1060"/>
      <c r="E725" s="154"/>
      <c r="F725" s="155"/>
      <c r="G725" s="140"/>
      <c r="H725" s="141"/>
      <c r="I725" s="210"/>
      <c r="J725" s="215"/>
      <c r="K725" s="210"/>
      <c r="L725" s="215"/>
      <c r="M725" s="215"/>
      <c r="N725" s="171"/>
      <c r="O725" s="115"/>
      <c r="P725" s="115"/>
      <c r="Q725" s="116"/>
      <c r="R725" s="116"/>
      <c r="S725" s="117"/>
    </row>
    <row r="726" spans="1:19" s="146" customFormat="1" ht="18" customHeight="1">
      <c r="A726" s="141"/>
      <c r="B726" s="155"/>
      <c r="C726" s="1060"/>
      <c r="D726" s="1060"/>
      <c r="E726" s="154"/>
      <c r="F726" s="155"/>
      <c r="G726" s="140"/>
      <c r="H726" s="141"/>
      <c r="I726" s="210"/>
      <c r="J726" s="143"/>
      <c r="K726" s="210"/>
      <c r="L726" s="143"/>
      <c r="M726" s="215"/>
      <c r="N726" s="171"/>
      <c r="O726" s="115"/>
      <c r="P726" s="115"/>
      <c r="Q726" s="116"/>
      <c r="R726" s="116"/>
      <c r="S726" s="117"/>
    </row>
    <row r="727" spans="1:19" s="146" customFormat="1" ht="18" customHeight="1">
      <c r="A727" s="141"/>
      <c r="B727" s="155"/>
      <c r="C727" s="1060"/>
      <c r="D727" s="1060"/>
      <c r="E727" s="154"/>
      <c r="F727" s="230"/>
      <c r="G727" s="140"/>
      <c r="H727" s="141"/>
      <c r="I727" s="210"/>
      <c r="J727" s="143"/>
      <c r="K727" s="210"/>
      <c r="L727" s="143"/>
      <c r="M727" s="215"/>
      <c r="N727" s="171"/>
      <c r="O727" s="115"/>
      <c r="P727" s="115"/>
      <c r="Q727" s="116"/>
      <c r="R727" s="116"/>
      <c r="S727" s="117"/>
    </row>
    <row r="728" spans="1:19" s="168" customFormat="1" ht="18" customHeight="1" thickBot="1">
      <c r="A728" s="162"/>
      <c r="B728" s="159"/>
      <c r="C728" s="158"/>
      <c r="D728" s="158"/>
      <c r="E728" s="157"/>
      <c r="F728" s="159"/>
      <c r="G728" s="160"/>
      <c r="H728" s="161" t="s">
        <v>15</v>
      </c>
      <c r="I728" s="214"/>
      <c r="J728" s="163">
        <f>SUM(J688:J727)</f>
        <v>1825404</v>
      </c>
      <c r="K728" s="214"/>
      <c r="L728" s="163"/>
      <c r="M728" s="163">
        <f>SUM(M688:M727)</f>
        <v>61520</v>
      </c>
      <c r="N728" s="169"/>
      <c r="O728" s="165"/>
      <c r="P728" s="165"/>
      <c r="Q728" s="166"/>
      <c r="R728" s="166"/>
      <c r="S728" s="167"/>
    </row>
    <row r="729" spans="1:19" s="146" customFormat="1" ht="18" customHeight="1" thickTop="1">
      <c r="A729" s="155"/>
      <c r="B729" s="155"/>
      <c r="C729" s="1060"/>
      <c r="D729" s="1060"/>
      <c r="E729" s="155"/>
      <c r="F729" s="155"/>
      <c r="G729" s="155"/>
      <c r="H729" s="155"/>
      <c r="I729" s="155"/>
      <c r="J729" s="169"/>
      <c r="K729" s="228"/>
      <c r="L729" s="171"/>
      <c r="M729" s="171"/>
      <c r="N729" s="171"/>
      <c r="O729" s="115"/>
      <c r="P729" s="115"/>
      <c r="Q729" s="116"/>
      <c r="R729" s="116"/>
      <c r="S729" s="117"/>
    </row>
    <row r="730" spans="1:19" s="146" customFormat="1" ht="18" customHeight="1">
      <c r="A730" s="155"/>
      <c r="B730" s="155"/>
      <c r="C730" s="1060"/>
      <c r="D730" s="1060"/>
      <c r="E730" s="155"/>
      <c r="F730" s="155"/>
      <c r="G730" s="155"/>
      <c r="H730" s="155"/>
      <c r="I730" s="155"/>
      <c r="J730" s="169"/>
      <c r="K730" s="228"/>
      <c r="L730" s="171"/>
      <c r="M730" s="171"/>
      <c r="N730" s="171"/>
      <c r="O730" s="115"/>
      <c r="P730" s="115"/>
      <c r="Q730" s="116"/>
      <c r="R730" s="116"/>
      <c r="S730" s="117"/>
    </row>
    <row r="731" spans="1:19" s="146" customFormat="1" ht="18" customHeight="1">
      <c r="A731" s="155"/>
      <c r="B731" s="155"/>
      <c r="C731" s="1060"/>
      <c r="D731" s="1060"/>
      <c r="E731" s="155"/>
      <c r="F731" s="155"/>
      <c r="G731" s="155"/>
      <c r="H731" s="155"/>
      <c r="I731" s="155"/>
      <c r="J731" s="155"/>
      <c r="K731" s="172"/>
      <c r="L731" s="170"/>
      <c r="M731" s="170"/>
      <c r="N731" s="170"/>
      <c r="O731" s="115"/>
      <c r="P731" s="115"/>
      <c r="Q731" s="116"/>
      <c r="R731" s="116"/>
      <c r="S731" s="117"/>
    </row>
    <row r="732" spans="1:19" s="146" customFormat="1" ht="18" customHeight="1">
      <c r="A732" s="173" t="s">
        <v>626</v>
      </c>
      <c r="B732" s="173"/>
      <c r="C732" s="1052"/>
      <c r="D732" s="1052"/>
      <c r="E732" s="174"/>
      <c r="F732" s="174"/>
      <c r="G732" s="174"/>
      <c r="H732" s="173" t="s">
        <v>627</v>
      </c>
      <c r="I732" s="174"/>
      <c r="K732" s="173" t="s">
        <v>258</v>
      </c>
      <c r="L732" s="175"/>
      <c r="M732" s="175"/>
      <c r="N732" s="175"/>
      <c r="O732" s="115"/>
      <c r="P732" s="115"/>
      <c r="Q732" s="116"/>
      <c r="R732" s="116"/>
      <c r="S732" s="117"/>
    </row>
    <row r="733" spans="1:19" s="146" customFormat="1" ht="18" customHeight="1">
      <c r="A733" s="174"/>
      <c r="B733" s="174"/>
      <c r="C733" s="1053"/>
      <c r="D733" s="1053"/>
      <c r="E733" s="174"/>
      <c r="F733" s="174"/>
      <c r="G733" s="174"/>
      <c r="H733" s="174"/>
      <c r="I733" s="174"/>
      <c r="J733" s="174"/>
      <c r="K733" s="176"/>
      <c r="L733" s="175"/>
      <c r="M733" s="175"/>
      <c r="N733" s="175"/>
      <c r="O733" s="115"/>
      <c r="P733" s="115"/>
      <c r="Q733" s="116"/>
      <c r="R733" s="116"/>
      <c r="S733" s="117"/>
    </row>
    <row r="734" spans="1:19" s="146" customFormat="1" ht="18" customHeight="1">
      <c r="A734" s="1310" t="s">
        <v>65</v>
      </c>
      <c r="B734" s="1310"/>
      <c r="C734" s="1310"/>
      <c r="D734" s="1310"/>
      <c r="E734" s="1310"/>
      <c r="F734" s="1310"/>
      <c r="G734" s="174"/>
      <c r="H734" s="1310" t="s">
        <v>17</v>
      </c>
      <c r="I734" s="1310"/>
      <c r="J734" s="174"/>
      <c r="K734" s="1310" t="s">
        <v>1454</v>
      </c>
      <c r="L734" s="1310"/>
      <c r="M734" s="1310"/>
      <c r="N734" s="1052"/>
      <c r="O734" s="115"/>
      <c r="P734" s="115"/>
      <c r="Q734" s="116"/>
      <c r="R734" s="116"/>
      <c r="S734" s="117"/>
    </row>
    <row r="735" spans="1:19" s="146" customFormat="1" ht="18" customHeight="1">
      <c r="A735" s="1294" t="s">
        <v>430</v>
      </c>
      <c r="B735" s="1294"/>
      <c r="C735" s="1294"/>
      <c r="D735" s="1294"/>
      <c r="E735" s="1294"/>
      <c r="F735" s="1294"/>
      <c r="G735" s="177"/>
      <c r="H735" s="1294" t="s">
        <v>18</v>
      </c>
      <c r="I735" s="1294"/>
      <c r="J735" s="1052"/>
      <c r="K735" s="1294" t="s">
        <v>14</v>
      </c>
      <c r="L735" s="1294"/>
      <c r="M735" s="1294"/>
      <c r="N735" s="1053"/>
      <c r="O735" s="115"/>
      <c r="P735" s="115"/>
      <c r="Q735" s="116"/>
      <c r="R735" s="116"/>
      <c r="S735" s="117"/>
    </row>
    <row r="736" spans="1:19" ht="18" customHeight="1">
      <c r="A736" s="111"/>
      <c r="B736" s="111"/>
      <c r="C736" s="1050"/>
      <c r="D736" s="1050"/>
      <c r="E736" s="1321"/>
      <c r="F736" s="1321"/>
      <c r="G736" s="1321"/>
      <c r="H736" s="1050"/>
      <c r="I736" s="1050"/>
      <c r="J736" s="1050"/>
      <c r="K736" s="1321"/>
      <c r="L736" s="1321"/>
      <c r="M736" s="1321"/>
      <c r="N736" s="1050"/>
    </row>
    <row r="737" spans="1:14" ht="18" customHeight="1">
      <c r="A737" s="111"/>
      <c r="B737" s="111"/>
      <c r="C737" s="1050"/>
      <c r="D737" s="1050"/>
      <c r="E737" s="1050"/>
      <c r="F737" s="1050"/>
      <c r="G737" s="1050"/>
      <c r="H737" s="1050"/>
      <c r="I737" s="1050"/>
      <c r="J737" s="1050"/>
      <c r="K737" s="1050"/>
      <c r="L737" s="1050"/>
      <c r="M737" s="1050"/>
      <c r="N737" s="1050"/>
    </row>
    <row r="738" spans="1:14" ht="18" customHeight="1">
      <c r="A738" s="111"/>
      <c r="B738" s="111"/>
      <c r="C738" s="1050"/>
      <c r="D738" s="1050"/>
      <c r="E738" s="1050"/>
      <c r="F738" s="1050"/>
      <c r="G738" s="1050"/>
      <c r="H738" s="1050"/>
      <c r="I738" s="1050"/>
      <c r="J738" s="1050"/>
      <c r="K738" s="1050"/>
      <c r="L738" s="1050"/>
      <c r="M738" s="1050"/>
      <c r="N738" s="1050"/>
    </row>
    <row r="739" spans="1:14" ht="18" customHeight="1">
      <c r="A739" s="111"/>
      <c r="B739" s="111"/>
      <c r="C739" s="1050"/>
      <c r="D739" s="1050"/>
      <c r="E739" s="1050"/>
      <c r="F739" s="1050"/>
      <c r="G739" s="1050"/>
      <c r="H739" s="1050"/>
      <c r="I739" s="1050"/>
      <c r="J739" s="1050"/>
      <c r="K739" s="1050"/>
      <c r="L739" s="1050"/>
      <c r="M739" s="1050"/>
      <c r="N739" s="1050"/>
    </row>
    <row r="740" spans="1:14" ht="18" customHeight="1">
      <c r="A740" s="111"/>
      <c r="B740" s="111"/>
      <c r="C740" s="1050"/>
      <c r="D740" s="1050"/>
      <c r="E740" s="1050"/>
      <c r="F740" s="1050"/>
      <c r="G740" s="1050"/>
      <c r="H740" s="1050"/>
      <c r="I740" s="1050"/>
      <c r="J740" s="1050"/>
      <c r="K740" s="1050"/>
      <c r="L740" s="1050"/>
      <c r="M740" s="1050"/>
      <c r="N740" s="1050"/>
    </row>
    <row r="741" spans="1:14" ht="18" customHeight="1">
      <c r="A741" s="111"/>
      <c r="B741" s="111"/>
      <c r="C741" s="1050"/>
      <c r="D741" s="1050"/>
      <c r="E741" s="1050"/>
      <c r="F741" s="1050"/>
      <c r="G741" s="1050"/>
      <c r="H741" s="1050"/>
      <c r="I741" s="1050"/>
      <c r="J741" s="1050"/>
      <c r="K741" s="1050"/>
      <c r="L741" s="1050"/>
      <c r="M741" s="1050"/>
      <c r="N741" s="1050"/>
    </row>
    <row r="742" spans="1:14" ht="18" customHeight="1">
      <c r="A742" s="111"/>
      <c r="B742" s="111"/>
      <c r="C742" s="1050"/>
      <c r="D742" s="1050"/>
      <c r="E742" s="1050"/>
      <c r="F742" s="1050"/>
      <c r="G742" s="1050"/>
      <c r="H742" s="1050"/>
      <c r="I742" s="1050"/>
      <c r="J742" s="1050"/>
      <c r="K742" s="1050"/>
      <c r="L742" s="1050"/>
      <c r="M742" s="1050"/>
      <c r="N742" s="1050"/>
    </row>
    <row r="743" spans="1:14" ht="18" customHeight="1">
      <c r="A743" s="111"/>
      <c r="B743" s="111"/>
      <c r="C743" s="1050"/>
      <c r="D743" s="1050"/>
      <c r="E743" s="1050"/>
      <c r="F743" s="1050"/>
      <c r="G743" s="1050"/>
      <c r="H743" s="1050"/>
      <c r="I743" s="1050"/>
      <c r="J743" s="1050"/>
      <c r="K743" s="1050"/>
      <c r="L743" s="1050"/>
      <c r="M743" s="1050"/>
      <c r="N743" s="1050"/>
    </row>
    <row r="744" spans="1:14" ht="18" customHeight="1">
      <c r="A744" s="111"/>
      <c r="B744" s="111"/>
      <c r="C744" s="1050"/>
      <c r="D744" s="1050"/>
      <c r="E744" s="1050"/>
      <c r="F744" s="1050"/>
      <c r="G744" s="1050"/>
      <c r="H744" s="1050"/>
      <c r="I744" s="1050"/>
      <c r="J744" s="1050"/>
      <c r="K744" s="1050"/>
      <c r="L744" s="1050"/>
      <c r="M744" s="1050"/>
      <c r="N744" s="1050"/>
    </row>
    <row r="745" spans="1:14" ht="18" customHeight="1"/>
    <row r="746" spans="1:14" ht="20.100000000000001" customHeight="1">
      <c r="A746" s="1263" t="s">
        <v>993</v>
      </c>
      <c r="B746" s="1263"/>
      <c r="C746" s="1263"/>
      <c r="D746" s="1263"/>
      <c r="E746" s="1263"/>
      <c r="F746" s="1263"/>
      <c r="G746" s="1263"/>
      <c r="H746" s="1263"/>
      <c r="I746" s="1263"/>
      <c r="J746" s="1263"/>
      <c r="K746" s="1263"/>
      <c r="L746" s="1263"/>
      <c r="M746" s="1263"/>
      <c r="N746" s="1058"/>
    </row>
    <row r="747" spans="1:14" ht="18" customHeight="1">
      <c r="A747" s="110"/>
      <c r="B747" s="110"/>
      <c r="C747" s="1057"/>
      <c r="D747" s="1057"/>
      <c r="E747" s="111"/>
      <c r="F747" s="111"/>
      <c r="G747" s="111"/>
      <c r="H747" s="111"/>
      <c r="I747" s="111"/>
      <c r="J747" s="111"/>
      <c r="K747" s="112"/>
      <c r="M747" s="114"/>
      <c r="N747" s="114"/>
    </row>
    <row r="748" spans="1:14" ht="18" customHeight="1">
      <c r="A748" s="1319" t="s">
        <v>1675</v>
      </c>
      <c r="B748" s="1319"/>
      <c r="C748" s="1319"/>
      <c r="D748" s="1319"/>
      <c r="E748" s="1319"/>
      <c r="F748" s="1319"/>
      <c r="G748" s="1319"/>
      <c r="H748" s="1319"/>
      <c r="I748" s="1319"/>
      <c r="J748" s="1319"/>
      <c r="K748" s="1319"/>
      <c r="L748" s="1319"/>
      <c r="M748" s="1319"/>
      <c r="N748" s="1048"/>
    </row>
    <row r="749" spans="1:14" ht="18" customHeight="1">
      <c r="A749" s="1320" t="s">
        <v>358</v>
      </c>
      <c r="B749" s="1320"/>
      <c r="C749" s="1320"/>
      <c r="D749" s="1320"/>
      <c r="E749" s="1320"/>
      <c r="F749" s="1320"/>
      <c r="G749" s="1320"/>
      <c r="H749" s="1320"/>
      <c r="I749" s="1320"/>
      <c r="J749" s="1320"/>
      <c r="K749" s="1320"/>
      <c r="L749" s="1320"/>
      <c r="M749" s="1320"/>
      <c r="N749" s="1049"/>
    </row>
    <row r="750" spans="1:14" ht="18" customHeight="1">
      <c r="A750" s="1321"/>
      <c r="B750" s="1321"/>
      <c r="C750" s="1321"/>
      <c r="D750" s="1321"/>
      <c r="E750" s="1321"/>
      <c r="F750" s="1321"/>
      <c r="G750" s="1321"/>
      <c r="H750" s="1321"/>
      <c r="I750" s="1321"/>
      <c r="J750" s="1321"/>
      <c r="K750" s="1321"/>
      <c r="L750" s="1321"/>
      <c r="M750" s="1321"/>
      <c r="N750" s="1050"/>
    </row>
    <row r="751" spans="1:14" ht="18" customHeight="1">
      <c r="A751" s="1050"/>
      <c r="B751" s="1050"/>
      <c r="C751" s="1050"/>
      <c r="D751" s="1050"/>
      <c r="E751" s="1050"/>
      <c r="F751" s="1050"/>
      <c r="G751" s="1050"/>
      <c r="H751" s="1050"/>
      <c r="I751" s="1050"/>
      <c r="J751" s="1050"/>
      <c r="K751" s="1050"/>
      <c r="L751" s="1050"/>
      <c r="M751" s="1050"/>
      <c r="N751" s="1050"/>
    </row>
    <row r="752" spans="1:14" ht="18" customHeight="1">
      <c r="A752" s="111" t="s">
        <v>450</v>
      </c>
      <c r="B752" s="111"/>
      <c r="C752" s="231" t="s">
        <v>448</v>
      </c>
      <c r="D752" s="111" t="s">
        <v>317</v>
      </c>
      <c r="E752" s="111"/>
      <c r="F752" s="111"/>
      <c r="G752" s="111"/>
      <c r="H752" s="111"/>
      <c r="I752" s="112"/>
      <c r="J752" s="113"/>
      <c r="K752" s="1050"/>
      <c r="L752" s="1050"/>
      <c r="M752" s="1050"/>
      <c r="N752" s="1050"/>
    </row>
    <row r="753" spans="1:19" ht="18" customHeight="1">
      <c r="A753" s="111" t="s">
        <v>458</v>
      </c>
      <c r="B753" s="111"/>
      <c r="C753" s="231" t="s">
        <v>448</v>
      </c>
      <c r="D753" s="111" t="s">
        <v>470</v>
      </c>
      <c r="E753" s="111"/>
      <c r="F753" s="111"/>
      <c r="G753" s="111"/>
      <c r="H753" s="111"/>
      <c r="I753" s="112"/>
      <c r="J753" s="113"/>
      <c r="K753" s="1050"/>
      <c r="L753" s="1050"/>
      <c r="M753" s="1050"/>
      <c r="N753" s="1050"/>
      <c r="O753" s="180"/>
    </row>
    <row r="754" spans="1:19" ht="18" customHeight="1" thickBot="1">
      <c r="A754" s="111" t="s">
        <v>465</v>
      </c>
      <c r="B754" s="111"/>
      <c r="C754" s="232" t="s">
        <v>448</v>
      </c>
      <c r="D754" s="111" t="s">
        <v>678</v>
      </c>
      <c r="E754" s="111"/>
      <c r="F754" s="111"/>
      <c r="G754" s="111"/>
      <c r="H754" s="111"/>
      <c r="I754" s="112"/>
      <c r="J754" s="113"/>
      <c r="K754" s="1050"/>
      <c r="L754" s="1050"/>
      <c r="M754" s="1050"/>
      <c r="N754" s="1050"/>
      <c r="O754" s="180"/>
    </row>
    <row r="755" spans="1:19" ht="18" customHeight="1">
      <c r="A755" s="1322" t="s">
        <v>631</v>
      </c>
      <c r="B755" s="1323"/>
      <c r="C755" s="1323"/>
      <c r="D755" s="1323"/>
      <c r="E755" s="1324"/>
      <c r="F755" s="1323"/>
      <c r="G755" s="1325"/>
      <c r="H755" s="121"/>
      <c r="I755" s="1326" t="s">
        <v>635</v>
      </c>
      <c r="J755" s="1327"/>
      <c r="K755" s="1326" t="s">
        <v>635</v>
      </c>
      <c r="L755" s="1327"/>
      <c r="M755" s="122"/>
      <c r="N755" s="1012"/>
      <c r="O755" s="180"/>
    </row>
    <row r="756" spans="1:19" ht="18" customHeight="1">
      <c r="A756" s="123" t="s">
        <v>632</v>
      </c>
      <c r="B756" s="1311" t="s">
        <v>633</v>
      </c>
      <c r="C756" s="1312"/>
      <c r="D756" s="1313"/>
      <c r="E756" s="1314" t="s">
        <v>44</v>
      </c>
      <c r="F756" s="1315"/>
      <c r="G756" s="1316"/>
      <c r="H756" s="1054" t="s">
        <v>45</v>
      </c>
      <c r="I756" s="1314" t="s">
        <v>1502</v>
      </c>
      <c r="J756" s="1316"/>
      <c r="K756" s="1315" t="s">
        <v>1676</v>
      </c>
      <c r="L756" s="1316"/>
      <c r="M756" s="124" t="s">
        <v>46</v>
      </c>
      <c r="N756" s="1013"/>
    </row>
    <row r="757" spans="1:19" ht="18" customHeight="1">
      <c r="A757" s="125"/>
      <c r="B757" s="1054"/>
      <c r="C757" s="1055"/>
      <c r="D757" s="1055"/>
      <c r="E757" s="1054"/>
      <c r="F757" s="1055"/>
      <c r="G757" s="1056"/>
      <c r="H757" s="1054" t="s">
        <v>47</v>
      </c>
      <c r="I757" s="1317"/>
      <c r="J757" s="1318"/>
      <c r="K757" s="1317"/>
      <c r="L757" s="1318"/>
      <c r="M757" s="124" t="s">
        <v>48</v>
      </c>
      <c r="N757" s="1013"/>
    </row>
    <row r="758" spans="1:19" ht="18" customHeight="1">
      <c r="A758" s="125"/>
      <c r="B758" s="1054"/>
      <c r="C758" s="1055"/>
      <c r="D758" s="1055"/>
      <c r="E758" s="1054"/>
      <c r="F758" s="1055"/>
      <c r="G758" s="126"/>
      <c r="H758" s="127"/>
      <c r="I758" s="128" t="s">
        <v>634</v>
      </c>
      <c r="J758" s="129" t="s">
        <v>49</v>
      </c>
      <c r="K758" s="128" t="s">
        <v>634</v>
      </c>
      <c r="L758" s="129" t="s">
        <v>49</v>
      </c>
      <c r="M758" s="124"/>
      <c r="N758" s="120" t="s">
        <v>1628</v>
      </c>
    </row>
    <row r="759" spans="1:19" ht="18" customHeight="1" thickBot="1">
      <c r="A759" s="130"/>
      <c r="B759" s="1307"/>
      <c r="C759" s="1308"/>
      <c r="D759" s="1309"/>
      <c r="E759" s="1307"/>
      <c r="F759" s="1308"/>
      <c r="G759" s="1309"/>
      <c r="H759" s="131"/>
      <c r="I759" s="131"/>
      <c r="J759" s="131"/>
      <c r="K759" s="131"/>
      <c r="L759" s="131"/>
      <c r="M759" s="132"/>
      <c r="N759" s="1019" t="s">
        <v>1629</v>
      </c>
    </row>
    <row r="760" spans="1:19" ht="18" customHeight="1">
      <c r="A760" s="181"/>
      <c r="B760" s="119"/>
      <c r="C760" s="119"/>
      <c r="D760" s="119"/>
      <c r="E760" s="133"/>
      <c r="F760" s="119"/>
      <c r="G760" s="134"/>
      <c r="H760" s="135"/>
      <c r="I760" s="182"/>
      <c r="J760" s="137"/>
      <c r="K760" s="182"/>
      <c r="L760" s="137"/>
      <c r="M760" s="137"/>
      <c r="N760" s="1016"/>
    </row>
    <row r="761" spans="1:19" s="146" customFormat="1" ht="18" customHeight="1">
      <c r="A761" s="183">
        <v>1</v>
      </c>
      <c r="B761" s="1060"/>
      <c r="C761" s="1060"/>
      <c r="D761" s="1060"/>
      <c r="E761" s="154" t="s">
        <v>77</v>
      </c>
      <c r="F761" s="1060"/>
      <c r="G761" s="140"/>
      <c r="H761" s="141" t="s">
        <v>83</v>
      </c>
      <c r="I761" s="184" t="s">
        <v>221</v>
      </c>
      <c r="J761" s="143">
        <v>899208</v>
      </c>
      <c r="K761" s="184" t="s">
        <v>221</v>
      </c>
      <c r="L761" s="143">
        <v>916500</v>
      </c>
      <c r="M761" s="144">
        <f>L761-J761</f>
        <v>17292</v>
      </c>
      <c r="N761" s="1015">
        <f t="shared" ref="N761:N762" si="10">L761/12</f>
        <v>76375</v>
      </c>
      <c r="O761" s="115">
        <f>L761-J761</f>
        <v>17292</v>
      </c>
      <c r="P761" s="115">
        <f>O761-M761</f>
        <v>0</v>
      </c>
      <c r="Q761" s="116">
        <v>62304</v>
      </c>
      <c r="R761" s="116">
        <f>Q761*12</f>
        <v>747648</v>
      </c>
      <c r="S761" s="145">
        <f>R761-L761</f>
        <v>-168852</v>
      </c>
    </row>
    <row r="762" spans="1:19" s="146" customFormat="1" ht="18" customHeight="1">
      <c r="A762" s="183"/>
      <c r="B762" s="1060"/>
      <c r="C762" s="1060"/>
      <c r="D762" s="1060"/>
      <c r="E762" s="154" t="s">
        <v>907</v>
      </c>
      <c r="F762" s="1060"/>
      <c r="G762" s="140"/>
      <c r="H762" s="141"/>
      <c r="I762" s="184"/>
      <c r="J762" s="143"/>
      <c r="K762" s="184"/>
      <c r="L762" s="143"/>
      <c r="M762" s="143"/>
      <c r="N762" s="1015">
        <f t="shared" si="10"/>
        <v>0</v>
      </c>
      <c r="O762" s="115"/>
      <c r="P762" s="115"/>
      <c r="Q762" s="116"/>
      <c r="R762" s="116"/>
      <c r="S762" s="117"/>
    </row>
    <row r="763" spans="1:19" s="146" customFormat="1" ht="18" customHeight="1">
      <c r="A763" s="183"/>
      <c r="B763" s="1060"/>
      <c r="C763" s="1060"/>
      <c r="D763" s="1060"/>
      <c r="E763" s="154"/>
      <c r="F763" s="1060"/>
      <c r="G763" s="140"/>
      <c r="H763" s="141"/>
      <c r="I763" s="184"/>
      <c r="J763" s="143"/>
      <c r="K763" s="184"/>
      <c r="L763" s="149"/>
      <c r="M763" s="143"/>
      <c r="N763" s="170"/>
      <c r="O763" s="115"/>
      <c r="P763" s="115"/>
      <c r="Q763" s="116"/>
      <c r="R763" s="116"/>
      <c r="S763" s="117"/>
    </row>
    <row r="764" spans="1:19" s="146" customFormat="1" ht="18" customHeight="1">
      <c r="A764" s="183"/>
      <c r="B764" s="1060"/>
      <c r="C764" s="1060"/>
      <c r="D764" s="1060"/>
      <c r="E764" s="154"/>
      <c r="F764" s="1060"/>
      <c r="G764" s="140"/>
      <c r="H764" s="141"/>
      <c r="I764" s="142"/>
      <c r="J764" s="233"/>
      <c r="K764" s="142"/>
      <c r="L764" s="233"/>
      <c r="M764" s="143"/>
      <c r="N764" s="170"/>
      <c r="O764" s="115"/>
      <c r="P764" s="115"/>
      <c r="Q764" s="116"/>
      <c r="R764" s="116"/>
      <c r="S764" s="117"/>
    </row>
    <row r="765" spans="1:19" s="146" customFormat="1" ht="18" customHeight="1">
      <c r="A765" s="183">
        <v>2</v>
      </c>
      <c r="B765" s="1060"/>
      <c r="C765" s="1060"/>
      <c r="D765" s="1060"/>
      <c r="E765" s="154" t="s">
        <v>256</v>
      </c>
      <c r="F765" s="1060"/>
      <c r="G765" s="140"/>
      <c r="H765" s="141" t="s">
        <v>1464</v>
      </c>
      <c r="I765" s="142" t="s">
        <v>1509</v>
      </c>
      <c r="J765" s="143">
        <v>268632</v>
      </c>
      <c r="K765" s="142" t="s">
        <v>1509</v>
      </c>
      <c r="L765" s="143">
        <v>284496</v>
      </c>
      <c r="M765" s="144">
        <f>L765-J765</f>
        <v>15864</v>
      </c>
      <c r="N765" s="1015">
        <f t="shared" ref="N765:N766" si="11">L765/12</f>
        <v>23708</v>
      </c>
      <c r="O765" s="115">
        <f>L765-J765</f>
        <v>15864</v>
      </c>
      <c r="P765" s="115">
        <f>O765-M765</f>
        <v>0</v>
      </c>
      <c r="Q765" s="116">
        <v>18827</v>
      </c>
      <c r="R765" s="116">
        <f>Q765*12</f>
        <v>225924</v>
      </c>
      <c r="S765" s="145">
        <f>R765-L765</f>
        <v>-58572</v>
      </c>
    </row>
    <row r="766" spans="1:19" s="146" customFormat="1" ht="18" customHeight="1">
      <c r="A766" s="183"/>
      <c r="B766" s="1060"/>
      <c r="C766" s="1060"/>
      <c r="D766" s="1060"/>
      <c r="E766" s="1059"/>
      <c r="F766" s="1060"/>
      <c r="G766" s="140"/>
      <c r="H766" s="141"/>
      <c r="I766" s="142"/>
      <c r="J766" s="143"/>
      <c r="K766" s="142"/>
      <c r="L766" s="143"/>
      <c r="M766" s="143"/>
      <c r="N766" s="1015">
        <f t="shared" si="11"/>
        <v>0</v>
      </c>
      <c r="O766" s="115"/>
      <c r="P766" s="115"/>
      <c r="Q766" s="116"/>
      <c r="R766" s="116"/>
      <c r="S766" s="117"/>
    </row>
    <row r="767" spans="1:19" s="146" customFormat="1" ht="18" customHeight="1">
      <c r="A767" s="183"/>
      <c r="B767" s="1060"/>
      <c r="C767" s="1060"/>
      <c r="D767" s="1060"/>
      <c r="E767" s="1059"/>
      <c r="F767" s="1060"/>
      <c r="G767" s="140"/>
      <c r="H767" s="141"/>
      <c r="I767" s="142"/>
      <c r="J767" s="143"/>
      <c r="K767" s="142"/>
      <c r="L767" s="149"/>
      <c r="M767" s="143"/>
      <c r="N767" s="170"/>
      <c r="O767" s="115"/>
      <c r="P767" s="115"/>
      <c r="Q767" s="116"/>
      <c r="R767" s="116"/>
      <c r="S767" s="117"/>
    </row>
    <row r="768" spans="1:19" s="146" customFormat="1" ht="18" customHeight="1">
      <c r="A768" s="183"/>
      <c r="B768" s="1060"/>
      <c r="C768" s="1060"/>
      <c r="D768" s="1060"/>
      <c r="E768" s="1059"/>
      <c r="F768" s="1060"/>
      <c r="G768" s="140"/>
      <c r="H768" s="141"/>
      <c r="I768" s="142"/>
      <c r="J768" s="153"/>
      <c r="K768" s="142"/>
      <c r="L768" s="153"/>
      <c r="M768" s="143"/>
      <c r="N768" s="170"/>
      <c r="O768" s="115"/>
      <c r="P768" s="115"/>
      <c r="Q768" s="116"/>
      <c r="R768" s="116"/>
      <c r="S768" s="117"/>
    </row>
    <row r="769" spans="1:19" s="146" customFormat="1" ht="18" customHeight="1">
      <c r="A769" s="183">
        <v>3</v>
      </c>
      <c r="B769" s="1060"/>
      <c r="C769" s="1060"/>
      <c r="D769" s="1060"/>
      <c r="E769" s="139" t="s">
        <v>972</v>
      </c>
      <c r="F769" s="1060"/>
      <c r="G769" s="140"/>
      <c r="H769" s="141" t="s">
        <v>1712</v>
      </c>
      <c r="I769" s="142" t="s">
        <v>164</v>
      </c>
      <c r="J769" s="143">
        <v>186156</v>
      </c>
      <c r="K769" s="205" t="s">
        <v>273</v>
      </c>
      <c r="L769" s="144" t="s">
        <v>1710</v>
      </c>
      <c r="M769" s="144">
        <v>-186156</v>
      </c>
      <c r="N769" s="1015"/>
      <c r="O769" s="115"/>
      <c r="P769" s="115"/>
      <c r="Q769" s="116"/>
      <c r="R769" s="116"/>
      <c r="S769" s="117"/>
    </row>
    <row r="770" spans="1:19" s="146" customFormat="1" ht="18" customHeight="1">
      <c r="A770" s="183"/>
      <c r="B770" s="1060"/>
      <c r="C770" s="1060"/>
      <c r="D770" s="1060"/>
      <c r="E770" s="139"/>
      <c r="F770" s="1060"/>
      <c r="G770" s="140"/>
      <c r="H770" s="141"/>
      <c r="I770" s="142"/>
      <c r="J770" s="143"/>
      <c r="K770" s="142"/>
      <c r="L770" s="143"/>
      <c r="M770" s="144"/>
      <c r="N770" s="1015"/>
      <c r="O770" s="115"/>
      <c r="P770" s="115"/>
      <c r="Q770" s="116"/>
      <c r="R770" s="116"/>
      <c r="S770" s="117"/>
    </row>
    <row r="771" spans="1:19" s="146" customFormat="1" ht="18" customHeight="1">
      <c r="A771" s="183"/>
      <c r="B771" s="1060"/>
      <c r="C771" s="1060"/>
      <c r="D771" s="1060"/>
      <c r="E771" s="139"/>
      <c r="F771" s="1060"/>
      <c r="G771" s="140"/>
      <c r="H771" s="141"/>
      <c r="I771" s="142"/>
      <c r="J771" s="143"/>
      <c r="K771" s="142"/>
      <c r="L771" s="143"/>
      <c r="M771" s="144"/>
      <c r="N771" s="1015"/>
      <c r="O771" s="115"/>
      <c r="P771" s="115"/>
      <c r="Q771" s="116"/>
      <c r="R771" s="116"/>
      <c r="S771" s="117"/>
    </row>
    <row r="772" spans="1:19" s="146" customFormat="1" ht="18" customHeight="1">
      <c r="A772" s="183"/>
      <c r="B772" s="1060"/>
      <c r="C772" s="1060"/>
      <c r="D772" s="1060"/>
      <c r="E772" s="1059"/>
      <c r="F772" s="1060"/>
      <c r="G772" s="140"/>
      <c r="H772" s="141"/>
      <c r="I772" s="142"/>
      <c r="J772" s="143"/>
      <c r="K772" s="142"/>
      <c r="L772" s="143"/>
      <c r="M772" s="143"/>
      <c r="N772" s="170"/>
      <c r="O772" s="115"/>
      <c r="P772" s="115"/>
      <c r="Q772" s="116"/>
      <c r="R772" s="116"/>
      <c r="S772" s="117"/>
    </row>
    <row r="773" spans="1:19" s="146" customFormat="1" ht="18" customHeight="1">
      <c r="A773" s="183">
        <v>4</v>
      </c>
      <c r="B773" s="1328"/>
      <c r="C773" s="1329"/>
      <c r="D773" s="1330"/>
      <c r="E773" s="139" t="s">
        <v>256</v>
      </c>
      <c r="F773" s="1060"/>
      <c r="G773" s="140"/>
      <c r="H773" s="141" t="s">
        <v>1713</v>
      </c>
      <c r="I773" s="142" t="s">
        <v>257</v>
      </c>
      <c r="J773" s="143">
        <v>265728</v>
      </c>
      <c r="K773" s="142" t="s">
        <v>257</v>
      </c>
      <c r="L773" s="143">
        <v>281604</v>
      </c>
      <c r="M773" s="144">
        <f>L773-J773</f>
        <v>15876</v>
      </c>
      <c r="N773" s="1015">
        <f>L773/12</f>
        <v>23467</v>
      </c>
      <c r="O773" s="115"/>
      <c r="P773" s="115"/>
      <c r="Q773" s="116"/>
      <c r="R773" s="116"/>
      <c r="S773" s="117"/>
    </row>
    <row r="774" spans="1:19" s="146" customFormat="1" ht="18" customHeight="1">
      <c r="A774" s="183"/>
      <c r="B774" s="1060"/>
      <c r="C774" s="1060"/>
      <c r="D774" s="1060"/>
      <c r="E774" s="1059"/>
      <c r="F774" s="1060"/>
      <c r="G774" s="140"/>
      <c r="H774" s="141"/>
      <c r="I774" s="142"/>
      <c r="J774" s="143"/>
      <c r="K774" s="142"/>
      <c r="L774" s="143"/>
      <c r="M774" s="143"/>
      <c r="N774" s="170"/>
      <c r="O774" s="115"/>
      <c r="P774" s="115"/>
      <c r="Q774" s="116"/>
      <c r="R774" s="116"/>
      <c r="S774" s="117"/>
    </row>
    <row r="775" spans="1:19" s="146" customFormat="1" ht="18" customHeight="1">
      <c r="A775" s="183"/>
      <c r="B775" s="1060"/>
      <c r="C775" s="1060"/>
      <c r="D775" s="1060"/>
      <c r="E775" s="1059"/>
      <c r="F775" s="1060"/>
      <c r="G775" s="140"/>
      <c r="H775" s="141"/>
      <c r="I775" s="142"/>
      <c r="J775" s="143"/>
      <c r="K775" s="142"/>
      <c r="L775" s="143"/>
      <c r="M775" s="143"/>
      <c r="N775" s="170"/>
      <c r="O775" s="115"/>
      <c r="P775" s="115"/>
      <c r="Q775" s="116"/>
      <c r="R775" s="116"/>
      <c r="S775" s="117"/>
    </row>
    <row r="776" spans="1:19" s="146" customFormat="1" ht="18" customHeight="1">
      <c r="A776" s="183"/>
      <c r="B776" s="1060"/>
      <c r="C776" s="1060"/>
      <c r="D776" s="1060"/>
      <c r="E776" s="1059"/>
      <c r="F776" s="1060"/>
      <c r="G776" s="140"/>
      <c r="H776" s="141"/>
      <c r="I776" s="142"/>
      <c r="J776" s="143"/>
      <c r="K776" s="142"/>
      <c r="L776" s="143"/>
      <c r="M776" s="143"/>
      <c r="N776" s="170"/>
      <c r="O776" s="115"/>
      <c r="P776" s="115"/>
      <c r="Q776" s="116"/>
      <c r="R776" s="116"/>
      <c r="S776" s="117"/>
    </row>
    <row r="777" spans="1:19" s="146" customFormat="1" ht="18" customHeight="1">
      <c r="A777" s="183"/>
      <c r="B777" s="1060"/>
      <c r="C777" s="1060"/>
      <c r="D777" s="1060"/>
      <c r="E777" s="1059"/>
      <c r="F777" s="1060"/>
      <c r="G777" s="140"/>
      <c r="H777" s="141"/>
      <c r="I777" s="142"/>
      <c r="J777" s="143"/>
      <c r="K777" s="142"/>
      <c r="L777" s="143"/>
      <c r="M777" s="143"/>
      <c r="N777" s="170"/>
      <c r="O777" s="115"/>
      <c r="P777" s="115"/>
      <c r="Q777" s="116"/>
      <c r="R777" s="116"/>
      <c r="S777" s="117"/>
    </row>
    <row r="778" spans="1:19" s="146" customFormat="1" ht="18" customHeight="1">
      <c r="A778" s="183"/>
      <c r="B778" s="1060"/>
      <c r="C778" s="1060"/>
      <c r="D778" s="1060"/>
      <c r="E778" s="1059"/>
      <c r="F778" s="1060"/>
      <c r="G778" s="140"/>
      <c r="H778" s="141"/>
      <c r="I778" s="142"/>
      <c r="J778" s="143"/>
      <c r="K778" s="142"/>
      <c r="L778" s="143"/>
      <c r="M778" s="143"/>
      <c r="N778" s="170"/>
      <c r="O778" s="115"/>
      <c r="P778" s="115"/>
      <c r="Q778" s="116"/>
      <c r="R778" s="116"/>
      <c r="S778" s="117"/>
    </row>
    <row r="779" spans="1:19" s="146" customFormat="1" ht="18" customHeight="1">
      <c r="A779" s="183"/>
      <c r="B779" s="1060"/>
      <c r="C779" s="1060"/>
      <c r="D779" s="1060"/>
      <c r="E779" s="1059"/>
      <c r="F779" s="1060"/>
      <c r="G779" s="140"/>
      <c r="H779" s="141"/>
      <c r="I779" s="142"/>
      <c r="J779" s="143"/>
      <c r="K779" s="142"/>
      <c r="L779" s="143"/>
      <c r="M779" s="143"/>
      <c r="N779" s="170"/>
      <c r="O779" s="115"/>
      <c r="P779" s="115"/>
      <c r="Q779" s="116"/>
      <c r="R779" s="116"/>
      <c r="S779" s="117"/>
    </row>
    <row r="780" spans="1:19" s="146" customFormat="1" ht="18" customHeight="1">
      <c r="A780" s="183"/>
      <c r="B780" s="1060"/>
      <c r="C780" s="1060"/>
      <c r="D780" s="1060"/>
      <c r="E780" s="1059"/>
      <c r="F780" s="1060"/>
      <c r="G780" s="140"/>
      <c r="H780" s="141"/>
      <c r="I780" s="142"/>
      <c r="J780" s="143"/>
      <c r="K780" s="142"/>
      <c r="L780" s="143"/>
      <c r="M780" s="143"/>
      <c r="N780" s="170"/>
      <c r="O780" s="115"/>
      <c r="P780" s="115"/>
      <c r="Q780" s="116"/>
      <c r="R780" s="116"/>
      <c r="S780" s="117"/>
    </row>
    <row r="781" spans="1:19" s="146" customFormat="1" ht="18" customHeight="1">
      <c r="A781" s="183"/>
      <c r="B781" s="1060"/>
      <c r="C781" s="1060"/>
      <c r="D781" s="1060"/>
      <c r="E781" s="1059"/>
      <c r="F781" s="1060"/>
      <c r="G781" s="140"/>
      <c r="H781" s="141"/>
      <c r="I781" s="142"/>
      <c r="J781" s="143"/>
      <c r="K781" s="142"/>
      <c r="L781" s="143"/>
      <c r="M781" s="143"/>
      <c r="N781" s="170"/>
      <c r="O781" s="115"/>
      <c r="P781" s="115"/>
      <c r="Q781" s="116"/>
      <c r="R781" s="116"/>
      <c r="S781" s="117"/>
    </row>
    <row r="782" spans="1:19" s="146" customFormat="1" ht="18" customHeight="1">
      <c r="A782" s="183"/>
      <c r="B782" s="1060"/>
      <c r="C782" s="1060"/>
      <c r="D782" s="1060"/>
      <c r="E782" s="1059"/>
      <c r="F782" s="1060"/>
      <c r="G782" s="140"/>
      <c r="H782" s="141"/>
      <c r="I782" s="142"/>
      <c r="J782" s="143"/>
      <c r="K782" s="142"/>
      <c r="L782" s="143"/>
      <c r="M782" s="143"/>
      <c r="N782" s="170"/>
      <c r="O782" s="115"/>
      <c r="P782" s="115"/>
      <c r="Q782" s="116"/>
      <c r="R782" s="116"/>
      <c r="S782" s="117"/>
    </row>
    <row r="783" spans="1:19" s="146" customFormat="1" ht="18" customHeight="1">
      <c r="A783" s="183"/>
      <c r="B783" s="1060"/>
      <c r="C783" s="1060"/>
      <c r="D783" s="1060"/>
      <c r="E783" s="1059"/>
      <c r="F783" s="1060"/>
      <c r="G783" s="140"/>
      <c r="H783" s="141"/>
      <c r="I783" s="142"/>
      <c r="J783" s="143"/>
      <c r="K783" s="142"/>
      <c r="L783" s="143"/>
      <c r="M783" s="143"/>
      <c r="N783" s="170"/>
      <c r="O783" s="115"/>
      <c r="P783" s="115"/>
      <c r="Q783" s="116"/>
      <c r="R783" s="116"/>
      <c r="S783" s="117"/>
    </row>
    <row r="784" spans="1:19" s="146" customFormat="1" ht="18" customHeight="1">
      <c r="A784" s="183"/>
      <c r="B784" s="1060"/>
      <c r="C784" s="1060"/>
      <c r="D784" s="1060"/>
      <c r="E784" s="1059"/>
      <c r="F784" s="1060"/>
      <c r="G784" s="140"/>
      <c r="H784" s="141"/>
      <c r="I784" s="142"/>
      <c r="J784" s="143"/>
      <c r="K784" s="142"/>
      <c r="L784" s="143"/>
      <c r="M784" s="143"/>
      <c r="N784" s="170"/>
      <c r="O784" s="115"/>
      <c r="P784" s="115"/>
      <c r="Q784" s="116"/>
      <c r="R784" s="116"/>
      <c r="S784" s="117"/>
    </row>
    <row r="785" spans="1:19" s="146" customFormat="1" ht="18" customHeight="1">
      <c r="A785" s="141"/>
      <c r="B785" s="155"/>
      <c r="C785" s="1060"/>
      <c r="D785" s="1060"/>
      <c r="E785" s="154"/>
      <c r="F785" s="155"/>
      <c r="G785" s="140"/>
      <c r="H785" s="141"/>
      <c r="I785" s="142"/>
      <c r="J785" s="143"/>
      <c r="K785" s="142"/>
      <c r="L785" s="143"/>
      <c r="M785" s="143"/>
      <c r="N785" s="170"/>
      <c r="O785" s="115"/>
      <c r="P785" s="115"/>
      <c r="Q785" s="116"/>
      <c r="R785" s="116"/>
      <c r="S785" s="117"/>
    </row>
    <row r="786" spans="1:19" s="146" customFormat="1" ht="18" customHeight="1">
      <c r="A786" s="141"/>
      <c r="B786" s="155"/>
      <c r="C786" s="1060"/>
      <c r="D786" s="1060"/>
      <c r="E786" s="154"/>
      <c r="F786" s="155"/>
      <c r="G786" s="140"/>
      <c r="H786" s="141"/>
      <c r="I786" s="210"/>
      <c r="J786" s="143"/>
      <c r="K786" s="210"/>
      <c r="L786" s="143"/>
      <c r="M786" s="143"/>
      <c r="N786" s="170"/>
      <c r="O786" s="115"/>
      <c r="P786" s="115"/>
      <c r="Q786" s="116"/>
      <c r="R786" s="116"/>
      <c r="S786" s="117"/>
    </row>
    <row r="787" spans="1:19" s="146" customFormat="1" ht="18" customHeight="1">
      <c r="A787" s="141"/>
      <c r="B787" s="155"/>
      <c r="C787" s="1060"/>
      <c r="D787" s="1060"/>
      <c r="E787" s="154"/>
      <c r="F787" s="155"/>
      <c r="G787" s="140"/>
      <c r="H787" s="141"/>
      <c r="I787" s="210"/>
      <c r="J787" s="143"/>
      <c r="K787" s="210"/>
      <c r="L787" s="143"/>
      <c r="M787" s="143"/>
      <c r="N787" s="170"/>
      <c r="O787" s="115"/>
      <c r="P787" s="115"/>
      <c r="Q787" s="116"/>
      <c r="R787" s="116"/>
      <c r="S787" s="117"/>
    </row>
    <row r="788" spans="1:19" s="146" customFormat="1" ht="18" customHeight="1">
      <c r="A788" s="141"/>
      <c r="B788" s="155"/>
      <c r="C788" s="1060"/>
      <c r="D788" s="1060"/>
      <c r="E788" s="154"/>
      <c r="F788" s="155"/>
      <c r="G788" s="140"/>
      <c r="H788" s="141"/>
      <c r="I788" s="210"/>
      <c r="J788" s="143"/>
      <c r="K788" s="210"/>
      <c r="L788" s="143"/>
      <c r="M788" s="143"/>
      <c r="N788" s="170"/>
      <c r="O788" s="115"/>
      <c r="P788" s="115"/>
      <c r="Q788" s="116"/>
      <c r="R788" s="116"/>
      <c r="S788" s="117"/>
    </row>
    <row r="789" spans="1:19" s="146" customFormat="1" ht="18" customHeight="1">
      <c r="A789" s="141"/>
      <c r="B789" s="155"/>
      <c r="C789" s="1060"/>
      <c r="D789" s="1060"/>
      <c r="E789" s="154"/>
      <c r="F789" s="155"/>
      <c r="G789" s="140"/>
      <c r="H789" s="141"/>
      <c r="I789" s="210"/>
      <c r="J789" s="143"/>
      <c r="K789" s="210"/>
      <c r="L789" s="143"/>
      <c r="M789" s="143"/>
      <c r="N789" s="170"/>
      <c r="O789" s="115"/>
      <c r="P789" s="115"/>
      <c r="Q789" s="116"/>
      <c r="R789" s="116"/>
      <c r="S789" s="117"/>
    </row>
    <row r="790" spans="1:19" s="146" customFormat="1" ht="18" customHeight="1">
      <c r="A790" s="141"/>
      <c r="B790" s="155"/>
      <c r="C790" s="1060"/>
      <c r="D790" s="1060"/>
      <c r="E790" s="154"/>
      <c r="F790" s="155"/>
      <c r="G790" s="140"/>
      <c r="H790" s="141"/>
      <c r="I790" s="210"/>
      <c r="J790" s="143"/>
      <c r="K790" s="210"/>
      <c r="L790" s="143"/>
      <c r="M790" s="143"/>
      <c r="N790" s="170"/>
      <c r="O790" s="115"/>
      <c r="P790" s="115"/>
      <c r="Q790" s="116"/>
      <c r="R790" s="116"/>
      <c r="S790" s="117"/>
    </row>
    <row r="791" spans="1:19" s="146" customFormat="1" ht="18" customHeight="1">
      <c r="A791" s="141"/>
      <c r="B791" s="155"/>
      <c r="C791" s="1060"/>
      <c r="D791" s="1060"/>
      <c r="E791" s="154"/>
      <c r="F791" s="155"/>
      <c r="G791" s="140"/>
      <c r="H791" s="141"/>
      <c r="I791" s="210"/>
      <c r="J791" s="143"/>
      <c r="K791" s="210"/>
      <c r="L791" s="143"/>
      <c r="M791" s="143"/>
      <c r="N791" s="170"/>
      <c r="O791" s="115"/>
      <c r="P791" s="115"/>
      <c r="Q791" s="116"/>
      <c r="R791" s="116"/>
      <c r="S791" s="117"/>
    </row>
    <row r="792" spans="1:19" s="146" customFormat="1" ht="18" customHeight="1">
      <c r="A792" s="141"/>
      <c r="B792" s="155"/>
      <c r="C792" s="1060"/>
      <c r="D792" s="1060"/>
      <c r="E792" s="154"/>
      <c r="F792" s="155"/>
      <c r="G792" s="140"/>
      <c r="H792" s="141"/>
      <c r="I792" s="210"/>
      <c r="J792" s="143"/>
      <c r="K792" s="210"/>
      <c r="L792" s="143"/>
      <c r="M792" s="143"/>
      <c r="N792" s="170"/>
      <c r="O792" s="115"/>
      <c r="P792" s="115"/>
      <c r="Q792" s="116"/>
      <c r="R792" s="116"/>
      <c r="S792" s="117"/>
    </row>
    <row r="793" spans="1:19" s="146" customFormat="1" ht="18" customHeight="1">
      <c r="A793" s="141"/>
      <c r="B793" s="155"/>
      <c r="C793" s="1060"/>
      <c r="D793" s="1060"/>
      <c r="E793" s="154"/>
      <c r="F793" s="155"/>
      <c r="G793" s="140"/>
      <c r="H793" s="141"/>
      <c r="I793" s="210"/>
      <c r="J793" s="143"/>
      <c r="K793" s="210"/>
      <c r="L793" s="143"/>
      <c r="M793" s="143"/>
      <c r="N793" s="170"/>
      <c r="O793" s="115"/>
      <c r="P793" s="115"/>
      <c r="Q793" s="116"/>
      <c r="R793" s="116"/>
      <c r="S793" s="117"/>
    </row>
    <row r="794" spans="1:19" s="146" customFormat="1" ht="18" customHeight="1">
      <c r="A794" s="141"/>
      <c r="B794" s="155"/>
      <c r="C794" s="1060"/>
      <c r="D794" s="1060"/>
      <c r="E794" s="154"/>
      <c r="F794" s="155"/>
      <c r="G794" s="140"/>
      <c r="H794" s="141"/>
      <c r="I794" s="210"/>
      <c r="J794" s="143"/>
      <c r="K794" s="210"/>
      <c r="L794" s="143"/>
      <c r="M794" s="143"/>
      <c r="N794" s="170"/>
      <c r="O794" s="115"/>
      <c r="P794" s="115"/>
      <c r="Q794" s="116"/>
      <c r="R794" s="116"/>
      <c r="S794" s="117"/>
    </row>
    <row r="795" spans="1:19" s="146" customFormat="1" ht="18" customHeight="1">
      <c r="A795" s="141"/>
      <c r="B795" s="155"/>
      <c r="C795" s="1060"/>
      <c r="D795" s="1060"/>
      <c r="E795" s="154"/>
      <c r="F795" s="155"/>
      <c r="G795" s="140"/>
      <c r="H795" s="141"/>
      <c r="I795" s="210"/>
      <c r="J795" s="143"/>
      <c r="K795" s="210"/>
      <c r="L795" s="143"/>
      <c r="M795" s="143"/>
      <c r="N795" s="170"/>
      <c r="O795" s="115"/>
      <c r="P795" s="115"/>
      <c r="Q795" s="116"/>
      <c r="R795" s="116"/>
      <c r="S795" s="117"/>
    </row>
    <row r="796" spans="1:19" s="146" customFormat="1" ht="18" customHeight="1">
      <c r="A796" s="141"/>
      <c r="B796" s="155"/>
      <c r="C796" s="1060"/>
      <c r="D796" s="1060"/>
      <c r="E796" s="154"/>
      <c r="F796" s="155"/>
      <c r="G796" s="140"/>
      <c r="H796" s="141"/>
      <c r="I796" s="210"/>
      <c r="J796" s="143"/>
      <c r="K796" s="210"/>
      <c r="L796" s="143"/>
      <c r="M796" s="143"/>
      <c r="N796" s="170"/>
      <c r="O796" s="115"/>
      <c r="P796" s="115"/>
      <c r="Q796" s="116"/>
      <c r="R796" s="116"/>
      <c r="S796" s="117"/>
    </row>
    <row r="797" spans="1:19" s="146" customFormat="1" ht="18" customHeight="1">
      <c r="A797" s="141"/>
      <c r="B797" s="155"/>
      <c r="C797" s="1060"/>
      <c r="D797" s="1060"/>
      <c r="E797" s="154"/>
      <c r="F797" s="155"/>
      <c r="G797" s="140"/>
      <c r="H797" s="141"/>
      <c r="I797" s="210"/>
      <c r="J797" s="143"/>
      <c r="K797" s="210"/>
      <c r="L797" s="143"/>
      <c r="M797" s="143"/>
      <c r="N797" s="170"/>
      <c r="O797" s="115"/>
      <c r="P797" s="115"/>
      <c r="Q797" s="116"/>
      <c r="R797" s="116"/>
      <c r="S797" s="117"/>
    </row>
    <row r="798" spans="1:19" s="146" customFormat="1" ht="18" customHeight="1">
      <c r="A798" s="141"/>
      <c r="B798" s="155"/>
      <c r="C798" s="1060"/>
      <c r="D798" s="1060"/>
      <c r="E798" s="154"/>
      <c r="F798" s="155"/>
      <c r="G798" s="140"/>
      <c r="H798" s="141"/>
      <c r="I798" s="210"/>
      <c r="J798" s="143"/>
      <c r="K798" s="210"/>
      <c r="L798" s="143"/>
      <c r="M798" s="143"/>
      <c r="N798" s="170"/>
      <c r="O798" s="115"/>
      <c r="P798" s="115"/>
      <c r="Q798" s="116"/>
      <c r="R798" s="116"/>
      <c r="S798" s="117"/>
    </row>
    <row r="799" spans="1:19" s="146" customFormat="1" ht="18" customHeight="1">
      <c r="A799" s="141"/>
      <c r="B799" s="155"/>
      <c r="C799" s="1060"/>
      <c r="D799" s="1060"/>
      <c r="E799" s="154"/>
      <c r="F799" s="155"/>
      <c r="G799" s="140"/>
      <c r="H799" s="141"/>
      <c r="I799" s="210"/>
      <c r="J799" s="143"/>
      <c r="K799" s="210"/>
      <c r="L799" s="143"/>
      <c r="M799" s="143"/>
      <c r="N799" s="170"/>
      <c r="O799" s="115"/>
      <c r="P799" s="115"/>
      <c r="Q799" s="116"/>
      <c r="R799" s="116"/>
      <c r="S799" s="117"/>
    </row>
    <row r="800" spans="1:19" s="146" customFormat="1" ht="18" customHeight="1">
      <c r="A800" s="141"/>
      <c r="B800" s="155"/>
      <c r="C800" s="1060"/>
      <c r="D800" s="1060"/>
      <c r="E800" s="154"/>
      <c r="F800" s="155"/>
      <c r="G800" s="140"/>
      <c r="H800" s="141"/>
      <c r="I800" s="210"/>
      <c r="J800" s="143"/>
      <c r="K800" s="210"/>
      <c r="L800" s="143"/>
      <c r="M800" s="143"/>
      <c r="N800" s="170"/>
      <c r="O800" s="115"/>
      <c r="P800" s="115"/>
      <c r="Q800" s="116"/>
      <c r="R800" s="116"/>
      <c r="S800" s="117"/>
    </row>
    <row r="801" spans="1:19" s="146" customFormat="1" ht="18" customHeight="1">
      <c r="A801" s="141"/>
      <c r="B801" s="155"/>
      <c r="C801" s="1060"/>
      <c r="D801" s="1060"/>
      <c r="E801" s="154"/>
      <c r="F801" s="155"/>
      <c r="G801" s="140"/>
      <c r="H801" s="141"/>
      <c r="I801" s="210"/>
      <c r="J801" s="143"/>
      <c r="K801" s="210"/>
      <c r="L801" s="143"/>
      <c r="M801" s="143"/>
      <c r="N801" s="170"/>
      <c r="O801" s="115"/>
      <c r="P801" s="115"/>
      <c r="Q801" s="116"/>
      <c r="R801" s="116"/>
      <c r="S801" s="117"/>
    </row>
    <row r="802" spans="1:19" s="146" customFormat="1" ht="18" customHeight="1">
      <c r="A802" s="141"/>
      <c r="B802" s="155"/>
      <c r="C802" s="1060"/>
      <c r="D802" s="1060"/>
      <c r="E802" s="154"/>
      <c r="F802" s="155"/>
      <c r="G802" s="140"/>
      <c r="H802" s="141"/>
      <c r="I802" s="210"/>
      <c r="J802" s="143"/>
      <c r="K802" s="210"/>
      <c r="L802" s="143"/>
      <c r="M802" s="143"/>
      <c r="N802" s="170"/>
      <c r="O802" s="115"/>
      <c r="P802" s="115"/>
      <c r="Q802" s="116"/>
      <c r="R802" s="116"/>
      <c r="S802" s="117"/>
    </row>
    <row r="803" spans="1:19" s="168" customFormat="1" ht="18" customHeight="1" thickBot="1">
      <c r="A803" s="162"/>
      <c r="B803" s="159"/>
      <c r="C803" s="158"/>
      <c r="D803" s="158"/>
      <c r="E803" s="157"/>
      <c r="F803" s="159"/>
      <c r="G803" s="160"/>
      <c r="H803" s="161" t="s">
        <v>15</v>
      </c>
      <c r="I803" s="163"/>
      <c r="J803" s="163">
        <f>SUM(J761:J802)</f>
        <v>1619724</v>
      </c>
      <c r="K803" s="163"/>
      <c r="L803" s="163">
        <f>SUM(L761:L802)</f>
        <v>1482600</v>
      </c>
      <c r="M803" s="163">
        <f>SUM(M761:M802)</f>
        <v>-137124</v>
      </c>
      <c r="N803" s="169"/>
      <c r="O803" s="165"/>
      <c r="P803" s="165"/>
      <c r="Q803" s="166"/>
      <c r="R803" s="166"/>
      <c r="S803" s="167"/>
    </row>
    <row r="804" spans="1:19" s="146" customFormat="1" ht="18" customHeight="1" thickTop="1">
      <c r="A804" s="155"/>
      <c r="B804" s="155"/>
      <c r="C804" s="1060"/>
      <c r="D804" s="1060"/>
      <c r="E804" s="155"/>
      <c r="F804" s="155"/>
      <c r="G804" s="155"/>
      <c r="H804" s="1060"/>
      <c r="I804" s="155"/>
      <c r="J804" s="169"/>
      <c r="K804" s="172"/>
      <c r="L804" s="171"/>
      <c r="M804" s="171"/>
      <c r="N804" s="171"/>
      <c r="O804" s="115"/>
      <c r="P804" s="115"/>
      <c r="Q804" s="116"/>
      <c r="R804" s="116"/>
      <c r="S804" s="117"/>
    </row>
    <row r="805" spans="1:19" s="146" customFormat="1" ht="18" customHeight="1">
      <c r="A805" s="155"/>
      <c r="B805" s="155"/>
      <c r="C805" s="1060"/>
      <c r="D805" s="1060"/>
      <c r="E805" s="155"/>
      <c r="F805" s="155"/>
      <c r="G805" s="155"/>
      <c r="H805" s="155"/>
      <c r="I805" s="155"/>
      <c r="J805" s="155"/>
      <c r="K805" s="172"/>
      <c r="L805" s="170"/>
      <c r="M805" s="170"/>
      <c r="N805" s="170"/>
      <c r="O805" s="115"/>
      <c r="P805" s="115"/>
      <c r="Q805" s="116"/>
      <c r="R805" s="116"/>
      <c r="S805" s="117"/>
    </row>
    <row r="806" spans="1:19" s="146" customFormat="1" ht="18" customHeight="1">
      <c r="A806" s="155"/>
      <c r="B806" s="155"/>
      <c r="C806" s="1060"/>
      <c r="D806" s="1060"/>
      <c r="E806" s="155"/>
      <c r="F806" s="155"/>
      <c r="G806" s="155"/>
      <c r="H806" s="155"/>
      <c r="I806" s="155"/>
      <c r="J806" s="155"/>
      <c r="K806" s="172"/>
      <c r="L806" s="170"/>
      <c r="M806" s="170"/>
      <c r="N806" s="170"/>
      <c r="O806" s="115"/>
      <c r="P806" s="115"/>
      <c r="Q806" s="116"/>
      <c r="R806" s="116"/>
      <c r="S806" s="117"/>
    </row>
    <row r="807" spans="1:19" s="146" customFormat="1" ht="18" customHeight="1">
      <c r="A807" s="173" t="s">
        <v>626</v>
      </c>
      <c r="B807" s="173"/>
      <c r="C807" s="1052"/>
      <c r="D807" s="1052"/>
      <c r="E807" s="174"/>
      <c r="F807" s="174"/>
      <c r="G807" s="174"/>
      <c r="H807" s="173" t="s">
        <v>627</v>
      </c>
      <c r="I807" s="174"/>
      <c r="K807" s="173" t="s">
        <v>258</v>
      </c>
      <c r="L807" s="175"/>
      <c r="M807" s="175"/>
      <c r="N807" s="175"/>
      <c r="O807" s="115"/>
      <c r="P807" s="115"/>
      <c r="Q807" s="116"/>
      <c r="R807" s="116"/>
      <c r="S807" s="117"/>
    </row>
    <row r="808" spans="1:19" s="146" customFormat="1" ht="18" customHeight="1">
      <c r="A808" s="174"/>
      <c r="B808" s="174"/>
      <c r="C808" s="1053"/>
      <c r="D808" s="1053"/>
      <c r="E808" s="174"/>
      <c r="F808" s="174"/>
      <c r="G808" s="174"/>
      <c r="H808" s="174"/>
      <c r="I808" s="174"/>
      <c r="J808" s="174"/>
      <c r="K808" s="176"/>
      <c r="L808" s="175"/>
      <c r="M808" s="175"/>
      <c r="N808" s="175"/>
      <c r="O808" s="115"/>
      <c r="P808" s="115"/>
      <c r="Q808" s="116"/>
      <c r="R808" s="116"/>
      <c r="S808" s="117"/>
    </row>
    <row r="809" spans="1:19" s="146" customFormat="1" ht="18" customHeight="1">
      <c r="A809" s="1310" t="s">
        <v>65</v>
      </c>
      <c r="B809" s="1310"/>
      <c r="C809" s="1310"/>
      <c r="D809" s="1310"/>
      <c r="E809" s="1310"/>
      <c r="F809" s="1310"/>
      <c r="G809" s="174"/>
      <c r="H809" s="1310" t="s">
        <v>17</v>
      </c>
      <c r="I809" s="1310"/>
      <c r="J809" s="174"/>
      <c r="K809" s="1310" t="s">
        <v>1454</v>
      </c>
      <c r="L809" s="1310"/>
      <c r="M809" s="1310"/>
      <c r="N809" s="1052"/>
      <c r="O809" s="115"/>
      <c r="P809" s="115"/>
      <c r="Q809" s="116"/>
      <c r="R809" s="116"/>
      <c r="S809" s="117"/>
    </row>
    <row r="810" spans="1:19" s="146" customFormat="1" ht="18" customHeight="1">
      <c r="A810" s="1294" t="s">
        <v>430</v>
      </c>
      <c r="B810" s="1294"/>
      <c r="C810" s="1294"/>
      <c r="D810" s="1294"/>
      <c r="E810" s="1294"/>
      <c r="F810" s="1294"/>
      <c r="G810" s="177"/>
      <c r="H810" s="1294" t="s">
        <v>18</v>
      </c>
      <c r="I810" s="1294"/>
      <c r="J810" s="1052"/>
      <c r="K810" s="1294" t="s">
        <v>14</v>
      </c>
      <c r="L810" s="1294"/>
      <c r="M810" s="1294"/>
      <c r="N810" s="1053"/>
      <c r="O810" s="115"/>
      <c r="P810" s="115"/>
      <c r="Q810" s="116"/>
      <c r="R810" s="116"/>
      <c r="S810" s="117"/>
    </row>
    <row r="811" spans="1:19" ht="18" customHeight="1">
      <c r="A811" s="111"/>
      <c r="B811" s="111"/>
      <c r="C811" s="1050"/>
      <c r="D811" s="1050"/>
      <c r="E811" s="1321"/>
      <c r="F811" s="1321"/>
      <c r="G811" s="1321"/>
      <c r="H811" s="1050"/>
      <c r="I811" s="1050"/>
      <c r="J811" s="1050"/>
      <c r="K811" s="1321"/>
      <c r="L811" s="1321"/>
      <c r="M811" s="1321"/>
      <c r="N811" s="1050"/>
    </row>
    <row r="812" spans="1:19" ht="18" customHeight="1">
      <c r="A812" s="111"/>
      <c r="B812" s="111"/>
      <c r="C812" s="1050"/>
      <c r="D812" s="1050"/>
      <c r="E812" s="1050"/>
      <c r="F812" s="1050"/>
      <c r="G812" s="1050"/>
      <c r="H812" s="1050"/>
      <c r="I812" s="1050"/>
      <c r="J812" s="1050"/>
      <c r="K812" s="1050"/>
      <c r="L812" s="1050"/>
      <c r="M812" s="1050"/>
      <c r="N812" s="1050"/>
    </row>
    <row r="813" spans="1:19" ht="18" customHeight="1">
      <c r="A813" s="111"/>
      <c r="B813" s="111"/>
      <c r="C813" s="1050"/>
      <c r="D813" s="1050"/>
      <c r="E813" s="1050"/>
      <c r="F813" s="1050"/>
      <c r="G813" s="1050"/>
      <c r="H813" s="1050"/>
      <c r="I813" s="1050"/>
      <c r="J813" s="1050"/>
      <c r="K813" s="1050"/>
      <c r="L813" s="1050"/>
      <c r="M813" s="1050"/>
      <c r="N813" s="1050"/>
    </row>
    <row r="814" spans="1:19" ht="18" customHeight="1">
      <c r="A814" s="111"/>
      <c r="B814" s="111"/>
      <c r="C814" s="1050"/>
      <c r="D814" s="1050"/>
      <c r="E814" s="1050"/>
      <c r="F814" s="1050"/>
      <c r="G814" s="1050"/>
      <c r="H814" s="1050"/>
      <c r="I814" s="1050"/>
      <c r="J814" s="1050"/>
      <c r="K814" s="1050"/>
      <c r="L814" s="1050"/>
      <c r="M814" s="1050"/>
      <c r="N814" s="1050"/>
    </row>
    <row r="815" spans="1:19" ht="18" customHeight="1">
      <c r="A815" s="111"/>
      <c r="B815" s="111"/>
      <c r="C815" s="1050"/>
      <c r="D815" s="1050"/>
      <c r="E815" s="1050"/>
      <c r="F815" s="1050"/>
      <c r="G815" s="1050"/>
      <c r="H815" s="1050"/>
      <c r="I815" s="1050"/>
      <c r="J815" s="1050"/>
      <c r="K815" s="1050"/>
      <c r="L815" s="1050"/>
      <c r="M815" s="1050"/>
      <c r="N815" s="1050"/>
    </row>
    <row r="816" spans="1:19" ht="18" customHeight="1">
      <c r="A816" s="111"/>
      <c r="B816" s="111"/>
      <c r="C816" s="1050"/>
      <c r="D816" s="1050"/>
      <c r="E816" s="111"/>
      <c r="F816" s="111"/>
      <c r="G816" s="111"/>
      <c r="H816" s="111"/>
      <c r="I816" s="111"/>
      <c r="J816" s="111"/>
      <c r="K816" s="112"/>
      <c r="M816" s="113"/>
      <c r="N816" s="113"/>
    </row>
    <row r="817" spans="1:15" ht="18" customHeight="1">
      <c r="A817" s="111"/>
      <c r="B817" s="111"/>
      <c r="C817" s="1050"/>
      <c r="D817" s="1050"/>
      <c r="E817" s="111"/>
      <c r="F817" s="111"/>
      <c r="G817" s="111"/>
      <c r="H817" s="111"/>
      <c r="I817" s="111"/>
      <c r="J817" s="111"/>
      <c r="K817" s="112"/>
      <c r="M817" s="113"/>
      <c r="N817" s="113"/>
    </row>
    <row r="818" spans="1:15" ht="20.100000000000001" customHeight="1">
      <c r="A818" s="1263" t="s">
        <v>1627</v>
      </c>
      <c r="B818" s="1263"/>
      <c r="C818" s="1263"/>
      <c r="D818" s="1263"/>
      <c r="E818" s="1263"/>
      <c r="F818" s="1263"/>
      <c r="G818" s="1263"/>
      <c r="H818" s="1263"/>
      <c r="I818" s="1263"/>
      <c r="J818" s="1263"/>
      <c r="K818" s="1263"/>
      <c r="L818" s="1263"/>
      <c r="M818" s="1263"/>
      <c r="N818" s="1058"/>
    </row>
    <row r="819" spans="1:15" ht="18" customHeight="1">
      <c r="A819" s="110"/>
      <c r="B819" s="110"/>
      <c r="C819" s="1057"/>
      <c r="D819" s="1057"/>
      <c r="E819" s="111"/>
      <c r="F819" s="111"/>
      <c r="G819" s="111"/>
      <c r="H819" s="111"/>
      <c r="I819" s="111"/>
      <c r="J819" s="111"/>
      <c r="K819" s="112"/>
      <c r="M819" s="114"/>
      <c r="N819" s="114"/>
    </row>
    <row r="820" spans="1:15" ht="18" customHeight="1">
      <c r="A820" s="1319" t="s">
        <v>1675</v>
      </c>
      <c r="B820" s="1319"/>
      <c r="C820" s="1319"/>
      <c r="D820" s="1319"/>
      <c r="E820" s="1319"/>
      <c r="F820" s="1319"/>
      <c r="G820" s="1319"/>
      <c r="H820" s="1319"/>
      <c r="I820" s="1319"/>
      <c r="J820" s="1319"/>
      <c r="K820" s="1319"/>
      <c r="L820" s="1319"/>
      <c r="M820" s="1319"/>
      <c r="N820" s="1048"/>
    </row>
    <row r="821" spans="1:15" ht="18" customHeight="1">
      <c r="A821" s="1320" t="s">
        <v>358</v>
      </c>
      <c r="B821" s="1320"/>
      <c r="C821" s="1320"/>
      <c r="D821" s="1320"/>
      <c r="E821" s="1320"/>
      <c r="F821" s="1320"/>
      <c r="G821" s="1320"/>
      <c r="H821" s="1320"/>
      <c r="I821" s="1320"/>
      <c r="J821" s="1320"/>
      <c r="K821" s="1320"/>
      <c r="L821" s="1320"/>
      <c r="M821" s="1320"/>
      <c r="N821" s="1049"/>
    </row>
    <row r="822" spans="1:15" ht="18" customHeight="1">
      <c r="A822" s="1321"/>
      <c r="B822" s="1321"/>
      <c r="C822" s="1321"/>
      <c r="D822" s="1321"/>
      <c r="E822" s="1321"/>
      <c r="F822" s="1321"/>
      <c r="G822" s="1321"/>
      <c r="H822" s="1321"/>
      <c r="I822" s="1321"/>
      <c r="J822" s="1321"/>
      <c r="K822" s="1321"/>
      <c r="L822" s="1321"/>
      <c r="M822" s="1321"/>
      <c r="N822" s="1050"/>
    </row>
    <row r="823" spans="1:15" ht="18" customHeight="1">
      <c r="A823" s="1050"/>
      <c r="B823" s="1050"/>
      <c r="C823" s="1050"/>
      <c r="D823" s="1050"/>
      <c r="E823" s="1050"/>
      <c r="F823" s="1050"/>
      <c r="G823" s="1050"/>
      <c r="H823" s="1050"/>
      <c r="I823" s="1050"/>
      <c r="J823" s="1050"/>
      <c r="K823" s="1050"/>
      <c r="L823" s="1050"/>
      <c r="M823" s="1050"/>
      <c r="N823" s="1050"/>
    </row>
    <row r="824" spans="1:15" ht="18" customHeight="1">
      <c r="A824" s="111" t="s">
        <v>450</v>
      </c>
      <c r="B824" s="111"/>
      <c r="C824" s="111" t="s">
        <v>448</v>
      </c>
      <c r="D824" s="111" t="s">
        <v>318</v>
      </c>
      <c r="E824" s="111"/>
      <c r="F824" s="111"/>
      <c r="G824" s="111"/>
      <c r="H824" s="111"/>
      <c r="I824" s="1050"/>
      <c r="J824" s="1050"/>
      <c r="K824" s="1050"/>
      <c r="L824" s="1050"/>
      <c r="M824" s="1050"/>
      <c r="N824" s="1050"/>
    </row>
    <row r="825" spans="1:15" ht="18" customHeight="1">
      <c r="A825" s="111" t="s">
        <v>458</v>
      </c>
      <c r="B825" s="111"/>
      <c r="C825" s="111" t="s">
        <v>448</v>
      </c>
      <c r="D825" s="111" t="s">
        <v>471</v>
      </c>
      <c r="E825" s="111"/>
      <c r="F825" s="111"/>
      <c r="G825" s="111"/>
      <c r="H825" s="111"/>
      <c r="I825" s="1050"/>
      <c r="J825" s="1050"/>
      <c r="K825" s="1050"/>
      <c r="L825" s="1050"/>
      <c r="M825" s="1050"/>
      <c r="N825" s="1050"/>
      <c r="O825" s="180"/>
    </row>
    <row r="826" spans="1:15" ht="18" customHeight="1" thickBot="1">
      <c r="A826" s="111" t="s">
        <v>465</v>
      </c>
      <c r="B826" s="111"/>
      <c r="C826" s="111" t="s">
        <v>448</v>
      </c>
      <c r="D826" s="111" t="s">
        <v>679</v>
      </c>
      <c r="E826" s="111"/>
      <c r="F826" s="111"/>
      <c r="G826" s="111"/>
      <c r="H826" s="111"/>
      <c r="I826" s="1050"/>
      <c r="J826" s="1050"/>
      <c r="K826" s="1050"/>
      <c r="L826" s="1050"/>
      <c r="M826" s="1050"/>
      <c r="N826" s="1050"/>
      <c r="O826" s="180"/>
    </row>
    <row r="827" spans="1:15" ht="18" customHeight="1">
      <c r="A827" s="1322" t="s">
        <v>631</v>
      </c>
      <c r="B827" s="1323"/>
      <c r="C827" s="1323"/>
      <c r="D827" s="1323"/>
      <c r="E827" s="1324"/>
      <c r="F827" s="1323"/>
      <c r="G827" s="1325"/>
      <c r="H827" s="121"/>
      <c r="I827" s="1326" t="s">
        <v>635</v>
      </c>
      <c r="J827" s="1327"/>
      <c r="K827" s="1326" t="s">
        <v>635</v>
      </c>
      <c r="L827" s="1327"/>
      <c r="M827" s="122"/>
      <c r="N827" s="1012"/>
      <c r="O827" s="180"/>
    </row>
    <row r="828" spans="1:15" ht="18" customHeight="1">
      <c r="A828" s="123" t="s">
        <v>632</v>
      </c>
      <c r="B828" s="1311" t="s">
        <v>633</v>
      </c>
      <c r="C828" s="1312"/>
      <c r="D828" s="1313"/>
      <c r="E828" s="1314" t="s">
        <v>44</v>
      </c>
      <c r="F828" s="1315"/>
      <c r="G828" s="1316"/>
      <c r="H828" s="1054" t="s">
        <v>45</v>
      </c>
      <c r="I828" s="1314" t="s">
        <v>1502</v>
      </c>
      <c r="J828" s="1316"/>
      <c r="K828" s="1315" t="s">
        <v>1676</v>
      </c>
      <c r="L828" s="1316"/>
      <c r="M828" s="124" t="s">
        <v>46</v>
      </c>
      <c r="N828" s="1013"/>
    </row>
    <row r="829" spans="1:15" ht="18" customHeight="1">
      <c r="A829" s="125"/>
      <c r="B829" s="1054"/>
      <c r="C829" s="1055"/>
      <c r="D829" s="1055"/>
      <c r="E829" s="1054"/>
      <c r="F829" s="1055"/>
      <c r="G829" s="1056"/>
      <c r="H829" s="1054" t="s">
        <v>47</v>
      </c>
      <c r="I829" s="1317"/>
      <c r="J829" s="1318"/>
      <c r="K829" s="1317"/>
      <c r="L829" s="1318"/>
      <c r="M829" s="124" t="s">
        <v>48</v>
      </c>
      <c r="N829" s="1013"/>
    </row>
    <row r="830" spans="1:15" ht="18" customHeight="1">
      <c r="A830" s="125"/>
      <c r="B830" s="1054"/>
      <c r="C830" s="1055"/>
      <c r="D830" s="1055"/>
      <c r="E830" s="1054"/>
      <c r="F830" s="1055"/>
      <c r="G830" s="126"/>
      <c r="H830" s="127"/>
      <c r="I830" s="128" t="s">
        <v>634</v>
      </c>
      <c r="J830" s="129" t="s">
        <v>49</v>
      </c>
      <c r="K830" s="128" t="s">
        <v>634</v>
      </c>
      <c r="L830" s="129" t="s">
        <v>49</v>
      </c>
      <c r="M830" s="124"/>
      <c r="N830" s="120" t="s">
        <v>1628</v>
      </c>
    </row>
    <row r="831" spans="1:15" ht="18" customHeight="1" thickBot="1">
      <c r="A831" s="130"/>
      <c r="B831" s="1307"/>
      <c r="C831" s="1308"/>
      <c r="D831" s="1309"/>
      <c r="E831" s="1307"/>
      <c r="F831" s="1308"/>
      <c r="G831" s="1309"/>
      <c r="H831" s="131"/>
      <c r="I831" s="131"/>
      <c r="J831" s="131"/>
      <c r="K831" s="131"/>
      <c r="L831" s="131"/>
      <c r="M831" s="132"/>
      <c r="N831" s="1019" t="s">
        <v>1629</v>
      </c>
    </row>
    <row r="832" spans="1:15" ht="18" customHeight="1">
      <c r="A832" s="181"/>
      <c r="B832" s="119"/>
      <c r="C832" s="119"/>
      <c r="D832" s="119"/>
      <c r="E832" s="133"/>
      <c r="F832" s="119"/>
      <c r="G832" s="134"/>
      <c r="H832" s="135"/>
      <c r="I832" s="182"/>
      <c r="J832" s="137"/>
      <c r="K832" s="182"/>
      <c r="L832" s="137"/>
      <c r="M832" s="137"/>
      <c r="N832" s="1016"/>
    </row>
    <row r="833" spans="1:19" s="146" customFormat="1" ht="18" customHeight="1">
      <c r="A833" s="183">
        <v>1</v>
      </c>
      <c r="B833" s="1060"/>
      <c r="C833" s="1060"/>
      <c r="D833" s="1060"/>
      <c r="E833" s="154" t="s">
        <v>77</v>
      </c>
      <c r="F833" s="1060"/>
      <c r="G833" s="140"/>
      <c r="H833" s="141" t="s">
        <v>26</v>
      </c>
      <c r="I833" s="184" t="s">
        <v>78</v>
      </c>
      <c r="J833" s="143">
        <v>990948</v>
      </c>
      <c r="K833" s="184" t="s">
        <v>78</v>
      </c>
      <c r="L833" s="143">
        <v>1010004</v>
      </c>
      <c r="M833" s="144">
        <f>L833-J833</f>
        <v>19056</v>
      </c>
      <c r="N833" s="1015">
        <f>L833/12</f>
        <v>84167</v>
      </c>
      <c r="O833" s="115">
        <f>L833-J833</f>
        <v>19056</v>
      </c>
      <c r="P833" s="115">
        <f>O833-M833</f>
        <v>0</v>
      </c>
      <c r="Q833" s="116">
        <v>69142</v>
      </c>
      <c r="R833" s="116">
        <f>Q833*12</f>
        <v>829704</v>
      </c>
      <c r="S833" s="145">
        <f>R833-L833</f>
        <v>-180300</v>
      </c>
    </row>
    <row r="834" spans="1:19" s="146" customFormat="1" ht="18" customHeight="1">
      <c r="A834" s="183"/>
      <c r="B834" s="1060"/>
      <c r="C834" s="1060"/>
      <c r="D834" s="1060"/>
      <c r="E834" s="154" t="s">
        <v>902</v>
      </c>
      <c r="F834" s="1060"/>
      <c r="G834" s="140"/>
      <c r="H834" s="141"/>
      <c r="I834" s="184"/>
      <c r="J834" s="143"/>
      <c r="K834" s="184"/>
      <c r="L834" s="143"/>
      <c r="M834" s="144"/>
      <c r="N834" s="1015"/>
      <c r="O834" s="115"/>
      <c r="P834" s="115"/>
      <c r="Q834" s="116"/>
      <c r="R834" s="116"/>
      <c r="S834" s="145"/>
    </row>
    <row r="835" spans="1:19" s="146" customFormat="1" ht="18" customHeight="1">
      <c r="A835" s="183"/>
      <c r="B835" s="1060"/>
      <c r="C835" s="1060"/>
      <c r="D835" s="1060"/>
      <c r="E835" s="154"/>
      <c r="F835" s="1060"/>
      <c r="G835" s="140"/>
      <c r="H835" s="141"/>
      <c r="I835" s="184"/>
      <c r="J835" s="143"/>
      <c r="K835" s="184"/>
      <c r="L835" s="143"/>
      <c r="M835" s="144"/>
      <c r="N835" s="1015"/>
      <c r="O835" s="115"/>
      <c r="P835" s="115"/>
      <c r="Q835" s="116"/>
      <c r="R835" s="116"/>
      <c r="S835" s="145"/>
    </row>
    <row r="836" spans="1:19" s="146" customFormat="1" ht="18" customHeight="1">
      <c r="A836" s="183"/>
      <c r="B836" s="1060"/>
      <c r="C836" s="1060"/>
      <c r="D836" s="1060"/>
      <c r="E836" s="154"/>
      <c r="F836" s="1060"/>
      <c r="G836" s="140"/>
      <c r="H836" s="141"/>
      <c r="I836" s="185"/>
      <c r="J836" s="149"/>
      <c r="K836" s="185"/>
      <c r="L836" s="149"/>
      <c r="M836" s="143"/>
      <c r="N836" s="170"/>
      <c r="O836" s="115"/>
      <c r="P836" s="115"/>
      <c r="Q836" s="116"/>
      <c r="R836" s="116"/>
      <c r="S836" s="117"/>
    </row>
    <row r="837" spans="1:19" s="146" customFormat="1" ht="18" customHeight="1">
      <c r="A837" s="183"/>
      <c r="B837" s="1060"/>
      <c r="C837" s="1060"/>
      <c r="D837" s="1060"/>
      <c r="E837" s="154"/>
      <c r="F837" s="1060"/>
      <c r="G837" s="140"/>
      <c r="H837" s="141"/>
      <c r="I837" s="185"/>
      <c r="J837" s="143"/>
      <c r="K837" s="185"/>
      <c r="L837" s="143"/>
      <c r="M837" s="143"/>
      <c r="N837" s="170"/>
      <c r="O837" s="115"/>
      <c r="P837" s="115"/>
      <c r="Q837" s="116"/>
      <c r="R837" s="116"/>
      <c r="S837" s="117"/>
    </row>
    <row r="838" spans="1:19" s="146" customFormat="1" ht="18" customHeight="1">
      <c r="A838" s="183"/>
      <c r="B838" s="1060"/>
      <c r="C838" s="1060"/>
      <c r="D838" s="1060"/>
      <c r="E838" s="154"/>
      <c r="F838" s="1060"/>
      <c r="G838" s="140"/>
      <c r="H838" s="141"/>
      <c r="I838" s="185"/>
      <c r="J838" s="143"/>
      <c r="K838" s="185"/>
      <c r="L838" s="143"/>
      <c r="M838" s="144"/>
      <c r="N838" s="1015"/>
      <c r="O838" s="115"/>
      <c r="P838" s="115"/>
      <c r="Q838" s="116"/>
      <c r="R838" s="116"/>
      <c r="S838" s="117"/>
    </row>
    <row r="839" spans="1:19" s="146" customFormat="1" ht="18" customHeight="1">
      <c r="A839" s="183">
        <v>2</v>
      </c>
      <c r="B839" s="1060"/>
      <c r="C839" s="1060"/>
      <c r="D839" s="1060"/>
      <c r="E839" s="154" t="s">
        <v>112</v>
      </c>
      <c r="F839" s="1060"/>
      <c r="G839" s="140"/>
      <c r="H839" s="141" t="s">
        <v>999</v>
      </c>
      <c r="I839" s="184" t="s">
        <v>391</v>
      </c>
      <c r="J839" s="143">
        <v>187848</v>
      </c>
      <c r="K839" s="184" t="s">
        <v>391</v>
      </c>
      <c r="L839" s="143">
        <v>195540</v>
      </c>
      <c r="M839" s="144">
        <f>L839-J839</f>
        <v>7692</v>
      </c>
      <c r="N839" s="1015">
        <f t="shared" ref="N839:N840" si="12">L839/12</f>
        <v>16295</v>
      </c>
      <c r="O839" s="115">
        <f>L839-J839</f>
        <v>7692</v>
      </c>
      <c r="P839" s="115">
        <f>O839-M839</f>
        <v>0</v>
      </c>
      <c r="Q839" s="116">
        <v>13968</v>
      </c>
      <c r="R839" s="116">
        <f>Q839*12</f>
        <v>167616</v>
      </c>
      <c r="S839" s="145">
        <f>R839-L839</f>
        <v>-27924</v>
      </c>
    </row>
    <row r="840" spans="1:19" s="146" customFormat="1" ht="18" customHeight="1">
      <c r="A840" s="183"/>
      <c r="B840" s="1060"/>
      <c r="C840" s="1060"/>
      <c r="D840" s="1060"/>
      <c r="E840" s="154"/>
      <c r="F840" s="1060"/>
      <c r="G840" s="140"/>
      <c r="H840" s="141"/>
      <c r="I840" s="184"/>
      <c r="J840" s="143"/>
      <c r="K840" s="184"/>
      <c r="L840" s="143"/>
      <c r="M840" s="144"/>
      <c r="N840" s="1015">
        <f t="shared" si="12"/>
        <v>0</v>
      </c>
      <c r="O840" s="115"/>
      <c r="P840" s="115"/>
      <c r="Q840" s="116"/>
      <c r="R840" s="116"/>
      <c r="S840" s="145"/>
    </row>
    <row r="841" spans="1:19" s="146" customFormat="1" ht="18" customHeight="1">
      <c r="A841" s="183"/>
      <c r="B841" s="1060"/>
      <c r="C841" s="1060"/>
      <c r="D841" s="1060"/>
      <c r="E841" s="154"/>
      <c r="F841" s="1060"/>
      <c r="G841" s="140"/>
      <c r="H841" s="141"/>
      <c r="I841" s="184"/>
      <c r="J841" s="143"/>
      <c r="K841" s="184"/>
      <c r="L841" s="149"/>
      <c r="M841" s="144"/>
      <c r="N841" s="1015"/>
      <c r="O841" s="115"/>
      <c r="P841" s="115"/>
      <c r="Q841" s="116"/>
      <c r="R841" s="116"/>
      <c r="S841" s="145"/>
    </row>
    <row r="842" spans="1:19" s="146" customFormat="1" ht="18" customHeight="1">
      <c r="A842" s="183"/>
      <c r="B842" s="1060"/>
      <c r="C842" s="1060"/>
      <c r="D842" s="1060"/>
      <c r="E842" s="154"/>
      <c r="F842" s="1060"/>
      <c r="G842" s="140"/>
      <c r="H842" s="141"/>
      <c r="I842" s="184"/>
      <c r="J842" s="143"/>
      <c r="K842" s="184"/>
      <c r="L842" s="149"/>
      <c r="M842" s="144"/>
      <c r="N842" s="1015"/>
      <c r="O842" s="115"/>
      <c r="P842" s="115"/>
      <c r="Q842" s="116"/>
      <c r="R842" s="116"/>
      <c r="S842" s="145"/>
    </row>
    <row r="843" spans="1:19" s="146" customFormat="1" ht="18" customHeight="1">
      <c r="A843" s="183"/>
      <c r="B843" s="1060"/>
      <c r="C843" s="1060"/>
      <c r="D843" s="1060"/>
      <c r="E843" s="154"/>
      <c r="F843" s="1060"/>
      <c r="G843" s="140"/>
      <c r="H843" s="141"/>
      <c r="I843" s="183"/>
      <c r="J843" s="143"/>
      <c r="K843" s="183"/>
      <c r="L843" s="143"/>
      <c r="M843" s="143"/>
      <c r="N843" s="170"/>
      <c r="O843" s="115"/>
      <c r="P843" s="115"/>
      <c r="Q843" s="116"/>
      <c r="R843" s="116"/>
      <c r="S843" s="117"/>
    </row>
    <row r="844" spans="1:19" s="146" customFormat="1" ht="18" customHeight="1">
      <c r="A844" s="183">
        <v>3</v>
      </c>
      <c r="B844" s="1060"/>
      <c r="C844" s="1060"/>
      <c r="D844" s="1060"/>
      <c r="E844" s="154" t="s">
        <v>421</v>
      </c>
      <c r="F844" s="1060"/>
      <c r="G844" s="140"/>
      <c r="H844" s="141" t="s">
        <v>61</v>
      </c>
      <c r="I844" s="184" t="s">
        <v>134</v>
      </c>
      <c r="J844" s="143">
        <v>246444</v>
      </c>
      <c r="K844" s="184" t="s">
        <v>134</v>
      </c>
      <c r="L844" s="143">
        <v>262380</v>
      </c>
      <c r="M844" s="144">
        <f>L844-J844</f>
        <v>15936</v>
      </c>
      <c r="N844" s="1015">
        <f t="shared" ref="N844:N845" si="13">L844/12</f>
        <v>21865</v>
      </c>
      <c r="O844" s="115">
        <f>L844-J844</f>
        <v>15936</v>
      </c>
      <c r="P844" s="115">
        <f>O844-M844</f>
        <v>0</v>
      </c>
      <c r="Q844" s="116">
        <v>17152</v>
      </c>
      <c r="R844" s="116">
        <f>Q844*12</f>
        <v>205824</v>
      </c>
      <c r="S844" s="145">
        <f>R844-L844</f>
        <v>-56556</v>
      </c>
    </row>
    <row r="845" spans="1:19" s="146" customFormat="1" ht="18" customHeight="1">
      <c r="A845" s="183"/>
      <c r="B845" s="1060"/>
      <c r="C845" s="1060"/>
      <c r="D845" s="1060"/>
      <c r="E845" s="154"/>
      <c r="F845" s="1060"/>
      <c r="G845" s="140"/>
      <c r="H845" s="141"/>
      <c r="I845" s="184"/>
      <c r="J845" s="143"/>
      <c r="K845" s="184"/>
      <c r="L845" s="143"/>
      <c r="M845" s="144"/>
      <c r="N845" s="1015">
        <f t="shared" si="13"/>
        <v>0</v>
      </c>
      <c r="O845" s="115"/>
      <c r="P845" s="115"/>
      <c r="Q845" s="116"/>
      <c r="R845" s="116"/>
      <c r="S845" s="145"/>
    </row>
    <row r="846" spans="1:19" s="146" customFormat="1" ht="18" customHeight="1">
      <c r="A846" s="183"/>
      <c r="B846" s="1060"/>
      <c r="C846" s="1060"/>
      <c r="D846" s="1060"/>
      <c r="E846" s="154"/>
      <c r="F846" s="1060"/>
      <c r="G846" s="140"/>
      <c r="H846" s="141"/>
      <c r="I846" s="183"/>
      <c r="J846" s="143"/>
      <c r="K846" s="183"/>
      <c r="L846" s="149"/>
      <c r="M846" s="143"/>
      <c r="N846" s="170"/>
      <c r="O846" s="115"/>
      <c r="P846" s="115"/>
      <c r="Q846" s="116"/>
      <c r="R846" s="116"/>
      <c r="S846" s="117"/>
    </row>
    <row r="847" spans="1:19" s="146" customFormat="1" ht="18" customHeight="1">
      <c r="A847" s="183"/>
      <c r="B847" s="1060"/>
      <c r="C847" s="1060"/>
      <c r="D847" s="1060"/>
      <c r="E847" s="154"/>
      <c r="F847" s="1060"/>
      <c r="G847" s="140"/>
      <c r="H847" s="141"/>
      <c r="I847" s="183"/>
      <c r="J847" s="143"/>
      <c r="K847" s="183"/>
      <c r="L847" s="143"/>
      <c r="M847" s="143"/>
      <c r="N847" s="170"/>
      <c r="O847" s="115"/>
      <c r="P847" s="115"/>
      <c r="Q847" s="116"/>
      <c r="R847" s="116"/>
      <c r="S847" s="117"/>
    </row>
    <row r="848" spans="1:19" s="146" customFormat="1" ht="18" customHeight="1">
      <c r="A848" s="183"/>
      <c r="B848" s="1060"/>
      <c r="C848" s="1060"/>
      <c r="D848" s="1060"/>
      <c r="E848" s="154"/>
      <c r="F848" s="1060"/>
      <c r="G848" s="140"/>
      <c r="H848" s="141"/>
      <c r="I848" s="183"/>
      <c r="J848" s="143"/>
      <c r="K848" s="183"/>
      <c r="L848" s="143"/>
      <c r="M848" s="143"/>
      <c r="N848" s="170"/>
      <c r="O848" s="115"/>
      <c r="P848" s="115"/>
      <c r="Q848" s="116"/>
      <c r="R848" s="116"/>
      <c r="S848" s="117"/>
    </row>
    <row r="849" spans="1:19" s="146" customFormat="1" ht="18" customHeight="1">
      <c r="A849" s="183">
        <v>4</v>
      </c>
      <c r="B849" s="1060"/>
      <c r="C849" s="1060"/>
      <c r="D849" s="1060"/>
      <c r="E849" s="154" t="s">
        <v>423</v>
      </c>
      <c r="F849" s="1060"/>
      <c r="G849" s="140"/>
      <c r="H849" s="234" t="s">
        <v>966</v>
      </c>
      <c r="I849" s="184" t="s">
        <v>134</v>
      </c>
      <c r="J849" s="143">
        <v>246444</v>
      </c>
      <c r="K849" s="184" t="s">
        <v>134</v>
      </c>
      <c r="L849" s="143">
        <v>262380</v>
      </c>
      <c r="M849" s="144">
        <f>L849-J849</f>
        <v>15936</v>
      </c>
      <c r="N849" s="1015">
        <f t="shared" ref="N849:N850" si="14">L849/12</f>
        <v>21865</v>
      </c>
      <c r="O849" s="115">
        <f>L849-J849</f>
        <v>15936</v>
      </c>
      <c r="P849" s="115">
        <f>O849-M849</f>
        <v>0</v>
      </c>
      <c r="Q849" s="116">
        <v>17152</v>
      </c>
      <c r="R849" s="116">
        <f>Q849*12</f>
        <v>205824</v>
      </c>
      <c r="S849" s="145">
        <f>R849-L849</f>
        <v>-56556</v>
      </c>
    </row>
    <row r="850" spans="1:19" s="146" customFormat="1" ht="18" customHeight="1">
      <c r="A850" s="141"/>
      <c r="B850" s="155"/>
      <c r="C850" s="1060"/>
      <c r="D850" s="1060"/>
      <c r="E850" s="154"/>
      <c r="F850" s="155"/>
      <c r="G850" s="140"/>
      <c r="H850" s="141"/>
      <c r="I850" s="210"/>
      <c r="J850" s="143"/>
      <c r="K850" s="184"/>
      <c r="L850" s="143"/>
      <c r="M850" s="143"/>
      <c r="N850" s="1015">
        <f t="shared" si="14"/>
        <v>0</v>
      </c>
      <c r="O850" s="115"/>
      <c r="P850" s="115"/>
      <c r="Q850" s="116"/>
      <c r="R850" s="116"/>
      <c r="S850" s="117"/>
    </row>
    <row r="851" spans="1:19" s="146" customFormat="1" ht="18" customHeight="1">
      <c r="A851" s="141"/>
      <c r="B851" s="155"/>
      <c r="C851" s="1064"/>
      <c r="D851" s="1064"/>
      <c r="E851" s="154"/>
      <c r="F851" s="155"/>
      <c r="G851" s="140"/>
      <c r="H851" s="141"/>
      <c r="I851" s="210"/>
      <c r="J851" s="143"/>
      <c r="K851" s="184"/>
      <c r="L851" s="143"/>
      <c r="M851" s="143"/>
      <c r="N851" s="1015"/>
      <c r="O851" s="115"/>
      <c r="P851" s="115"/>
      <c r="Q851" s="116"/>
      <c r="R851" s="116"/>
      <c r="S851" s="117"/>
    </row>
    <row r="852" spans="1:19" s="146" customFormat="1" ht="18" customHeight="1">
      <c r="A852" s="141"/>
      <c r="B852" s="155"/>
      <c r="C852" s="1060"/>
      <c r="D852" s="1060"/>
      <c r="E852" s="154"/>
      <c r="F852" s="155"/>
      <c r="G852" s="140"/>
      <c r="H852" s="141"/>
      <c r="I852" s="210"/>
      <c r="J852" s="143"/>
      <c r="K852" s="210"/>
      <c r="L852" s="149"/>
      <c r="M852" s="143"/>
      <c r="N852" s="170"/>
      <c r="O852" s="115"/>
      <c r="P852" s="115"/>
      <c r="Q852" s="116"/>
      <c r="R852" s="116"/>
      <c r="S852" s="117"/>
    </row>
    <row r="853" spans="1:19" s="146" customFormat="1" ht="18" customHeight="1">
      <c r="A853" s="141"/>
      <c r="B853" s="155"/>
      <c r="C853" s="1060"/>
      <c r="D853" s="1060"/>
      <c r="E853" s="154"/>
      <c r="F853" s="155"/>
      <c r="G853" s="140"/>
      <c r="H853" s="141"/>
      <c r="I853" s="210"/>
      <c r="J853" s="143"/>
      <c r="K853" s="210"/>
      <c r="L853" s="143"/>
      <c r="M853" s="143"/>
      <c r="N853" s="170"/>
      <c r="O853" s="115"/>
      <c r="P853" s="115"/>
      <c r="Q853" s="116"/>
      <c r="R853" s="116"/>
      <c r="S853" s="117"/>
    </row>
    <row r="854" spans="1:19" s="146" customFormat="1" ht="18" customHeight="1">
      <c r="A854" s="183"/>
      <c r="B854" s="1328">
        <v>5</v>
      </c>
      <c r="C854" s="1329"/>
      <c r="D854" s="1330"/>
      <c r="E854" s="154" t="s">
        <v>1722</v>
      </c>
      <c r="F854" s="1064"/>
      <c r="G854" s="140"/>
      <c r="H854" s="234" t="s">
        <v>104</v>
      </c>
      <c r="I854" s="184"/>
      <c r="J854" s="143">
        <v>0</v>
      </c>
      <c r="K854" s="184" t="s">
        <v>1723</v>
      </c>
      <c r="L854" s="143">
        <v>461076</v>
      </c>
      <c r="M854" s="144">
        <f>L854-J854</f>
        <v>461076</v>
      </c>
      <c r="N854" s="1015">
        <f t="shared" ref="N854" si="15">L854/12</f>
        <v>38423</v>
      </c>
      <c r="O854" s="115">
        <f>L854-J854</f>
        <v>461076</v>
      </c>
      <c r="P854" s="115">
        <f>O854-M854</f>
        <v>0</v>
      </c>
      <c r="Q854" s="116">
        <v>17152</v>
      </c>
      <c r="R854" s="116">
        <f>Q854*12</f>
        <v>205824</v>
      </c>
      <c r="S854" s="145">
        <f>R854-L854</f>
        <v>-255252</v>
      </c>
    </row>
    <row r="855" spans="1:19" s="146" customFormat="1" ht="18" customHeight="1">
      <c r="A855" s="141"/>
      <c r="B855" s="155"/>
      <c r="C855" s="1060"/>
      <c r="D855" s="1060"/>
      <c r="E855" s="154"/>
      <c r="F855" s="155"/>
      <c r="G855" s="140"/>
      <c r="H855" s="141" t="s">
        <v>1901</v>
      </c>
      <c r="I855" s="210"/>
      <c r="J855" s="143"/>
      <c r="K855" s="210"/>
      <c r="L855" s="143"/>
      <c r="M855" s="143"/>
      <c r="N855" s="170"/>
      <c r="O855" s="115"/>
      <c r="P855" s="115"/>
      <c r="Q855" s="116"/>
      <c r="R855" s="116"/>
      <c r="S855" s="117"/>
    </row>
    <row r="856" spans="1:19" s="146" customFormat="1" ht="18" customHeight="1">
      <c r="A856" s="141"/>
      <c r="B856" s="155"/>
      <c r="C856" s="1064"/>
      <c r="D856" s="1064"/>
      <c r="E856" s="154"/>
      <c r="F856" s="155"/>
      <c r="G856" s="140"/>
      <c r="H856" s="141"/>
      <c r="I856" s="210"/>
      <c r="J856" s="143"/>
      <c r="K856" s="210"/>
      <c r="L856" s="143"/>
      <c r="M856" s="143"/>
      <c r="N856" s="170"/>
      <c r="O856" s="115"/>
      <c r="P856" s="115"/>
      <c r="Q856" s="116"/>
      <c r="R856" s="116"/>
      <c r="S856" s="117"/>
    </row>
    <row r="857" spans="1:19" s="146" customFormat="1" ht="18" customHeight="1">
      <c r="A857" s="141"/>
      <c r="B857" s="155"/>
      <c r="C857" s="1060"/>
      <c r="D857" s="1060"/>
      <c r="E857" s="154"/>
      <c r="F857" s="155"/>
      <c r="G857" s="140"/>
      <c r="H857" s="141"/>
      <c r="I857" s="210"/>
      <c r="J857" s="143"/>
      <c r="K857" s="210"/>
      <c r="L857" s="143"/>
      <c r="M857" s="143"/>
      <c r="N857" s="170"/>
      <c r="O857" s="115"/>
      <c r="P857" s="115"/>
      <c r="Q857" s="116"/>
      <c r="R857" s="116"/>
      <c r="S857" s="117"/>
    </row>
    <row r="858" spans="1:19" s="146" customFormat="1" ht="18" customHeight="1">
      <c r="A858" s="141"/>
      <c r="B858" s="155"/>
      <c r="C858" s="1060"/>
      <c r="D858" s="1060"/>
      <c r="E858" s="154"/>
      <c r="F858" s="155"/>
      <c r="G858" s="140"/>
      <c r="H858" s="141"/>
      <c r="I858" s="210"/>
      <c r="J858" s="143"/>
      <c r="K858" s="210"/>
      <c r="L858" s="143"/>
      <c r="M858" s="143"/>
      <c r="N858" s="170"/>
      <c r="O858" s="115"/>
      <c r="P858" s="115"/>
      <c r="Q858" s="116"/>
      <c r="R858" s="116"/>
      <c r="S858" s="117"/>
    </row>
    <row r="859" spans="1:19" s="146" customFormat="1" ht="18" customHeight="1">
      <c r="A859" s="183"/>
      <c r="B859" s="1328">
        <v>6</v>
      </c>
      <c r="C859" s="1329"/>
      <c r="D859" s="1330"/>
      <c r="E859" s="154" t="s">
        <v>1724</v>
      </c>
      <c r="F859" s="1064"/>
      <c r="G859" s="140"/>
      <c r="H859" s="234" t="s">
        <v>104</v>
      </c>
      <c r="I859" s="184"/>
      <c r="J859" s="143">
        <v>0</v>
      </c>
      <c r="K859" s="184" t="s">
        <v>53</v>
      </c>
      <c r="L859" s="143">
        <f>357984</f>
        <v>357984</v>
      </c>
      <c r="M859" s="144">
        <f>L859-J859</f>
        <v>357984</v>
      </c>
      <c r="N859" s="1015">
        <f t="shared" ref="N859" si="16">L859/12</f>
        <v>29832</v>
      </c>
      <c r="O859" s="115">
        <f>L859-J859</f>
        <v>357984</v>
      </c>
      <c r="P859" s="115">
        <f>O859-M859</f>
        <v>0</v>
      </c>
      <c r="Q859" s="116">
        <v>17152</v>
      </c>
      <c r="R859" s="116">
        <f>Q859*12</f>
        <v>205824</v>
      </c>
      <c r="S859" s="145">
        <f>R859-L859</f>
        <v>-152160</v>
      </c>
    </row>
    <row r="860" spans="1:19" s="146" customFormat="1" ht="18" customHeight="1">
      <c r="A860" s="141"/>
      <c r="B860" s="155"/>
      <c r="C860" s="1060"/>
      <c r="D860" s="1060"/>
      <c r="E860" s="154"/>
      <c r="F860" s="155"/>
      <c r="G860" s="140"/>
      <c r="H860" s="141" t="s">
        <v>1902</v>
      </c>
      <c r="I860" s="210"/>
      <c r="J860" s="143"/>
      <c r="K860" s="210"/>
      <c r="L860" s="143"/>
      <c r="M860" s="143"/>
      <c r="N860" s="170"/>
      <c r="O860" s="115"/>
      <c r="P860" s="115"/>
      <c r="Q860" s="116"/>
      <c r="R860" s="116"/>
      <c r="S860" s="117"/>
    </row>
    <row r="861" spans="1:19" s="146" customFormat="1" ht="18" customHeight="1">
      <c r="A861" s="141"/>
      <c r="B861" s="155"/>
      <c r="C861" s="1060"/>
      <c r="D861" s="1060"/>
      <c r="E861" s="154"/>
      <c r="F861" s="155"/>
      <c r="G861" s="140"/>
      <c r="H861" s="141"/>
      <c r="I861" s="210"/>
      <c r="J861" s="143"/>
      <c r="K861" s="210"/>
      <c r="L861" s="143"/>
      <c r="M861" s="143"/>
      <c r="N861" s="170"/>
      <c r="O861" s="115"/>
      <c r="P861" s="115"/>
      <c r="Q861" s="116"/>
      <c r="R861" s="116"/>
      <c r="S861" s="117"/>
    </row>
    <row r="862" spans="1:19" s="146" customFormat="1" ht="18" customHeight="1">
      <c r="A862" s="141"/>
      <c r="B862" s="155"/>
      <c r="C862" s="1060"/>
      <c r="D862" s="1060"/>
      <c r="E862" s="154"/>
      <c r="F862" s="155"/>
      <c r="G862" s="140"/>
      <c r="H862" s="141"/>
      <c r="I862" s="210"/>
      <c r="J862" s="143"/>
      <c r="K862" s="210"/>
      <c r="L862" s="143"/>
      <c r="M862" s="143"/>
      <c r="N862" s="170"/>
      <c r="O862" s="115"/>
      <c r="P862" s="115"/>
      <c r="Q862" s="116"/>
      <c r="R862" s="116"/>
      <c r="S862" s="117"/>
    </row>
    <row r="863" spans="1:19" s="146" customFormat="1" ht="18" customHeight="1">
      <c r="A863" s="141"/>
      <c r="B863" s="155"/>
      <c r="C863" s="1060"/>
      <c r="D863" s="1060"/>
      <c r="E863" s="154"/>
      <c r="F863" s="155"/>
      <c r="G863" s="155"/>
      <c r="H863" s="141"/>
      <c r="I863" s="1072"/>
      <c r="J863" s="143"/>
      <c r="K863" s="210"/>
      <c r="L863" s="143"/>
      <c r="M863" s="143"/>
      <c r="N863" s="170"/>
      <c r="O863" s="115"/>
      <c r="P863" s="115"/>
      <c r="Q863" s="116"/>
      <c r="R863" s="116"/>
      <c r="S863" s="117"/>
    </row>
    <row r="864" spans="1:19" s="146" customFormat="1" ht="18" customHeight="1">
      <c r="A864" s="183"/>
      <c r="B864" s="1328">
        <v>7</v>
      </c>
      <c r="C864" s="1329"/>
      <c r="D864" s="1330"/>
      <c r="E864" s="154" t="s">
        <v>1726</v>
      </c>
      <c r="F864" s="1064"/>
      <c r="G864" s="140"/>
      <c r="H864" s="234" t="s">
        <v>104</v>
      </c>
      <c r="I864" s="184"/>
      <c r="J864" s="143">
        <v>0</v>
      </c>
      <c r="K864" s="184" t="s">
        <v>392</v>
      </c>
      <c r="L864" s="143">
        <v>259476</v>
      </c>
      <c r="M864" s="144">
        <f>L864-J864</f>
        <v>259476</v>
      </c>
      <c r="N864" s="1015">
        <f t="shared" ref="N864" si="17">L864/12</f>
        <v>21623</v>
      </c>
      <c r="O864" s="115">
        <f>L864-J864</f>
        <v>259476</v>
      </c>
      <c r="P864" s="115">
        <f>O864-M864</f>
        <v>0</v>
      </c>
      <c r="Q864" s="116">
        <v>17152</v>
      </c>
      <c r="R864" s="116">
        <f>Q864*12</f>
        <v>205824</v>
      </c>
      <c r="S864" s="145">
        <f>R864-L864</f>
        <v>-53652</v>
      </c>
    </row>
    <row r="865" spans="1:19" s="146" customFormat="1" ht="18" customHeight="1">
      <c r="A865" s="141"/>
      <c r="B865" s="155"/>
      <c r="C865" s="1060"/>
      <c r="D865" s="1060"/>
      <c r="E865" s="154"/>
      <c r="F865" s="155"/>
      <c r="G865" s="140"/>
      <c r="H865" s="141" t="s">
        <v>1903</v>
      </c>
      <c r="I865" s="210"/>
      <c r="J865" s="143"/>
      <c r="K865" s="210"/>
      <c r="L865" s="143"/>
      <c r="M865" s="143"/>
      <c r="N865" s="170"/>
      <c r="O865" s="115"/>
      <c r="P865" s="115"/>
      <c r="Q865" s="116"/>
      <c r="R865" s="116"/>
      <c r="S865" s="117"/>
    </row>
    <row r="866" spans="1:19" s="146" customFormat="1" ht="18" customHeight="1">
      <c r="A866" s="141"/>
      <c r="B866" s="155"/>
      <c r="C866" s="1060"/>
      <c r="D866" s="1060"/>
      <c r="E866" s="154"/>
      <c r="F866" s="155"/>
      <c r="G866" s="140"/>
      <c r="H866" s="141"/>
      <c r="I866" s="210"/>
      <c r="J866" s="143"/>
      <c r="K866" s="210"/>
      <c r="L866" s="143"/>
      <c r="M866" s="143"/>
      <c r="N866" s="170"/>
      <c r="O866" s="115"/>
      <c r="P866" s="115"/>
      <c r="Q866" s="116"/>
      <c r="R866" s="116"/>
      <c r="S866" s="117"/>
    </row>
    <row r="867" spans="1:19" s="146" customFormat="1" ht="18" customHeight="1">
      <c r="A867" s="141"/>
      <c r="B867" s="155"/>
      <c r="C867" s="1060"/>
      <c r="D867" s="1060"/>
      <c r="E867" s="154"/>
      <c r="F867" s="155"/>
      <c r="G867" s="140"/>
      <c r="H867" s="141"/>
      <c r="I867" s="210"/>
      <c r="J867" s="143"/>
      <c r="K867" s="210"/>
      <c r="L867" s="143"/>
      <c r="M867" s="143"/>
      <c r="N867" s="170"/>
      <c r="O867" s="115"/>
      <c r="P867" s="115"/>
      <c r="Q867" s="116"/>
      <c r="R867" s="116"/>
      <c r="S867" s="117"/>
    </row>
    <row r="868" spans="1:19" s="146" customFormat="1" ht="18" customHeight="1">
      <c r="A868" s="141"/>
      <c r="B868" s="155"/>
      <c r="C868" s="1060"/>
      <c r="D868" s="1060"/>
      <c r="E868" s="154"/>
      <c r="F868" s="155"/>
      <c r="G868" s="140"/>
      <c r="H868" s="141"/>
      <c r="I868" s="210"/>
      <c r="J868" s="143"/>
      <c r="K868" s="210"/>
      <c r="L868" s="143"/>
      <c r="M868" s="143"/>
      <c r="N868" s="170"/>
      <c r="O868" s="115"/>
      <c r="P868" s="115"/>
      <c r="Q868" s="116"/>
      <c r="R868" s="116"/>
      <c r="S868" s="117"/>
    </row>
    <row r="869" spans="1:19" s="146" customFormat="1" ht="18" customHeight="1">
      <c r="A869" s="183"/>
      <c r="B869" s="1328">
        <v>8</v>
      </c>
      <c r="C869" s="1329"/>
      <c r="D869" s="1330"/>
      <c r="E869" s="154" t="s">
        <v>1725</v>
      </c>
      <c r="F869" s="1064"/>
      <c r="G869" s="140"/>
      <c r="H869" s="234" t="s">
        <v>104</v>
      </c>
      <c r="I869" s="184"/>
      <c r="J869" s="143">
        <v>0</v>
      </c>
      <c r="K869" s="184" t="s">
        <v>246</v>
      </c>
      <c r="L869" s="143">
        <f>144072</f>
        <v>144072</v>
      </c>
      <c r="M869" s="144">
        <f>L869-J869</f>
        <v>144072</v>
      </c>
      <c r="N869" s="1015">
        <f t="shared" ref="N869" si="18">L869/12</f>
        <v>12006</v>
      </c>
      <c r="O869" s="115">
        <f>L869-J869</f>
        <v>144072</v>
      </c>
      <c r="P869" s="115">
        <f>O869-M869</f>
        <v>0</v>
      </c>
      <c r="Q869" s="116">
        <v>17152</v>
      </c>
      <c r="R869" s="116">
        <f>Q869*12</f>
        <v>205824</v>
      </c>
      <c r="S869" s="145">
        <f>R869-L869</f>
        <v>61752</v>
      </c>
    </row>
    <row r="870" spans="1:19" s="146" customFormat="1" ht="18" customHeight="1">
      <c r="A870" s="141"/>
      <c r="B870" s="155"/>
      <c r="C870" s="1060"/>
      <c r="D870" s="1060"/>
      <c r="E870" s="154"/>
      <c r="F870" s="155"/>
      <c r="G870" s="140"/>
      <c r="H870" s="141" t="s">
        <v>1904</v>
      </c>
      <c r="I870" s="210"/>
      <c r="J870" s="143"/>
      <c r="K870" s="210"/>
      <c r="L870" s="143"/>
      <c r="M870" s="143"/>
      <c r="N870" s="170"/>
      <c r="O870" s="115"/>
      <c r="P870" s="115"/>
      <c r="Q870" s="116"/>
      <c r="R870" s="116"/>
      <c r="S870" s="117"/>
    </row>
    <row r="871" spans="1:19" s="146" customFormat="1" ht="18" customHeight="1">
      <c r="A871" s="141"/>
      <c r="B871" s="155"/>
      <c r="C871" s="1060"/>
      <c r="D871" s="1060"/>
      <c r="E871" s="154"/>
      <c r="F871" s="155"/>
      <c r="G871" s="140"/>
      <c r="H871" s="141"/>
      <c r="I871" s="210"/>
      <c r="J871" s="143"/>
      <c r="K871" s="210"/>
      <c r="L871" s="143"/>
      <c r="M871" s="143"/>
      <c r="N871" s="170"/>
      <c r="O871" s="115"/>
      <c r="P871" s="115"/>
      <c r="Q871" s="116"/>
      <c r="R871" s="116"/>
      <c r="S871" s="117"/>
    </row>
    <row r="872" spans="1:19" s="146" customFormat="1" ht="18" customHeight="1">
      <c r="A872" s="141"/>
      <c r="B872" s="155"/>
      <c r="C872" s="1060"/>
      <c r="D872" s="1060"/>
      <c r="E872" s="154"/>
      <c r="F872" s="155"/>
      <c r="G872" s="140"/>
      <c r="H872" s="141"/>
      <c r="I872" s="210"/>
      <c r="J872" s="143"/>
      <c r="K872" s="210"/>
      <c r="L872" s="143"/>
      <c r="M872" s="143"/>
      <c r="N872" s="170"/>
      <c r="O872" s="115"/>
      <c r="P872" s="115"/>
      <c r="Q872" s="116"/>
      <c r="R872" s="116"/>
      <c r="S872" s="117"/>
    </row>
    <row r="873" spans="1:19" s="146" customFormat="1" ht="18" customHeight="1">
      <c r="A873" s="141"/>
      <c r="B873" s="155"/>
      <c r="C873" s="1060"/>
      <c r="D873" s="1060"/>
      <c r="E873" s="154"/>
      <c r="F873" s="155"/>
      <c r="G873" s="140"/>
      <c r="H873" s="141"/>
      <c r="I873" s="210"/>
      <c r="J873" s="143"/>
      <c r="K873" s="210"/>
      <c r="L873" s="143"/>
      <c r="M873" s="143"/>
      <c r="N873" s="170"/>
      <c r="O873" s="115"/>
      <c r="P873" s="115"/>
      <c r="Q873" s="116"/>
      <c r="R873" s="116"/>
      <c r="S873" s="117"/>
    </row>
    <row r="874" spans="1:19" s="168" customFormat="1" ht="18" customHeight="1" thickBot="1">
      <c r="A874" s="162"/>
      <c r="B874" s="159"/>
      <c r="C874" s="158"/>
      <c r="D874" s="158"/>
      <c r="E874" s="157"/>
      <c r="F874" s="159"/>
      <c r="G874" s="160"/>
      <c r="H874" s="161" t="s">
        <v>15</v>
      </c>
      <c r="I874" s="163"/>
      <c r="J874" s="163">
        <f>SUM(J833:J873)</f>
        <v>1671684</v>
      </c>
      <c r="K874" s="163"/>
      <c r="L874" s="163">
        <f>SUM(L833:L873)</f>
        <v>2952912</v>
      </c>
      <c r="M874" s="163">
        <f>SUM(M833:M873)</f>
        <v>1281228</v>
      </c>
      <c r="N874" s="169"/>
      <c r="O874" s="165"/>
      <c r="P874" s="165"/>
      <c r="Q874" s="166"/>
      <c r="R874" s="166"/>
      <c r="S874" s="167"/>
    </row>
    <row r="875" spans="1:19" s="146" customFormat="1" ht="18" customHeight="1" thickTop="1">
      <c r="A875" s="155"/>
      <c r="B875" s="155"/>
      <c r="C875" s="1060"/>
      <c r="D875" s="1060"/>
      <c r="E875" s="155"/>
      <c r="F875" s="155"/>
      <c r="G875" s="155"/>
      <c r="H875" s="1060"/>
      <c r="I875" s="155"/>
      <c r="J875" s="169"/>
      <c r="K875" s="172"/>
      <c r="L875" s="171"/>
      <c r="M875" s="171"/>
      <c r="N875" s="171"/>
      <c r="O875" s="115"/>
      <c r="P875" s="115"/>
      <c r="Q875" s="116"/>
      <c r="R875" s="116"/>
      <c r="S875" s="117"/>
    </row>
    <row r="876" spans="1:19" s="146" customFormat="1" ht="18" customHeight="1">
      <c r="A876" s="155"/>
      <c r="B876" s="155"/>
      <c r="C876" s="1060"/>
      <c r="D876" s="1060"/>
      <c r="E876" s="155"/>
      <c r="F876" s="155"/>
      <c r="G876" s="155"/>
      <c r="H876" s="1060"/>
      <c r="I876" s="155"/>
      <c r="J876" s="169"/>
      <c r="K876" s="172"/>
      <c r="L876" s="171"/>
      <c r="M876" s="171"/>
      <c r="N876" s="171"/>
      <c r="O876" s="115"/>
      <c r="P876" s="115"/>
      <c r="Q876" s="116"/>
      <c r="R876" s="116"/>
      <c r="S876" s="117"/>
    </row>
    <row r="877" spans="1:19" s="146" customFormat="1" ht="18" customHeight="1">
      <c r="A877" s="155"/>
      <c r="B877" s="155"/>
      <c r="C877" s="1060"/>
      <c r="D877" s="1060"/>
      <c r="E877" s="155"/>
      <c r="F877" s="155"/>
      <c r="G877" s="155"/>
      <c r="H877" s="155"/>
      <c r="I877" s="155"/>
      <c r="J877" s="155"/>
      <c r="K877" s="172"/>
      <c r="L877" s="170"/>
      <c r="M877" s="170"/>
      <c r="N877" s="170"/>
      <c r="O877" s="115"/>
      <c r="P877" s="115"/>
      <c r="Q877" s="116"/>
      <c r="R877" s="116"/>
      <c r="S877" s="117"/>
    </row>
    <row r="878" spans="1:19" s="146" customFormat="1" ht="18" customHeight="1">
      <c r="A878" s="173" t="s">
        <v>626</v>
      </c>
      <c r="B878" s="173"/>
      <c r="C878" s="1052"/>
      <c r="D878" s="1052"/>
      <c r="E878" s="174"/>
      <c r="F878" s="174"/>
      <c r="G878" s="174"/>
      <c r="H878" s="173" t="s">
        <v>627</v>
      </c>
      <c r="I878" s="174"/>
      <c r="K878" s="173" t="s">
        <v>258</v>
      </c>
      <c r="L878" s="175"/>
      <c r="M878" s="175"/>
      <c r="N878" s="175"/>
      <c r="O878" s="115"/>
      <c r="P878" s="115"/>
      <c r="Q878" s="116"/>
      <c r="R878" s="116"/>
      <c r="S878" s="117"/>
    </row>
    <row r="879" spans="1:19" s="146" customFormat="1" ht="18" customHeight="1">
      <c r="A879" s="174"/>
      <c r="B879" s="174"/>
      <c r="C879" s="1053"/>
      <c r="D879" s="1053"/>
      <c r="E879" s="174"/>
      <c r="F879" s="174"/>
      <c r="G879" s="174"/>
      <c r="H879" s="174"/>
      <c r="I879" s="174"/>
      <c r="J879" s="174"/>
      <c r="K879" s="176"/>
      <c r="L879" s="175"/>
      <c r="M879" s="175"/>
      <c r="N879" s="175"/>
      <c r="O879" s="115"/>
      <c r="P879" s="115"/>
      <c r="Q879" s="116"/>
      <c r="R879" s="116"/>
      <c r="S879" s="117"/>
    </row>
    <row r="880" spans="1:19" s="146" customFormat="1" ht="18" customHeight="1">
      <c r="A880" s="1310" t="s">
        <v>65</v>
      </c>
      <c r="B880" s="1310"/>
      <c r="C880" s="1310"/>
      <c r="D880" s="1310"/>
      <c r="E880" s="1310"/>
      <c r="F880" s="1310"/>
      <c r="G880" s="174"/>
      <c r="H880" s="1310" t="s">
        <v>17</v>
      </c>
      <c r="I880" s="1310"/>
      <c r="J880" s="174"/>
      <c r="K880" s="1310" t="s">
        <v>1454</v>
      </c>
      <c r="L880" s="1310"/>
      <c r="M880" s="1310"/>
      <c r="N880" s="1052"/>
      <c r="O880" s="115"/>
      <c r="P880" s="115"/>
      <c r="Q880" s="116"/>
      <c r="R880" s="116"/>
      <c r="S880" s="117"/>
    </row>
    <row r="881" spans="1:23" s="146" customFormat="1" ht="18" customHeight="1">
      <c r="A881" s="1294" t="s">
        <v>430</v>
      </c>
      <c r="B881" s="1294"/>
      <c r="C881" s="1294"/>
      <c r="D881" s="1294"/>
      <c r="E881" s="1294"/>
      <c r="F881" s="1294"/>
      <c r="G881" s="177"/>
      <c r="H881" s="1294" t="s">
        <v>18</v>
      </c>
      <c r="I881" s="1294"/>
      <c r="J881" s="1052"/>
      <c r="K881" s="1294" t="s">
        <v>14</v>
      </c>
      <c r="L881" s="1294"/>
      <c r="M881" s="1294"/>
      <c r="N881" s="1053"/>
      <c r="O881" s="115"/>
      <c r="P881" s="115"/>
      <c r="Q881" s="116"/>
      <c r="R881" s="116"/>
      <c r="S881" s="117"/>
    </row>
    <row r="882" spans="1:23" ht="18" customHeight="1">
      <c r="A882" s="111"/>
      <c r="B882" s="111"/>
      <c r="C882" s="1050"/>
      <c r="D882" s="1050"/>
      <c r="E882" s="1321"/>
      <c r="F882" s="1321"/>
      <c r="G882" s="1321"/>
      <c r="H882" s="1050"/>
      <c r="I882" s="1050"/>
      <c r="J882" s="1050"/>
      <c r="K882" s="1321"/>
      <c r="L882" s="1321"/>
      <c r="M882" s="1321"/>
      <c r="N882" s="1050"/>
    </row>
    <row r="883" spans="1:23" ht="18" customHeight="1">
      <c r="A883" s="111"/>
      <c r="B883" s="111"/>
      <c r="C883" s="1050"/>
      <c r="D883" s="1050"/>
      <c r="E883" s="1050"/>
      <c r="F883" s="1050"/>
      <c r="G883" s="1050"/>
      <c r="H883" s="1050"/>
      <c r="I883" s="1050"/>
      <c r="J883" s="1050"/>
      <c r="K883" s="1050"/>
      <c r="L883" s="1050"/>
      <c r="M883" s="1050"/>
      <c r="N883" s="1050"/>
    </row>
    <row r="884" spans="1:23" ht="18" customHeight="1">
      <c r="A884" s="111"/>
      <c r="B884" s="111"/>
      <c r="C884" s="1050"/>
      <c r="D884" s="1050"/>
      <c r="E884" s="1050"/>
      <c r="F884" s="1050"/>
      <c r="G884" s="1050"/>
      <c r="H884" s="1050"/>
      <c r="I884" s="1050"/>
      <c r="J884" s="1050"/>
      <c r="K884" s="1050"/>
      <c r="L884" s="1050"/>
      <c r="M884" s="1050"/>
      <c r="N884" s="1050"/>
    </row>
    <row r="885" spans="1:23" ht="18" customHeight="1">
      <c r="A885" s="111"/>
      <c r="B885" s="111"/>
      <c r="C885" s="1050"/>
      <c r="D885" s="1050"/>
      <c r="E885" s="1050"/>
      <c r="F885" s="1050"/>
      <c r="G885" s="1050"/>
      <c r="H885" s="1050"/>
      <c r="I885" s="1050"/>
      <c r="J885" s="1050"/>
      <c r="K885" s="1050"/>
      <c r="L885" s="1050"/>
      <c r="M885" s="1050"/>
      <c r="N885" s="1050"/>
    </row>
    <row r="886" spans="1:23" ht="18" customHeight="1">
      <c r="A886" s="111"/>
      <c r="B886" s="111"/>
      <c r="C886" s="1050"/>
      <c r="D886" s="1050"/>
      <c r="E886" s="1050"/>
      <c r="F886" s="1050"/>
      <c r="G886" s="1050"/>
      <c r="H886" s="1050"/>
      <c r="I886" s="1050"/>
      <c r="J886" s="1050"/>
      <c r="K886" s="1050"/>
      <c r="L886" s="1050"/>
      <c r="M886" s="1050"/>
      <c r="N886" s="1050"/>
    </row>
    <row r="887" spans="1:23" ht="18" customHeight="1">
      <c r="A887" s="111"/>
      <c r="B887" s="111"/>
      <c r="C887" s="1050"/>
      <c r="D887" s="1050"/>
      <c r="E887" s="1050"/>
      <c r="F887" s="1050"/>
      <c r="G887" s="1050"/>
      <c r="H887" s="1050"/>
      <c r="I887" s="1050"/>
      <c r="J887" s="1050"/>
      <c r="K887" s="1050"/>
      <c r="L887" s="1050"/>
      <c r="M887" s="1050"/>
      <c r="N887" s="1050"/>
    </row>
    <row r="888" spans="1:23" ht="18" customHeight="1">
      <c r="A888" s="111"/>
      <c r="B888" s="111"/>
      <c r="C888" s="1050"/>
      <c r="D888" s="1050"/>
      <c r="E888" s="1050"/>
      <c r="F888" s="1050"/>
      <c r="G888" s="1050"/>
      <c r="H888" s="1050"/>
      <c r="I888" s="1050"/>
      <c r="J888" s="1050"/>
      <c r="K888" s="1050"/>
      <c r="L888" s="1050"/>
      <c r="M888" s="1050"/>
      <c r="N888" s="1050"/>
    </row>
    <row r="889" spans="1:23" s="115" customFormat="1" ht="18" customHeight="1">
      <c r="A889" s="111"/>
      <c r="B889" s="111"/>
      <c r="C889" s="1050"/>
      <c r="D889" s="1050"/>
      <c r="E889" s="1050"/>
      <c r="F889" s="1050"/>
      <c r="G889" s="1050"/>
      <c r="H889" s="1050"/>
      <c r="I889" s="1050"/>
      <c r="J889" s="1050"/>
      <c r="K889" s="1050"/>
      <c r="L889" s="1050"/>
      <c r="M889" s="1050"/>
      <c r="N889" s="1050"/>
      <c r="Q889" s="116"/>
      <c r="R889" s="116"/>
      <c r="S889" s="117"/>
      <c r="T889" s="118"/>
      <c r="U889" s="118"/>
      <c r="V889" s="118"/>
      <c r="W889" s="118"/>
    </row>
    <row r="890" spans="1:23" s="115" customFormat="1" ht="18" customHeight="1">
      <c r="A890" s="111"/>
      <c r="B890" s="111"/>
      <c r="C890" s="1050"/>
      <c r="D890" s="1050"/>
      <c r="E890" s="1050"/>
      <c r="F890" s="1050"/>
      <c r="G890" s="1050"/>
      <c r="H890" s="1050"/>
      <c r="I890" s="1050"/>
      <c r="J890" s="1050"/>
      <c r="K890" s="1050"/>
      <c r="L890" s="1050"/>
      <c r="M890" s="1050"/>
      <c r="N890" s="1050"/>
      <c r="Q890" s="116"/>
      <c r="R890" s="116"/>
      <c r="S890" s="117"/>
      <c r="T890" s="118"/>
      <c r="U890" s="118"/>
      <c r="V890" s="118"/>
      <c r="W890" s="118"/>
    </row>
    <row r="891" spans="1:23" s="115" customFormat="1" ht="18" customHeight="1">
      <c r="A891" s="118"/>
      <c r="B891" s="118"/>
      <c r="C891" s="209"/>
      <c r="D891" s="209"/>
      <c r="E891" s="118"/>
      <c r="F891" s="118"/>
      <c r="G891" s="118"/>
      <c r="H891" s="118"/>
      <c r="I891" s="118"/>
      <c r="J891" s="118"/>
      <c r="K891" s="136"/>
      <c r="L891" s="113"/>
      <c r="M891" s="178"/>
      <c r="N891" s="178"/>
      <c r="Q891" s="116"/>
      <c r="R891" s="116"/>
      <c r="S891" s="117"/>
      <c r="T891" s="118"/>
      <c r="U891" s="118"/>
      <c r="V891" s="118"/>
      <c r="W891" s="118"/>
    </row>
    <row r="892" spans="1:23" s="115" customFormat="1" ht="20.100000000000001" customHeight="1">
      <c r="A892" s="1263" t="s">
        <v>1879</v>
      </c>
      <c r="B892" s="1263"/>
      <c r="C892" s="1263"/>
      <c r="D892" s="1263"/>
      <c r="E892" s="1263"/>
      <c r="F892" s="1263"/>
      <c r="G892" s="1263"/>
      <c r="H892" s="1263"/>
      <c r="I892" s="1263"/>
      <c r="J892" s="1263"/>
      <c r="K892" s="1263"/>
      <c r="L892" s="1263"/>
      <c r="M892" s="1263"/>
      <c r="N892" s="1058"/>
      <c r="Q892" s="116"/>
      <c r="R892" s="116"/>
      <c r="S892" s="117"/>
      <c r="T892" s="118"/>
      <c r="U892" s="118"/>
      <c r="V892" s="118"/>
      <c r="W892" s="118"/>
    </row>
    <row r="893" spans="1:23" s="115" customFormat="1" ht="18" customHeight="1">
      <c r="A893" s="110"/>
      <c r="B893" s="110"/>
      <c r="C893" s="1057"/>
      <c r="D893" s="1057"/>
      <c r="E893" s="111"/>
      <c r="F893" s="111"/>
      <c r="G893" s="111"/>
      <c r="H893" s="111"/>
      <c r="I893" s="111"/>
      <c r="J893" s="111"/>
      <c r="K893" s="112"/>
      <c r="L893" s="113"/>
      <c r="M893" s="114"/>
      <c r="N893" s="114"/>
      <c r="Q893" s="116"/>
      <c r="R893" s="116"/>
      <c r="S893" s="117"/>
      <c r="T893" s="118"/>
      <c r="U893" s="118"/>
      <c r="V893" s="118"/>
      <c r="W893" s="118"/>
    </row>
    <row r="894" spans="1:23" s="115" customFormat="1" ht="18" customHeight="1">
      <c r="A894" s="1319" t="s">
        <v>1675</v>
      </c>
      <c r="B894" s="1319"/>
      <c r="C894" s="1319"/>
      <c r="D894" s="1319"/>
      <c r="E894" s="1319"/>
      <c r="F894" s="1319"/>
      <c r="G894" s="1319"/>
      <c r="H894" s="1319"/>
      <c r="I894" s="1319"/>
      <c r="J894" s="1319"/>
      <c r="K894" s="1319"/>
      <c r="L894" s="1319"/>
      <c r="M894" s="1319"/>
      <c r="N894" s="1048"/>
      <c r="Q894" s="116"/>
      <c r="R894" s="116"/>
      <c r="S894" s="117"/>
      <c r="T894" s="118"/>
      <c r="U894" s="118"/>
      <c r="V894" s="118"/>
      <c r="W894" s="118"/>
    </row>
    <row r="895" spans="1:23" s="115" customFormat="1" ht="18" customHeight="1">
      <c r="A895" s="1320" t="s">
        <v>358</v>
      </c>
      <c r="B895" s="1320"/>
      <c r="C895" s="1320"/>
      <c r="D895" s="1320"/>
      <c r="E895" s="1320"/>
      <c r="F895" s="1320"/>
      <c r="G895" s="1320"/>
      <c r="H895" s="1320"/>
      <c r="I895" s="1320"/>
      <c r="J895" s="1320"/>
      <c r="K895" s="1320"/>
      <c r="L895" s="1320"/>
      <c r="M895" s="1320"/>
      <c r="N895" s="1049"/>
      <c r="Q895" s="116"/>
      <c r="R895" s="116"/>
      <c r="S895" s="117"/>
      <c r="T895" s="118"/>
      <c r="U895" s="118"/>
      <c r="V895" s="118"/>
      <c r="W895" s="118"/>
    </row>
    <row r="896" spans="1:23" s="115" customFormat="1" ht="18" customHeight="1">
      <c r="A896" s="1321"/>
      <c r="B896" s="1321"/>
      <c r="C896" s="1321"/>
      <c r="D896" s="1321"/>
      <c r="E896" s="1321"/>
      <c r="F896" s="1321"/>
      <c r="G896" s="1321"/>
      <c r="H896" s="1321"/>
      <c r="I896" s="1321"/>
      <c r="J896" s="1321"/>
      <c r="K896" s="1321"/>
      <c r="L896" s="1321"/>
      <c r="M896" s="1321"/>
      <c r="N896" s="1050"/>
      <c r="Q896" s="116"/>
      <c r="R896" s="116"/>
      <c r="S896" s="117"/>
      <c r="T896" s="118"/>
      <c r="U896" s="118"/>
      <c r="V896" s="118"/>
      <c r="W896" s="118"/>
    </row>
    <row r="897" spans="1:23" s="115" customFormat="1" ht="18" customHeight="1">
      <c r="A897" s="1050"/>
      <c r="B897" s="1050"/>
      <c r="C897" s="1050"/>
      <c r="D897" s="1050"/>
      <c r="E897" s="1050"/>
      <c r="F897" s="1050"/>
      <c r="G897" s="1050"/>
      <c r="H897" s="1050"/>
      <c r="I897" s="1050"/>
      <c r="J897" s="1050"/>
      <c r="K897" s="1050"/>
      <c r="L897" s="1050"/>
      <c r="M897" s="1050"/>
      <c r="N897" s="1050"/>
      <c r="Q897" s="116"/>
      <c r="R897" s="116"/>
      <c r="S897" s="117"/>
      <c r="T897" s="118"/>
      <c r="U897" s="118"/>
      <c r="V897" s="118"/>
      <c r="W897" s="118"/>
    </row>
    <row r="898" spans="1:23" s="115" customFormat="1" ht="18" customHeight="1">
      <c r="A898" s="111" t="s">
        <v>450</v>
      </c>
      <c r="B898" s="111"/>
      <c r="C898" s="111" t="s">
        <v>448</v>
      </c>
      <c r="D898" s="111" t="s">
        <v>319</v>
      </c>
      <c r="E898" s="111"/>
      <c r="F898" s="111"/>
      <c r="G898" s="111"/>
      <c r="H898" s="111"/>
      <c r="I898" s="1050"/>
      <c r="J898" s="1050"/>
      <c r="K898" s="1050"/>
      <c r="L898" s="1050"/>
      <c r="M898" s="1050"/>
      <c r="N898" s="1050"/>
      <c r="Q898" s="116"/>
      <c r="R898" s="116"/>
      <c r="S898" s="117"/>
      <c r="T898" s="118"/>
      <c r="U898" s="118"/>
      <c r="V898" s="118"/>
      <c r="W898" s="118"/>
    </row>
    <row r="899" spans="1:23" s="115" customFormat="1" ht="18" customHeight="1">
      <c r="A899" s="111" t="s">
        <v>458</v>
      </c>
      <c r="B899" s="111"/>
      <c r="C899" s="111" t="s">
        <v>448</v>
      </c>
      <c r="D899" s="111" t="s">
        <v>472</v>
      </c>
      <c r="E899" s="111"/>
      <c r="F899" s="111"/>
      <c r="G899" s="111"/>
      <c r="H899" s="111"/>
      <c r="I899" s="1050"/>
      <c r="J899" s="1050"/>
      <c r="K899" s="1050"/>
      <c r="L899" s="1050"/>
      <c r="M899" s="1050"/>
      <c r="N899" s="1050"/>
      <c r="O899" s="180"/>
      <c r="Q899" s="116"/>
      <c r="R899" s="116"/>
      <c r="S899" s="117"/>
      <c r="T899" s="118"/>
      <c r="U899" s="118"/>
      <c r="V899" s="118"/>
      <c r="W899" s="118"/>
    </row>
    <row r="900" spans="1:23" s="115" customFormat="1" ht="18" customHeight="1" thickBot="1">
      <c r="A900" s="111" t="s">
        <v>465</v>
      </c>
      <c r="B900" s="111"/>
      <c r="C900" s="111" t="s">
        <v>448</v>
      </c>
      <c r="D900" s="111" t="s">
        <v>680</v>
      </c>
      <c r="E900" s="111"/>
      <c r="F900" s="111"/>
      <c r="G900" s="111"/>
      <c r="H900" s="111"/>
      <c r="I900" s="1050"/>
      <c r="J900" s="1050"/>
      <c r="K900" s="1050"/>
      <c r="L900" s="1050"/>
      <c r="M900" s="1050"/>
      <c r="N900" s="1050"/>
      <c r="O900" s="180"/>
      <c r="Q900" s="116"/>
      <c r="R900" s="116"/>
      <c r="S900" s="117"/>
      <c r="T900" s="118"/>
      <c r="U900" s="118"/>
      <c r="V900" s="118"/>
      <c r="W900" s="118"/>
    </row>
    <row r="901" spans="1:23" s="115" customFormat="1" ht="18" customHeight="1">
      <c r="A901" s="1322" t="s">
        <v>631</v>
      </c>
      <c r="B901" s="1323"/>
      <c r="C901" s="1323"/>
      <c r="D901" s="1323"/>
      <c r="E901" s="1324"/>
      <c r="F901" s="1323"/>
      <c r="G901" s="1325"/>
      <c r="H901" s="121"/>
      <c r="I901" s="1326" t="s">
        <v>635</v>
      </c>
      <c r="J901" s="1327"/>
      <c r="K901" s="1326" t="s">
        <v>635</v>
      </c>
      <c r="L901" s="1327"/>
      <c r="M901" s="122"/>
      <c r="N901" s="1012"/>
      <c r="O901" s="180"/>
      <c r="Q901" s="116"/>
      <c r="R901" s="116"/>
      <c r="S901" s="117"/>
      <c r="T901" s="118"/>
      <c r="U901" s="118"/>
      <c r="V901" s="118"/>
      <c r="W901" s="118"/>
    </row>
    <row r="902" spans="1:23" s="115" customFormat="1" ht="18" customHeight="1">
      <c r="A902" s="123" t="s">
        <v>632</v>
      </c>
      <c r="B902" s="1311" t="s">
        <v>633</v>
      </c>
      <c r="C902" s="1312"/>
      <c r="D902" s="1313"/>
      <c r="E902" s="1314" t="s">
        <v>44</v>
      </c>
      <c r="F902" s="1315"/>
      <c r="G902" s="1316"/>
      <c r="H902" s="1054" t="s">
        <v>45</v>
      </c>
      <c r="I902" s="1314" t="s">
        <v>1502</v>
      </c>
      <c r="J902" s="1316"/>
      <c r="K902" s="1315" t="s">
        <v>1676</v>
      </c>
      <c r="L902" s="1316"/>
      <c r="M902" s="124" t="s">
        <v>46</v>
      </c>
      <c r="N902" s="1013"/>
      <c r="Q902" s="116"/>
      <c r="R902" s="116"/>
      <c r="S902" s="117"/>
      <c r="T902" s="118"/>
      <c r="U902" s="118"/>
      <c r="V902" s="118"/>
      <c r="W902" s="118"/>
    </row>
    <row r="903" spans="1:23" ht="18" customHeight="1">
      <c r="A903" s="125"/>
      <c r="B903" s="1054"/>
      <c r="C903" s="1055"/>
      <c r="D903" s="1055"/>
      <c r="E903" s="1054"/>
      <c r="F903" s="1055"/>
      <c r="G903" s="1056"/>
      <c r="H903" s="1054" t="s">
        <v>47</v>
      </c>
      <c r="I903" s="1317"/>
      <c r="J903" s="1318"/>
      <c r="K903" s="1317"/>
      <c r="L903" s="1318"/>
      <c r="M903" s="124" t="s">
        <v>48</v>
      </c>
      <c r="N903" s="1013"/>
    </row>
    <row r="904" spans="1:23" ht="18" customHeight="1">
      <c r="A904" s="125"/>
      <c r="B904" s="1054"/>
      <c r="C904" s="1055"/>
      <c r="D904" s="1055"/>
      <c r="E904" s="1054"/>
      <c r="F904" s="1055"/>
      <c r="G904" s="126"/>
      <c r="H904" s="127"/>
      <c r="I904" s="128" t="s">
        <v>634</v>
      </c>
      <c r="J904" s="129" t="s">
        <v>49</v>
      </c>
      <c r="K904" s="128" t="s">
        <v>634</v>
      </c>
      <c r="L904" s="129" t="s">
        <v>49</v>
      </c>
      <c r="M904" s="124"/>
      <c r="N904" s="120" t="s">
        <v>1628</v>
      </c>
    </row>
    <row r="905" spans="1:23" ht="18" customHeight="1" thickBot="1">
      <c r="A905" s="130"/>
      <c r="B905" s="1307"/>
      <c r="C905" s="1308"/>
      <c r="D905" s="1309"/>
      <c r="E905" s="1307"/>
      <c r="F905" s="1308"/>
      <c r="G905" s="1309"/>
      <c r="H905" s="131"/>
      <c r="I905" s="131"/>
      <c r="J905" s="131"/>
      <c r="K905" s="131"/>
      <c r="L905" s="131"/>
      <c r="M905" s="132"/>
      <c r="N905" s="1019" t="s">
        <v>1629</v>
      </c>
    </row>
    <row r="906" spans="1:23" ht="18" customHeight="1">
      <c r="A906" s="181"/>
      <c r="B906" s="119"/>
      <c r="C906" s="119"/>
      <c r="D906" s="119"/>
      <c r="E906" s="133"/>
      <c r="F906" s="119"/>
      <c r="G906" s="134"/>
      <c r="H906" s="135"/>
      <c r="I906" s="182"/>
      <c r="J906" s="137"/>
      <c r="K906" s="182"/>
      <c r="L906" s="137"/>
      <c r="M906" s="137"/>
      <c r="N906" s="1016"/>
    </row>
    <row r="907" spans="1:23" s="146" customFormat="1" ht="18" customHeight="1">
      <c r="A907" s="183">
        <v>1</v>
      </c>
      <c r="B907" s="1060"/>
      <c r="C907" s="1060"/>
      <c r="D907" s="1060"/>
      <c r="E907" s="154" t="s">
        <v>77</v>
      </c>
      <c r="F907" s="1060"/>
      <c r="G907" s="140"/>
      <c r="H907" s="141" t="s">
        <v>432</v>
      </c>
      <c r="I907" s="184" t="s">
        <v>891</v>
      </c>
      <c r="J907" s="143">
        <v>928800</v>
      </c>
      <c r="K907" s="184" t="s">
        <v>891</v>
      </c>
      <c r="L907" s="143">
        <v>946668</v>
      </c>
      <c r="M907" s="144">
        <f>L907-J907</f>
        <v>17868</v>
      </c>
      <c r="N907" s="1015">
        <f t="shared" ref="N907:N908" si="19">L907/12</f>
        <v>78889</v>
      </c>
      <c r="O907" s="115">
        <f>L907-J907</f>
        <v>17868</v>
      </c>
      <c r="P907" s="115">
        <f>O907-M907</f>
        <v>0</v>
      </c>
      <c r="Q907" s="116">
        <v>63237</v>
      </c>
      <c r="R907" s="116">
        <f>Q907*12</f>
        <v>758844</v>
      </c>
      <c r="S907" s="145">
        <f>R907-L907</f>
        <v>-187824</v>
      </c>
    </row>
    <row r="908" spans="1:23" s="146" customFormat="1" ht="18" customHeight="1">
      <c r="A908" s="183"/>
      <c r="B908" s="1060"/>
      <c r="C908" s="1060"/>
      <c r="D908" s="1060"/>
      <c r="E908" s="154" t="s">
        <v>903</v>
      </c>
      <c r="F908" s="1060"/>
      <c r="G908" s="140"/>
      <c r="H908" s="141"/>
      <c r="I908" s="184"/>
      <c r="J908" s="143"/>
      <c r="K908" s="184"/>
      <c r="L908" s="143"/>
      <c r="M908" s="144"/>
      <c r="N908" s="1015">
        <f t="shared" si="19"/>
        <v>0</v>
      </c>
      <c r="O908" s="115"/>
      <c r="P908" s="115"/>
      <c r="Q908" s="116">
        <v>64185</v>
      </c>
      <c r="R908" s="116">
        <f>Q908*12</f>
        <v>770220</v>
      </c>
      <c r="S908" s="145">
        <f>R908-L908</f>
        <v>770220</v>
      </c>
    </row>
    <row r="909" spans="1:23" s="146" customFormat="1" ht="18" customHeight="1">
      <c r="A909" s="183"/>
      <c r="B909" s="1060"/>
      <c r="C909" s="1060"/>
      <c r="D909" s="1060"/>
      <c r="E909" s="154"/>
      <c r="F909" s="1060"/>
      <c r="G909" s="140"/>
      <c r="H909" s="141"/>
      <c r="I909" s="184"/>
      <c r="J909" s="143"/>
      <c r="K909" s="184"/>
      <c r="L909" s="143"/>
      <c r="M909" s="144"/>
      <c r="N909" s="1015"/>
      <c r="O909" s="115"/>
      <c r="P909" s="115"/>
      <c r="Q909" s="116"/>
      <c r="R909" s="116"/>
      <c r="S909" s="145"/>
    </row>
    <row r="910" spans="1:23" s="146" customFormat="1" ht="18" customHeight="1">
      <c r="A910" s="183"/>
      <c r="B910" s="1060"/>
      <c r="C910" s="1060"/>
      <c r="D910" s="1060"/>
      <c r="E910" s="154"/>
      <c r="F910" s="1060"/>
      <c r="G910" s="140"/>
      <c r="H910" s="141"/>
      <c r="I910" s="184"/>
      <c r="J910" s="149"/>
      <c r="K910" s="184"/>
      <c r="L910" s="149"/>
      <c r="M910" s="144"/>
      <c r="N910" s="1015"/>
      <c r="O910" s="115"/>
      <c r="P910" s="115"/>
      <c r="Q910" s="116"/>
      <c r="R910" s="116"/>
      <c r="S910" s="117"/>
    </row>
    <row r="911" spans="1:23" s="146" customFormat="1" ht="18" customHeight="1">
      <c r="A911" s="183"/>
      <c r="B911" s="1060"/>
      <c r="C911" s="1060"/>
      <c r="D911" s="1060"/>
      <c r="E911" s="154"/>
      <c r="F911" s="1060"/>
      <c r="G911" s="140"/>
      <c r="H911" s="141"/>
      <c r="I911" s="185"/>
      <c r="J911" s="149"/>
      <c r="K911" s="185"/>
      <c r="L911" s="149"/>
      <c r="M911" s="144"/>
      <c r="N911" s="1015"/>
      <c r="O911" s="115"/>
      <c r="P911" s="115"/>
      <c r="Q911" s="116"/>
      <c r="R911" s="116"/>
      <c r="S911" s="117"/>
    </row>
    <row r="912" spans="1:23" s="146" customFormat="1" ht="18" customHeight="1">
      <c r="A912" s="183">
        <v>2</v>
      </c>
      <c r="B912" s="1060"/>
      <c r="C912" s="1060"/>
      <c r="D912" s="1060"/>
      <c r="E912" s="154" t="s">
        <v>113</v>
      </c>
      <c r="F912" s="1060"/>
      <c r="G912" s="140"/>
      <c r="H912" s="141" t="s">
        <v>114</v>
      </c>
      <c r="I912" s="184" t="s">
        <v>1459</v>
      </c>
      <c r="J912" s="143">
        <v>225480</v>
      </c>
      <c r="K912" s="184" t="s">
        <v>1459</v>
      </c>
      <c r="L912" s="143">
        <v>235968</v>
      </c>
      <c r="M912" s="144">
        <f>L912-J912</f>
        <v>10488</v>
      </c>
      <c r="N912" s="1015">
        <f>L912/12</f>
        <v>19664</v>
      </c>
      <c r="O912" s="115">
        <f>L912-J912</f>
        <v>10488</v>
      </c>
      <c r="P912" s="115">
        <f>O912-M912</f>
        <v>0</v>
      </c>
      <c r="Q912" s="116">
        <v>16476</v>
      </c>
      <c r="R912" s="116">
        <f>Q912*12</f>
        <v>197712</v>
      </c>
      <c r="S912" s="145">
        <f>R912-L912</f>
        <v>-38256</v>
      </c>
    </row>
    <row r="913" spans="1:19" s="146" customFormat="1" ht="18" customHeight="1">
      <c r="A913" s="183"/>
      <c r="B913" s="1060"/>
      <c r="C913" s="1060"/>
      <c r="D913" s="1060"/>
      <c r="E913" s="154"/>
      <c r="F913" s="1060"/>
      <c r="G913" s="140"/>
      <c r="H913" s="141"/>
      <c r="I913" s="184"/>
      <c r="J913" s="149"/>
      <c r="K913" s="184"/>
      <c r="L913" s="149"/>
      <c r="M913" s="144"/>
      <c r="N913" s="1015"/>
      <c r="O913" s="115"/>
      <c r="P913" s="115"/>
      <c r="Q913" s="116"/>
      <c r="R913" s="116"/>
      <c r="S913" s="145"/>
    </row>
    <row r="914" spans="1:19" s="146" customFormat="1" ht="18" customHeight="1">
      <c r="A914" s="183"/>
      <c r="B914" s="1060"/>
      <c r="C914" s="1060"/>
      <c r="D914" s="1060"/>
      <c r="E914" s="154"/>
      <c r="F914" s="1060"/>
      <c r="G914" s="140"/>
      <c r="H914" s="141"/>
      <c r="I914" s="184"/>
      <c r="J914" s="149"/>
      <c r="K914" s="184"/>
      <c r="L914" s="149"/>
      <c r="M914" s="144"/>
      <c r="N914" s="1015"/>
      <c r="O914" s="115"/>
      <c r="P914" s="115"/>
      <c r="Q914" s="116"/>
      <c r="R914" s="116"/>
      <c r="S914" s="145"/>
    </row>
    <row r="915" spans="1:19" s="146" customFormat="1" ht="18" customHeight="1">
      <c r="A915" s="183"/>
      <c r="B915" s="1060"/>
      <c r="C915" s="1060"/>
      <c r="D915" s="1060"/>
      <c r="E915" s="154"/>
      <c r="F915" s="1060"/>
      <c r="G915" s="140"/>
      <c r="H915" s="141"/>
      <c r="I915" s="184"/>
      <c r="J915" s="143"/>
      <c r="K915" s="184"/>
      <c r="L915" s="143"/>
      <c r="M915" s="144"/>
      <c r="N915" s="1015"/>
      <c r="O915" s="115"/>
      <c r="P915" s="115"/>
      <c r="Q915" s="116"/>
      <c r="R915" s="116"/>
      <c r="S915" s="117"/>
    </row>
    <row r="916" spans="1:19" s="146" customFormat="1" ht="18" customHeight="1">
      <c r="A916" s="183">
        <v>3</v>
      </c>
      <c r="B916" s="1060"/>
      <c r="C916" s="1060"/>
      <c r="D916" s="1060"/>
      <c r="E916" s="154" t="s">
        <v>113</v>
      </c>
      <c r="F916" s="1060"/>
      <c r="G916" s="140"/>
      <c r="H916" s="141" t="s">
        <v>424</v>
      </c>
      <c r="I916" s="184" t="s">
        <v>946</v>
      </c>
      <c r="J916" s="143">
        <v>219924</v>
      </c>
      <c r="K916" s="184" t="s">
        <v>946</v>
      </c>
      <c r="L916" s="143">
        <v>230148</v>
      </c>
      <c r="M916" s="144">
        <f>L916-J916</f>
        <v>10224</v>
      </c>
      <c r="N916" s="1015">
        <f t="shared" ref="N916:N917" si="20">L916/12</f>
        <v>19179</v>
      </c>
      <c r="O916" s="115">
        <f>L916-J916</f>
        <v>10224</v>
      </c>
      <c r="P916" s="115">
        <f>O916-M916</f>
        <v>0</v>
      </c>
      <c r="Q916" s="116">
        <v>15910</v>
      </c>
      <c r="R916" s="116">
        <f>Q916*12</f>
        <v>190920</v>
      </c>
      <c r="S916" s="145">
        <f>R916-L916</f>
        <v>-39228</v>
      </c>
    </row>
    <row r="917" spans="1:19" s="146" customFormat="1" ht="18" customHeight="1">
      <c r="A917" s="183"/>
      <c r="B917" s="1060"/>
      <c r="C917" s="1060"/>
      <c r="D917" s="1060"/>
      <c r="E917" s="154"/>
      <c r="F917" s="1060"/>
      <c r="G917" s="140"/>
      <c r="H917" s="141"/>
      <c r="I917" s="184"/>
      <c r="J917" s="143"/>
      <c r="K917" s="184"/>
      <c r="L917" s="143"/>
      <c r="M917" s="144"/>
      <c r="N917" s="1015">
        <f t="shared" si="20"/>
        <v>0</v>
      </c>
      <c r="O917" s="115"/>
      <c r="P917" s="115"/>
      <c r="Q917" s="116">
        <v>16051</v>
      </c>
      <c r="R917" s="116">
        <f>Q917*12</f>
        <v>192612</v>
      </c>
      <c r="S917" s="145">
        <f>R917-L917</f>
        <v>192612</v>
      </c>
    </row>
    <row r="918" spans="1:19" s="146" customFormat="1" ht="18" customHeight="1">
      <c r="A918" s="183"/>
      <c r="B918" s="1060"/>
      <c r="C918" s="1060"/>
      <c r="D918" s="1060"/>
      <c r="E918" s="154"/>
      <c r="F918" s="1060"/>
      <c r="G918" s="140"/>
      <c r="H918" s="141"/>
      <c r="I918" s="184"/>
      <c r="J918" s="143"/>
      <c r="K918" s="184"/>
      <c r="L918" s="143"/>
      <c r="M918" s="144"/>
      <c r="N918" s="1015"/>
      <c r="O918" s="115"/>
      <c r="P918" s="115"/>
      <c r="Q918" s="116"/>
      <c r="R918" s="116"/>
      <c r="S918" s="145"/>
    </row>
    <row r="919" spans="1:19" s="146" customFormat="1" ht="18" customHeight="1">
      <c r="A919" s="183"/>
      <c r="B919" s="1060"/>
      <c r="C919" s="1060"/>
      <c r="D919" s="1060"/>
      <c r="E919" s="154"/>
      <c r="F919" s="1060"/>
      <c r="G919" s="140"/>
      <c r="H919" s="141"/>
      <c r="I919" s="185"/>
      <c r="J919" s="143"/>
      <c r="K919" s="185"/>
      <c r="L919" s="143"/>
      <c r="M919" s="144"/>
      <c r="N919" s="1015"/>
      <c r="O919" s="115"/>
      <c r="P919" s="115"/>
      <c r="Q919" s="116"/>
      <c r="R919" s="116"/>
      <c r="S919" s="117"/>
    </row>
    <row r="920" spans="1:19" s="146" customFormat="1" ht="18" customHeight="1">
      <c r="A920" s="183">
        <v>4</v>
      </c>
      <c r="B920" s="1060"/>
      <c r="C920" s="1060"/>
      <c r="D920" s="1060"/>
      <c r="E920" s="154" t="s">
        <v>113</v>
      </c>
      <c r="F920" s="1060"/>
      <c r="G920" s="140"/>
      <c r="H920" s="141" t="s">
        <v>967</v>
      </c>
      <c r="I920" s="184" t="s">
        <v>394</v>
      </c>
      <c r="J920" s="143">
        <v>218100</v>
      </c>
      <c r="K920" s="184" t="s">
        <v>394</v>
      </c>
      <c r="L920" s="143">
        <v>228240</v>
      </c>
      <c r="M920" s="144">
        <f>L920-J920</f>
        <v>10140</v>
      </c>
      <c r="N920" s="1015">
        <f t="shared" ref="N920:N921" si="21">L920/12</f>
        <v>19020</v>
      </c>
      <c r="O920" s="115">
        <f>L920-J920</f>
        <v>10140</v>
      </c>
      <c r="P920" s="115">
        <f>O920-M920</f>
        <v>0</v>
      </c>
      <c r="Q920" s="116">
        <v>15910</v>
      </c>
      <c r="R920" s="116">
        <f>Q920*12</f>
        <v>190920</v>
      </c>
      <c r="S920" s="145">
        <f>R920-L920</f>
        <v>-37320</v>
      </c>
    </row>
    <row r="921" spans="1:19" s="146" customFormat="1" ht="18" customHeight="1">
      <c r="A921" s="183"/>
      <c r="B921" s="1060"/>
      <c r="C921" s="1060"/>
      <c r="D921" s="1060"/>
      <c r="E921" s="154"/>
      <c r="F921" s="1060"/>
      <c r="G921" s="140"/>
      <c r="H921" s="141"/>
      <c r="I921" s="184"/>
      <c r="J921" s="143"/>
      <c r="K921" s="184"/>
      <c r="L921" s="143"/>
      <c r="M921" s="144"/>
      <c r="N921" s="1015">
        <f t="shared" si="21"/>
        <v>0</v>
      </c>
      <c r="O921" s="115"/>
      <c r="P921" s="115"/>
      <c r="Q921" s="116"/>
      <c r="R921" s="116"/>
      <c r="S921" s="145"/>
    </row>
    <row r="922" spans="1:19" s="146" customFormat="1" ht="18" customHeight="1">
      <c r="A922" s="183"/>
      <c r="B922" s="1060"/>
      <c r="C922" s="1060"/>
      <c r="D922" s="1060"/>
      <c r="E922" s="154"/>
      <c r="F922" s="1060"/>
      <c r="G922" s="140"/>
      <c r="H922" s="141"/>
      <c r="I922" s="184"/>
      <c r="J922" s="143"/>
      <c r="K922" s="184"/>
      <c r="L922" s="143"/>
      <c r="M922" s="144"/>
      <c r="N922" s="1015"/>
      <c r="O922" s="115"/>
      <c r="P922" s="115"/>
      <c r="Q922" s="116"/>
      <c r="R922" s="116"/>
      <c r="S922" s="145"/>
    </row>
    <row r="923" spans="1:19" s="146" customFormat="1" ht="18" customHeight="1">
      <c r="A923" s="183"/>
      <c r="B923" s="1060"/>
      <c r="C923" s="1060"/>
      <c r="D923" s="1060"/>
      <c r="E923" s="154"/>
      <c r="F923" s="1060"/>
      <c r="G923" s="140"/>
      <c r="H923" s="141"/>
      <c r="I923" s="185"/>
      <c r="J923" s="143"/>
      <c r="K923" s="185"/>
      <c r="L923" s="143"/>
      <c r="M923" s="144"/>
      <c r="N923" s="1015"/>
      <c r="O923" s="115"/>
      <c r="P923" s="115"/>
      <c r="Q923" s="116"/>
      <c r="R923" s="116"/>
      <c r="S923" s="117"/>
    </row>
    <row r="924" spans="1:19" s="146" customFormat="1" ht="18" customHeight="1">
      <c r="A924" s="183">
        <v>5</v>
      </c>
      <c r="B924" s="1060"/>
      <c r="C924" s="1060"/>
      <c r="D924" s="1060"/>
      <c r="E924" s="154" t="s">
        <v>113</v>
      </c>
      <c r="F924" s="1060"/>
      <c r="G924" s="140"/>
      <c r="H924" s="141" t="s">
        <v>425</v>
      </c>
      <c r="I924" s="184" t="s">
        <v>946</v>
      </c>
      <c r="J924" s="143">
        <v>219924</v>
      </c>
      <c r="K924" s="184" t="s">
        <v>946</v>
      </c>
      <c r="L924" s="143">
        <v>230148</v>
      </c>
      <c r="M924" s="144">
        <f>L924-J924</f>
        <v>10224</v>
      </c>
      <c r="N924" s="1015">
        <f t="shared" ref="N924:N925" si="22">L924/12</f>
        <v>19179</v>
      </c>
      <c r="O924" s="115">
        <f>L924-J924</f>
        <v>10224</v>
      </c>
      <c r="P924" s="115">
        <f>O924-M924</f>
        <v>0</v>
      </c>
      <c r="Q924" s="116">
        <v>15910</v>
      </c>
      <c r="R924" s="116">
        <f>Q924*12</f>
        <v>190920</v>
      </c>
      <c r="S924" s="145">
        <f>R924-L924</f>
        <v>-39228</v>
      </c>
    </row>
    <row r="925" spans="1:19" s="146" customFormat="1" ht="18" customHeight="1">
      <c r="A925" s="183"/>
      <c r="B925" s="1060"/>
      <c r="C925" s="1060"/>
      <c r="D925" s="1060"/>
      <c r="E925" s="154"/>
      <c r="F925" s="1060"/>
      <c r="G925" s="140"/>
      <c r="H925" s="141"/>
      <c r="I925" s="184"/>
      <c r="J925" s="143"/>
      <c r="K925" s="184"/>
      <c r="L925" s="143"/>
      <c r="M925" s="144"/>
      <c r="N925" s="1015">
        <f t="shared" si="22"/>
        <v>0</v>
      </c>
      <c r="O925" s="115"/>
      <c r="P925" s="115"/>
      <c r="Q925" s="116"/>
      <c r="R925" s="116"/>
      <c r="S925" s="145"/>
    </row>
    <row r="926" spans="1:19" s="146" customFormat="1" ht="18" customHeight="1">
      <c r="A926" s="183"/>
      <c r="B926" s="1060"/>
      <c r="C926" s="1060"/>
      <c r="D926" s="1060"/>
      <c r="E926" s="154"/>
      <c r="F926" s="1060"/>
      <c r="G926" s="140"/>
      <c r="H926" s="141"/>
      <c r="I926" s="184"/>
      <c r="J926" s="143"/>
      <c r="K926" s="184"/>
      <c r="L926" s="143"/>
      <c r="M926" s="144"/>
      <c r="N926" s="1015"/>
      <c r="O926" s="115"/>
      <c r="P926" s="115"/>
      <c r="Q926" s="116"/>
      <c r="R926" s="116"/>
      <c r="S926" s="145"/>
    </row>
    <row r="927" spans="1:19" s="146" customFormat="1" ht="18" customHeight="1">
      <c r="A927" s="183"/>
      <c r="B927" s="1060"/>
      <c r="C927" s="1060"/>
      <c r="D927" s="1060"/>
      <c r="E927" s="154"/>
      <c r="F927" s="1060"/>
      <c r="G927" s="140"/>
      <c r="H927" s="141"/>
      <c r="I927" s="185"/>
      <c r="J927" s="143"/>
      <c r="K927" s="185"/>
      <c r="L927" s="143"/>
      <c r="M927" s="144"/>
      <c r="N927" s="1015"/>
      <c r="O927" s="115"/>
      <c r="P927" s="115"/>
      <c r="Q927" s="116"/>
      <c r="R927" s="116"/>
      <c r="S927" s="117"/>
    </row>
    <row r="928" spans="1:19" s="146" customFormat="1" ht="18" customHeight="1">
      <c r="A928" s="183">
        <v>6</v>
      </c>
      <c r="B928" s="1060"/>
      <c r="C928" s="1060"/>
      <c r="D928" s="1060"/>
      <c r="E928" s="154" t="s">
        <v>113</v>
      </c>
      <c r="F928" s="1060"/>
      <c r="G928" s="140"/>
      <c r="H928" s="141" t="s">
        <v>1510</v>
      </c>
      <c r="I928" s="184" t="s">
        <v>141</v>
      </c>
      <c r="J928" s="143">
        <v>216288</v>
      </c>
      <c r="K928" s="184" t="s">
        <v>141</v>
      </c>
      <c r="L928" s="143">
        <v>226344</v>
      </c>
      <c r="M928" s="144">
        <f>L928-J928</f>
        <v>10056</v>
      </c>
      <c r="N928" s="1015">
        <f>L928/12</f>
        <v>18862</v>
      </c>
      <c r="O928" s="115">
        <f>L928-J928</f>
        <v>10056</v>
      </c>
      <c r="P928" s="115">
        <f>O928-M928</f>
        <v>0</v>
      </c>
      <c r="Q928" s="116">
        <v>16913</v>
      </c>
      <c r="R928" s="116">
        <f>Q928*12</f>
        <v>202956</v>
      </c>
      <c r="S928" s="145">
        <f>R928-L928</f>
        <v>-23388</v>
      </c>
    </row>
    <row r="929" spans="1:19" s="146" customFormat="1" ht="18" customHeight="1">
      <c r="A929" s="183"/>
      <c r="B929" s="1060"/>
      <c r="C929" s="1060"/>
      <c r="D929" s="1060"/>
      <c r="E929" s="154"/>
      <c r="F929" s="1060"/>
      <c r="G929" s="140"/>
      <c r="H929" s="141"/>
      <c r="I929" s="184"/>
      <c r="J929" s="143"/>
      <c r="K929" s="184"/>
      <c r="L929" s="143"/>
      <c r="M929" s="144"/>
      <c r="N929" s="1015"/>
      <c r="O929" s="115"/>
      <c r="P929" s="115"/>
      <c r="Q929" s="116"/>
      <c r="R929" s="116"/>
      <c r="S929" s="117"/>
    </row>
    <row r="930" spans="1:19" s="146" customFormat="1" ht="18" customHeight="1">
      <c r="A930" s="183"/>
      <c r="B930" s="1060"/>
      <c r="C930" s="1060"/>
      <c r="D930" s="1060"/>
      <c r="E930" s="154"/>
      <c r="F930" s="1060"/>
      <c r="G930" s="140"/>
      <c r="H930" s="141"/>
      <c r="I930" s="184"/>
      <c r="J930" s="143"/>
      <c r="K930" s="184"/>
      <c r="L930" s="143"/>
      <c r="M930" s="144"/>
      <c r="N930" s="1015"/>
      <c r="O930" s="115"/>
      <c r="P930" s="115"/>
      <c r="Q930" s="116"/>
      <c r="R930" s="116"/>
      <c r="S930" s="117"/>
    </row>
    <row r="931" spans="1:19" s="146" customFormat="1" ht="18" customHeight="1">
      <c r="A931" s="183"/>
      <c r="B931" s="1060"/>
      <c r="C931" s="1060"/>
      <c r="D931" s="1060"/>
      <c r="E931" s="154"/>
      <c r="F931" s="1060"/>
      <c r="G931" s="140"/>
      <c r="H931" s="141"/>
      <c r="I931" s="185"/>
      <c r="J931" s="143"/>
      <c r="K931" s="185"/>
      <c r="L931" s="143"/>
      <c r="M931" s="144"/>
      <c r="N931" s="1015"/>
      <c r="O931" s="115"/>
      <c r="P931" s="115"/>
      <c r="Q931" s="116"/>
      <c r="R931" s="116"/>
      <c r="S931" s="117"/>
    </row>
    <row r="932" spans="1:19" s="146" customFormat="1" ht="18" customHeight="1">
      <c r="A932" s="183">
        <v>7</v>
      </c>
      <c r="B932" s="1060"/>
      <c r="C932" s="1060"/>
      <c r="D932" s="1060"/>
      <c r="E932" s="154" t="s">
        <v>113</v>
      </c>
      <c r="F932" s="1060"/>
      <c r="G932" s="140"/>
      <c r="H932" s="141" t="s">
        <v>249</v>
      </c>
      <c r="I932" s="184" t="s">
        <v>946</v>
      </c>
      <c r="J932" s="143">
        <v>219924</v>
      </c>
      <c r="K932" s="184" t="s">
        <v>946</v>
      </c>
      <c r="L932" s="143">
        <v>230148</v>
      </c>
      <c r="M932" s="144">
        <f>L932-J932</f>
        <v>10224</v>
      </c>
      <c r="N932" s="1015">
        <f>L932/12</f>
        <v>19179</v>
      </c>
      <c r="O932" s="115">
        <f>L932-J932</f>
        <v>10224</v>
      </c>
      <c r="P932" s="115">
        <f>O932-M932</f>
        <v>0</v>
      </c>
      <c r="Q932" s="116">
        <v>16051</v>
      </c>
      <c r="R932" s="116">
        <f>Q932*12</f>
        <v>192612</v>
      </c>
      <c r="S932" s="145">
        <f>R932-L932</f>
        <v>-37536</v>
      </c>
    </row>
    <row r="933" spans="1:19" s="146" customFormat="1" ht="18" customHeight="1">
      <c r="A933" s="183"/>
      <c r="B933" s="1060"/>
      <c r="C933" s="1060"/>
      <c r="D933" s="1060"/>
      <c r="E933" s="154"/>
      <c r="F933" s="1060"/>
      <c r="G933" s="140"/>
      <c r="H933" s="141"/>
      <c r="I933" s="184"/>
      <c r="J933" s="149"/>
      <c r="K933" s="184"/>
      <c r="L933" s="149"/>
      <c r="M933" s="144"/>
      <c r="N933" s="1015"/>
      <c r="O933" s="115"/>
      <c r="P933" s="115"/>
      <c r="Q933" s="116"/>
      <c r="R933" s="116"/>
      <c r="S933" s="145"/>
    </row>
    <row r="934" spans="1:19" s="146" customFormat="1" ht="18" customHeight="1">
      <c r="A934" s="183"/>
      <c r="B934" s="1060"/>
      <c r="C934" s="1060"/>
      <c r="D934" s="1060"/>
      <c r="E934" s="154"/>
      <c r="F934" s="1060"/>
      <c r="G934" s="140"/>
      <c r="H934" s="141"/>
      <c r="I934" s="184"/>
      <c r="J934" s="149"/>
      <c r="K934" s="184"/>
      <c r="L934" s="149"/>
      <c r="M934" s="144"/>
      <c r="N934" s="1015"/>
      <c r="O934" s="115"/>
      <c r="P934" s="115"/>
      <c r="Q934" s="116"/>
      <c r="R934" s="116"/>
      <c r="S934" s="145"/>
    </row>
    <row r="935" spans="1:19" s="146" customFormat="1" ht="18" customHeight="1">
      <c r="A935" s="183"/>
      <c r="B935" s="1060"/>
      <c r="C935" s="1060"/>
      <c r="D935" s="1060"/>
      <c r="E935" s="154"/>
      <c r="F935" s="1060"/>
      <c r="G935" s="140"/>
      <c r="H935" s="141"/>
      <c r="I935" s="185"/>
      <c r="J935" s="149"/>
      <c r="K935" s="185"/>
      <c r="L935" s="149"/>
      <c r="M935" s="144"/>
      <c r="N935" s="1015"/>
      <c r="O935" s="115"/>
      <c r="P935" s="115"/>
      <c r="Q935" s="116"/>
      <c r="R935" s="116"/>
      <c r="S935" s="117"/>
    </row>
    <row r="936" spans="1:19" s="146" customFormat="1" ht="18" customHeight="1">
      <c r="A936" s="183">
        <v>8</v>
      </c>
      <c r="B936" s="1060"/>
      <c r="C936" s="1060"/>
      <c r="D936" s="1060"/>
      <c r="E936" s="154" t="s">
        <v>113</v>
      </c>
      <c r="F936" s="1060"/>
      <c r="G936" s="140"/>
      <c r="H936" s="141" t="s">
        <v>116</v>
      </c>
      <c r="I936" s="184" t="s">
        <v>1459</v>
      </c>
      <c r="J936" s="143">
        <v>225480</v>
      </c>
      <c r="K936" s="184" t="s">
        <v>1459</v>
      </c>
      <c r="L936" s="143">
        <v>235968</v>
      </c>
      <c r="M936" s="144">
        <f>L936-J936</f>
        <v>10488</v>
      </c>
      <c r="N936" s="1015">
        <f>L936/12</f>
        <v>19664</v>
      </c>
      <c r="O936" s="115">
        <f>L936-J936</f>
        <v>10488</v>
      </c>
      <c r="P936" s="115">
        <f>O936-M936</f>
        <v>0</v>
      </c>
      <c r="Q936" s="116">
        <v>16476</v>
      </c>
      <c r="R936" s="116">
        <f>Q936*12</f>
        <v>197712</v>
      </c>
      <c r="S936" s="145">
        <f>R936-L936</f>
        <v>-38256</v>
      </c>
    </row>
    <row r="937" spans="1:19" s="146" customFormat="1" ht="18" customHeight="1">
      <c r="A937" s="183"/>
      <c r="B937" s="1060"/>
      <c r="C937" s="1060"/>
      <c r="D937" s="1060"/>
      <c r="E937" s="154"/>
      <c r="F937" s="1060"/>
      <c r="G937" s="140"/>
      <c r="H937" s="141"/>
      <c r="I937" s="184"/>
      <c r="J937" s="149"/>
      <c r="K937" s="184"/>
      <c r="L937" s="149"/>
      <c r="M937" s="144"/>
      <c r="N937" s="1015"/>
      <c r="O937" s="115"/>
      <c r="P937" s="115"/>
      <c r="Q937" s="116"/>
      <c r="R937" s="116"/>
      <c r="S937" s="145"/>
    </row>
    <row r="938" spans="1:19" s="146" customFormat="1" ht="18" customHeight="1">
      <c r="A938" s="183"/>
      <c r="B938" s="1060"/>
      <c r="C938" s="1060"/>
      <c r="D938" s="1060"/>
      <c r="E938" s="154"/>
      <c r="F938" s="1060"/>
      <c r="G938" s="140"/>
      <c r="H938" s="141"/>
      <c r="I938" s="184"/>
      <c r="J938" s="149"/>
      <c r="K938" s="184"/>
      <c r="L938" s="149"/>
      <c r="M938" s="144"/>
      <c r="N938" s="1015"/>
      <c r="O938" s="115"/>
      <c r="P938" s="115"/>
      <c r="Q938" s="116"/>
      <c r="R938" s="116"/>
      <c r="S938" s="145"/>
    </row>
    <row r="939" spans="1:19" s="146" customFormat="1" ht="18" customHeight="1">
      <c r="A939" s="183"/>
      <c r="B939" s="1060"/>
      <c r="C939" s="1060"/>
      <c r="D939" s="1060"/>
      <c r="E939" s="154"/>
      <c r="F939" s="1060"/>
      <c r="G939" s="140"/>
      <c r="H939" s="141"/>
      <c r="I939" s="184"/>
      <c r="J939" s="143"/>
      <c r="K939" s="184"/>
      <c r="L939" s="143"/>
      <c r="M939" s="144"/>
      <c r="N939" s="1015"/>
      <c r="O939" s="115"/>
      <c r="P939" s="115"/>
      <c r="Q939" s="116"/>
      <c r="R939" s="116"/>
      <c r="S939" s="117"/>
    </row>
    <row r="940" spans="1:19" s="146" customFormat="1" ht="18" customHeight="1">
      <c r="A940" s="183">
        <v>9</v>
      </c>
      <c r="B940" s="1060"/>
      <c r="C940" s="1060"/>
      <c r="D940" s="1060"/>
      <c r="E940" s="1059" t="s">
        <v>973</v>
      </c>
      <c r="F940" s="1060"/>
      <c r="G940" s="140"/>
      <c r="H940" s="141" t="s">
        <v>115</v>
      </c>
      <c r="I940" s="205" t="s">
        <v>53</v>
      </c>
      <c r="J940" s="143">
        <v>342468</v>
      </c>
      <c r="K940" s="205" t="s">
        <v>53</v>
      </c>
      <c r="L940" s="143">
        <v>357984</v>
      </c>
      <c r="M940" s="144">
        <f>L940-J940</f>
        <v>15516</v>
      </c>
      <c r="N940" s="1015">
        <f>L940/12</f>
        <v>29832</v>
      </c>
      <c r="O940" s="115"/>
      <c r="P940" s="115"/>
      <c r="Q940" s="116"/>
      <c r="R940" s="116"/>
      <c r="S940" s="117"/>
    </row>
    <row r="941" spans="1:19" s="146" customFormat="1" ht="18" customHeight="1">
      <c r="A941" s="183"/>
      <c r="B941" s="1060"/>
      <c r="C941" s="1060"/>
      <c r="D941" s="1060"/>
      <c r="E941" s="1059"/>
      <c r="F941" s="1060"/>
      <c r="G941" s="140"/>
      <c r="H941" s="141"/>
      <c r="I941" s="205"/>
      <c r="J941" s="143"/>
      <c r="K941" s="205" t="s">
        <v>434</v>
      </c>
      <c r="L941" s="143">
        <v>361848</v>
      </c>
      <c r="M941" s="144">
        <v>3864</v>
      </c>
      <c r="N941" s="1015"/>
      <c r="O941" s="115"/>
      <c r="P941" s="115"/>
      <c r="Q941" s="116"/>
      <c r="R941" s="116"/>
      <c r="S941" s="117"/>
    </row>
    <row r="942" spans="1:19" s="146" customFormat="1" ht="18" customHeight="1">
      <c r="A942" s="183"/>
      <c r="B942" s="1060"/>
      <c r="C942" s="1060"/>
      <c r="D942" s="1060"/>
      <c r="E942" s="1059"/>
      <c r="F942" s="1060"/>
      <c r="G942" s="140"/>
      <c r="H942" s="141"/>
      <c r="I942" s="205"/>
      <c r="J942" s="143"/>
      <c r="K942" s="205"/>
      <c r="L942" s="149">
        <v>44580</v>
      </c>
      <c r="M942" s="144"/>
      <c r="N942" s="1015"/>
      <c r="O942" s="115"/>
      <c r="P942" s="115"/>
      <c r="Q942" s="116"/>
      <c r="R942" s="116"/>
      <c r="S942" s="117"/>
    </row>
    <row r="943" spans="1:19" s="146" customFormat="1" ht="18" customHeight="1">
      <c r="A943" s="183"/>
      <c r="B943" s="1060"/>
      <c r="C943" s="1060"/>
      <c r="D943" s="1060"/>
      <c r="E943" s="1059"/>
      <c r="F943" s="1060"/>
      <c r="G943" s="140"/>
      <c r="H943" s="141"/>
      <c r="I943" s="205"/>
      <c r="J943" s="143"/>
      <c r="K943" s="205"/>
      <c r="L943" s="149"/>
      <c r="M943" s="144"/>
      <c r="N943" s="1015"/>
      <c r="O943" s="115"/>
      <c r="P943" s="115"/>
      <c r="Q943" s="116"/>
      <c r="R943" s="116"/>
      <c r="S943" s="117"/>
    </row>
    <row r="944" spans="1:19" s="146" customFormat="1" ht="18" customHeight="1">
      <c r="A944" s="183"/>
      <c r="B944" s="1060"/>
      <c r="C944" s="1060"/>
      <c r="D944" s="1060"/>
      <c r="E944" s="1059"/>
      <c r="F944" s="1060"/>
      <c r="G944" s="140"/>
      <c r="H944" s="141"/>
      <c r="I944" s="205"/>
      <c r="J944" s="143"/>
      <c r="K944" s="205"/>
      <c r="L944" s="149"/>
      <c r="M944" s="144"/>
      <c r="N944" s="1015"/>
      <c r="O944" s="115"/>
      <c r="P944" s="115"/>
      <c r="Q944" s="116"/>
      <c r="R944" s="116"/>
      <c r="S944" s="117"/>
    </row>
    <row r="945" spans="1:19" s="146" customFormat="1" ht="18" customHeight="1">
      <c r="A945" s="183"/>
      <c r="B945" s="1060"/>
      <c r="C945" s="1060"/>
      <c r="D945" s="1060"/>
      <c r="E945" s="1059"/>
      <c r="F945" s="1060"/>
      <c r="G945" s="140"/>
      <c r="H945" s="141"/>
      <c r="I945" s="142"/>
      <c r="J945" s="143"/>
      <c r="K945" s="142"/>
      <c r="L945" s="143"/>
      <c r="M945" s="143"/>
      <c r="N945" s="170"/>
      <c r="O945" s="115"/>
      <c r="P945" s="115"/>
      <c r="Q945" s="116"/>
      <c r="R945" s="116"/>
      <c r="S945" s="117"/>
    </row>
    <row r="946" spans="1:19" s="168" customFormat="1" ht="18" customHeight="1" thickBot="1">
      <c r="A946" s="161"/>
      <c r="B946" s="158"/>
      <c r="C946" s="158"/>
      <c r="D946" s="158"/>
      <c r="E946" s="186"/>
      <c r="F946" s="158"/>
      <c r="G946" s="160"/>
      <c r="H946" s="161" t="s">
        <v>15</v>
      </c>
      <c r="I946" s="187"/>
      <c r="J946" s="164">
        <f>SUM(J907:J945)</f>
        <v>2816388</v>
      </c>
      <c r="K946" s="187"/>
      <c r="L946" s="164"/>
      <c r="M946" s="164">
        <f>SUM(M907:M945)</f>
        <v>109092</v>
      </c>
      <c r="N946" s="171"/>
      <c r="O946" s="165"/>
      <c r="P946" s="165"/>
      <c r="Q946" s="166"/>
      <c r="R946" s="166"/>
      <c r="S946" s="167"/>
    </row>
    <row r="947" spans="1:19" s="146" customFormat="1" ht="18" customHeight="1" thickTop="1">
      <c r="A947" s="1060"/>
      <c r="B947" s="1060"/>
      <c r="C947" s="1060"/>
      <c r="D947" s="1060"/>
      <c r="E947" s="1060"/>
      <c r="F947" s="1060"/>
      <c r="G947" s="155"/>
      <c r="H947" s="155"/>
      <c r="I947" s="1060"/>
      <c r="J947" s="171"/>
      <c r="K947" s="152"/>
      <c r="L947" s="171"/>
      <c r="M947" s="171"/>
      <c r="N947" s="171"/>
      <c r="O947" s="115"/>
      <c r="P947" s="115"/>
      <c r="Q947" s="116"/>
      <c r="R947" s="116"/>
      <c r="S947" s="117"/>
    </row>
    <row r="948" spans="1:19" s="146" customFormat="1" ht="18" customHeight="1">
      <c r="A948" s="1060"/>
      <c r="B948" s="1060"/>
      <c r="C948" s="1060"/>
      <c r="D948" s="1060"/>
      <c r="E948" s="1060"/>
      <c r="F948" s="1060"/>
      <c r="G948" s="155"/>
      <c r="H948" s="155"/>
      <c r="I948" s="1060"/>
      <c r="J948" s="171"/>
      <c r="K948" s="152"/>
      <c r="L948" s="171"/>
      <c r="M948" s="171"/>
      <c r="N948" s="171"/>
      <c r="O948" s="115"/>
      <c r="P948" s="115"/>
      <c r="Q948" s="116"/>
      <c r="R948" s="116"/>
      <c r="S948" s="117"/>
    </row>
    <row r="949" spans="1:19" s="146" customFormat="1" ht="18" customHeight="1">
      <c r="A949" s="1060"/>
      <c r="B949" s="1060"/>
      <c r="C949" s="1060"/>
      <c r="D949" s="1060"/>
      <c r="E949" s="1060"/>
      <c r="F949" s="1060"/>
      <c r="G949" s="155"/>
      <c r="H949" s="155"/>
      <c r="I949" s="1060"/>
      <c r="J949" s="170"/>
      <c r="K949" s="152"/>
      <c r="L949" s="170"/>
      <c r="M949" s="170"/>
      <c r="N949" s="170"/>
      <c r="O949" s="115"/>
      <c r="P949" s="115"/>
      <c r="Q949" s="116"/>
      <c r="R949" s="116"/>
      <c r="S949" s="117"/>
    </row>
    <row r="950" spans="1:19" s="146" customFormat="1" ht="18" customHeight="1">
      <c r="A950" s="173" t="s">
        <v>626</v>
      </c>
      <c r="B950" s="173"/>
      <c r="C950" s="1052"/>
      <c r="D950" s="1052"/>
      <c r="E950" s="174"/>
      <c r="F950" s="174"/>
      <c r="G950" s="174"/>
      <c r="H950" s="173" t="s">
        <v>627</v>
      </c>
      <c r="I950" s="174"/>
      <c r="K950" s="173" t="s">
        <v>258</v>
      </c>
      <c r="L950" s="175"/>
      <c r="M950" s="175"/>
      <c r="N950" s="175"/>
      <c r="O950" s="115"/>
      <c r="P950" s="115"/>
      <c r="Q950" s="116"/>
      <c r="R950" s="116"/>
      <c r="S950" s="117"/>
    </row>
    <row r="951" spans="1:19" s="146" customFormat="1" ht="18" customHeight="1">
      <c r="A951" s="174"/>
      <c r="B951" s="174"/>
      <c r="C951" s="1053"/>
      <c r="D951" s="1053"/>
      <c r="E951" s="174"/>
      <c r="F951" s="174"/>
      <c r="G951" s="174"/>
      <c r="H951" s="174"/>
      <c r="I951" s="174"/>
      <c r="J951" s="174"/>
      <c r="K951" s="176"/>
      <c r="L951" s="175"/>
      <c r="M951" s="175"/>
      <c r="N951" s="175"/>
      <c r="O951" s="115"/>
      <c r="P951" s="115"/>
      <c r="Q951" s="116"/>
      <c r="R951" s="116"/>
      <c r="S951" s="117"/>
    </row>
    <row r="952" spans="1:19" s="146" customFormat="1" ht="18" customHeight="1">
      <c r="A952" s="1310" t="s">
        <v>65</v>
      </c>
      <c r="B952" s="1310"/>
      <c r="C952" s="1310"/>
      <c r="D952" s="1310"/>
      <c r="E952" s="1310"/>
      <c r="F952" s="1310"/>
      <c r="G952" s="174"/>
      <c r="H952" s="1310" t="s">
        <v>17</v>
      </c>
      <c r="I952" s="1310"/>
      <c r="J952" s="174"/>
      <c r="K952" s="1310" t="s">
        <v>1454</v>
      </c>
      <c r="L952" s="1310"/>
      <c r="M952" s="1310"/>
      <c r="N952" s="1052"/>
      <c r="O952" s="115"/>
      <c r="P952" s="115"/>
      <c r="Q952" s="116"/>
      <c r="R952" s="116"/>
      <c r="S952" s="117"/>
    </row>
    <row r="953" spans="1:19" s="146" customFormat="1" ht="18" customHeight="1">
      <c r="A953" s="1294" t="s">
        <v>430</v>
      </c>
      <c r="B953" s="1294"/>
      <c r="C953" s="1294"/>
      <c r="D953" s="1294"/>
      <c r="E953" s="1294"/>
      <c r="F953" s="1294"/>
      <c r="G953" s="177"/>
      <c r="H953" s="1294" t="s">
        <v>18</v>
      </c>
      <c r="I953" s="1294"/>
      <c r="J953" s="1052"/>
      <c r="K953" s="1294" t="s">
        <v>14</v>
      </c>
      <c r="L953" s="1294"/>
      <c r="M953" s="1294"/>
      <c r="N953" s="1053"/>
      <c r="O953" s="115"/>
      <c r="P953" s="115"/>
      <c r="Q953" s="116"/>
      <c r="R953" s="116"/>
      <c r="S953" s="117"/>
    </row>
    <row r="954" spans="1:19" s="146" customFormat="1" ht="18" customHeight="1">
      <c r="A954" s="1053"/>
      <c r="B954" s="1053"/>
      <c r="C954" s="1053"/>
      <c r="D954" s="1053"/>
      <c r="E954" s="1053"/>
      <c r="F954" s="1053"/>
      <c r="G954" s="177"/>
      <c r="H954" s="1053"/>
      <c r="I954" s="1053"/>
      <c r="J954" s="1052"/>
      <c r="K954" s="1053"/>
      <c r="L954" s="1053"/>
      <c r="M954" s="1053"/>
      <c r="N954" s="1053"/>
      <c r="O954" s="115"/>
      <c r="P954" s="115"/>
      <c r="Q954" s="116"/>
      <c r="R954" s="116"/>
      <c r="S954" s="117"/>
    </row>
    <row r="955" spans="1:19" s="146" customFormat="1" ht="18" customHeight="1">
      <c r="A955" s="1053"/>
      <c r="B955" s="1053"/>
      <c r="C955" s="1053"/>
      <c r="D955" s="1053"/>
      <c r="E955" s="1053"/>
      <c r="F955" s="1053"/>
      <c r="G955" s="177"/>
      <c r="H955" s="1053"/>
      <c r="I955" s="1053"/>
      <c r="J955" s="1052"/>
      <c r="K955" s="1053"/>
      <c r="L955" s="1053"/>
      <c r="M955" s="1053"/>
      <c r="N955" s="1053"/>
      <c r="O955" s="115"/>
      <c r="P955" s="115"/>
      <c r="Q955" s="116"/>
      <c r="R955" s="116"/>
      <c r="S955" s="117"/>
    </row>
    <row r="956" spans="1:19" s="146" customFormat="1" ht="18" customHeight="1">
      <c r="A956" s="1053"/>
      <c r="B956" s="1053"/>
      <c r="C956" s="1053"/>
      <c r="D956" s="1053"/>
      <c r="E956" s="1053"/>
      <c r="F956" s="1053"/>
      <c r="G956" s="177"/>
      <c r="H956" s="1053"/>
      <c r="I956" s="1053"/>
      <c r="J956" s="1052"/>
      <c r="K956" s="1053"/>
      <c r="L956" s="1053"/>
      <c r="M956" s="1053"/>
      <c r="N956" s="1053"/>
      <c r="O956" s="115"/>
      <c r="P956" s="115"/>
      <c r="Q956" s="116"/>
      <c r="R956" s="116"/>
      <c r="S956" s="117"/>
    </row>
    <row r="957" spans="1:19" s="146" customFormat="1" ht="18" customHeight="1">
      <c r="A957" s="1053"/>
      <c r="B957" s="1053"/>
      <c r="C957" s="1053"/>
      <c r="D957" s="1053"/>
      <c r="E957" s="1053"/>
      <c r="F957" s="1053"/>
      <c r="G957" s="177"/>
      <c r="H957" s="1053"/>
      <c r="I957" s="1053"/>
      <c r="J957" s="1052"/>
      <c r="K957" s="1053"/>
      <c r="L957" s="1053"/>
      <c r="M957" s="1053"/>
      <c r="N957" s="1053"/>
      <c r="O957" s="115"/>
      <c r="P957" s="115"/>
      <c r="Q957" s="116"/>
      <c r="R957" s="116"/>
      <c r="S957" s="117"/>
    </row>
    <row r="958" spans="1:19" s="146" customFormat="1" ht="18" customHeight="1">
      <c r="A958" s="1053"/>
      <c r="B958" s="1053"/>
      <c r="C958" s="1053"/>
      <c r="D958" s="1053"/>
      <c r="E958" s="1053"/>
      <c r="F958" s="1053"/>
      <c r="G958" s="177"/>
      <c r="H958" s="1053"/>
      <c r="I958" s="1053"/>
      <c r="J958" s="1052"/>
      <c r="K958" s="1053"/>
      <c r="L958" s="1053"/>
      <c r="M958" s="1053"/>
      <c r="N958" s="1053"/>
      <c r="O958" s="115"/>
      <c r="P958" s="115"/>
      <c r="Q958" s="116"/>
      <c r="R958" s="116"/>
      <c r="S958" s="117"/>
    </row>
    <row r="959" spans="1:19" s="146" customFormat="1" ht="18" customHeight="1">
      <c r="A959" s="1053"/>
      <c r="B959" s="1053"/>
      <c r="C959" s="1053"/>
      <c r="D959" s="1053"/>
      <c r="E959" s="1053"/>
      <c r="F959" s="1053"/>
      <c r="G959" s="177"/>
      <c r="H959" s="1053"/>
      <c r="I959" s="1053"/>
      <c r="J959" s="1052"/>
      <c r="K959" s="1053"/>
      <c r="L959" s="1053"/>
      <c r="M959" s="1053"/>
      <c r="N959" s="1053"/>
      <c r="O959" s="115"/>
      <c r="P959" s="115"/>
      <c r="Q959" s="116"/>
      <c r="R959" s="116"/>
      <c r="S959" s="117"/>
    </row>
    <row r="960" spans="1:19" s="146" customFormat="1" ht="18" customHeight="1">
      <c r="A960" s="1053"/>
      <c r="B960" s="1053"/>
      <c r="C960" s="1053"/>
      <c r="D960" s="1053"/>
      <c r="E960" s="1053"/>
      <c r="F960" s="1053"/>
      <c r="G960" s="177"/>
      <c r="H960" s="1053"/>
      <c r="I960" s="1053"/>
      <c r="J960" s="1052"/>
      <c r="K960" s="1053"/>
      <c r="L960" s="1053"/>
      <c r="M960" s="1053"/>
      <c r="N960" s="1053"/>
      <c r="O960" s="115"/>
      <c r="P960" s="115"/>
      <c r="Q960" s="116"/>
      <c r="R960" s="116"/>
      <c r="S960" s="117"/>
    </row>
    <row r="961" spans="1:15" ht="18" customHeight="1">
      <c r="A961" s="111"/>
      <c r="B961" s="111"/>
      <c r="C961" s="1050"/>
      <c r="D961" s="1050"/>
      <c r="E961" s="1321"/>
      <c r="F961" s="1321"/>
      <c r="G961" s="1321"/>
      <c r="H961" s="1050"/>
      <c r="I961" s="1050"/>
      <c r="J961" s="1050"/>
      <c r="K961" s="1321"/>
      <c r="L961" s="1321"/>
      <c r="M961" s="1321"/>
      <c r="N961" s="1050"/>
    </row>
    <row r="962" spans="1:15" ht="18" customHeight="1">
      <c r="A962" s="111"/>
      <c r="B962" s="111"/>
      <c r="C962" s="1050"/>
      <c r="D962" s="1050"/>
      <c r="E962" s="111"/>
      <c r="F962" s="111"/>
      <c r="G962" s="111"/>
      <c r="H962" s="111"/>
      <c r="I962" s="111"/>
      <c r="J962" s="111"/>
      <c r="K962" s="112"/>
      <c r="M962" s="113"/>
      <c r="N962" s="113"/>
    </row>
    <row r="963" spans="1:15" ht="18" customHeight="1">
      <c r="A963" s="111"/>
      <c r="B963" s="111"/>
      <c r="C963" s="1050"/>
      <c r="D963" s="1050"/>
      <c r="E963" s="111"/>
      <c r="F963" s="111"/>
      <c r="G963" s="111"/>
      <c r="H963" s="111"/>
      <c r="I963" s="111"/>
      <c r="J963" s="111"/>
      <c r="K963" s="112"/>
      <c r="M963" s="113"/>
      <c r="N963" s="113"/>
    </row>
    <row r="964" spans="1:15" ht="20.100000000000001" customHeight="1">
      <c r="A964" s="1263" t="s">
        <v>1880</v>
      </c>
      <c r="B964" s="1263"/>
      <c r="C964" s="1263"/>
      <c r="D964" s="1263"/>
      <c r="E964" s="1263"/>
      <c r="F964" s="1263"/>
      <c r="G964" s="1263"/>
      <c r="H964" s="1263"/>
      <c r="I964" s="1263"/>
      <c r="J964" s="1263"/>
      <c r="K964" s="1263"/>
      <c r="L964" s="1263"/>
      <c r="M964" s="1263"/>
      <c r="N964" s="1058"/>
    </row>
    <row r="965" spans="1:15" ht="18" customHeight="1">
      <c r="A965" s="110"/>
      <c r="B965" s="110"/>
      <c r="C965" s="1057"/>
      <c r="D965" s="1057"/>
      <c r="E965" s="111"/>
      <c r="F965" s="111"/>
      <c r="G965" s="111"/>
      <c r="H965" s="111"/>
      <c r="I965" s="111"/>
      <c r="J965" s="111"/>
      <c r="K965" s="112"/>
      <c r="M965" s="114"/>
      <c r="N965" s="114"/>
    </row>
    <row r="966" spans="1:15" ht="18" customHeight="1">
      <c r="A966" s="1319" t="s">
        <v>1675</v>
      </c>
      <c r="B966" s="1319"/>
      <c r="C966" s="1319"/>
      <c r="D966" s="1319"/>
      <c r="E966" s="1319"/>
      <c r="F966" s="1319"/>
      <c r="G966" s="1319"/>
      <c r="H966" s="1319"/>
      <c r="I966" s="1319"/>
      <c r="J966" s="1319"/>
      <c r="K966" s="1319"/>
      <c r="L966" s="1319"/>
      <c r="M966" s="1319"/>
      <c r="N966" s="1048"/>
    </row>
    <row r="967" spans="1:15" ht="18" customHeight="1">
      <c r="A967" s="1320" t="s">
        <v>358</v>
      </c>
      <c r="B967" s="1320"/>
      <c r="C967" s="1320"/>
      <c r="D967" s="1320"/>
      <c r="E967" s="1320"/>
      <c r="F967" s="1320"/>
      <c r="G967" s="1320"/>
      <c r="H967" s="1320"/>
      <c r="I967" s="1320"/>
      <c r="J967" s="1320"/>
      <c r="K967" s="1320"/>
      <c r="L967" s="1320"/>
      <c r="M967" s="1320"/>
      <c r="N967" s="1049"/>
    </row>
    <row r="968" spans="1:15" ht="18" customHeight="1">
      <c r="A968" s="1321"/>
      <c r="B968" s="1321"/>
      <c r="C968" s="1321"/>
      <c r="D968" s="1321"/>
      <c r="E968" s="1321"/>
      <c r="F968" s="1321"/>
      <c r="G968" s="1321"/>
      <c r="H968" s="1321"/>
      <c r="I968" s="1321"/>
      <c r="J968" s="1321"/>
      <c r="K968" s="1321"/>
      <c r="L968" s="1321"/>
      <c r="M968" s="1321"/>
      <c r="N968" s="1050"/>
    </row>
    <row r="969" spans="1:15" ht="18" customHeight="1">
      <c r="A969" s="1050"/>
      <c r="B969" s="1050"/>
      <c r="C969" s="1050"/>
      <c r="D969" s="1050"/>
      <c r="E969" s="1050"/>
      <c r="F969" s="1050"/>
      <c r="G969" s="1050"/>
      <c r="H969" s="1050"/>
      <c r="I969" s="1050"/>
      <c r="J969" s="1050"/>
      <c r="K969" s="1050"/>
      <c r="L969" s="1050"/>
      <c r="M969" s="1050"/>
      <c r="N969" s="1050"/>
    </row>
    <row r="970" spans="1:15" ht="18" customHeight="1">
      <c r="A970" s="111" t="s">
        <v>450</v>
      </c>
      <c r="B970" s="111"/>
      <c r="C970" s="111" t="s">
        <v>448</v>
      </c>
      <c r="D970" s="111" t="s">
        <v>475</v>
      </c>
      <c r="E970" s="111"/>
      <c r="F970" s="111"/>
      <c r="G970" s="111"/>
      <c r="H970" s="111"/>
      <c r="I970" s="1050"/>
      <c r="J970" s="1050"/>
      <c r="K970" s="1050"/>
      <c r="L970" s="1050"/>
      <c r="M970" s="1050"/>
      <c r="N970" s="1050"/>
    </row>
    <row r="971" spans="1:15" ht="18" customHeight="1">
      <c r="A971" s="111" t="s">
        <v>473</v>
      </c>
      <c r="B971" s="111"/>
      <c r="C971" s="111" t="s">
        <v>448</v>
      </c>
      <c r="D971" s="111" t="s">
        <v>474</v>
      </c>
      <c r="E971" s="111"/>
      <c r="F971" s="111"/>
      <c r="G971" s="111"/>
      <c r="H971" s="111"/>
      <c r="I971" s="1050"/>
      <c r="J971" s="1050"/>
      <c r="K971" s="1050"/>
      <c r="L971" s="1050"/>
      <c r="M971" s="1050"/>
      <c r="N971" s="1050"/>
      <c r="O971" s="180"/>
    </row>
    <row r="972" spans="1:15" ht="18" customHeight="1" thickBot="1">
      <c r="A972" s="111" t="s">
        <v>455</v>
      </c>
      <c r="B972" s="111"/>
      <c r="C972" s="111" t="s">
        <v>448</v>
      </c>
      <c r="D972" s="111" t="s">
        <v>681</v>
      </c>
      <c r="E972" s="111"/>
      <c r="F972" s="111"/>
      <c r="G972" s="111"/>
      <c r="H972" s="111"/>
      <c r="I972" s="1050"/>
      <c r="J972" s="1050"/>
      <c r="K972" s="1050"/>
      <c r="L972" s="1050"/>
      <c r="M972" s="1050"/>
      <c r="N972" s="1050"/>
      <c r="O972" s="180"/>
    </row>
    <row r="973" spans="1:15" ht="18" customHeight="1">
      <c r="A973" s="1322" t="s">
        <v>631</v>
      </c>
      <c r="B973" s="1323"/>
      <c r="C973" s="1323"/>
      <c r="D973" s="1323"/>
      <c r="E973" s="1324"/>
      <c r="F973" s="1323"/>
      <c r="G973" s="1325"/>
      <c r="H973" s="121"/>
      <c r="I973" s="1326" t="s">
        <v>635</v>
      </c>
      <c r="J973" s="1327"/>
      <c r="K973" s="1326" t="s">
        <v>635</v>
      </c>
      <c r="L973" s="1327"/>
      <c r="M973" s="122"/>
      <c r="N973" s="1012"/>
      <c r="O973" s="180"/>
    </row>
    <row r="974" spans="1:15" ht="18" customHeight="1">
      <c r="A974" s="123" t="s">
        <v>632</v>
      </c>
      <c r="B974" s="1311" t="s">
        <v>633</v>
      </c>
      <c r="C974" s="1312"/>
      <c r="D974" s="1313"/>
      <c r="E974" s="1314" t="s">
        <v>44</v>
      </c>
      <c r="F974" s="1315"/>
      <c r="G974" s="1316"/>
      <c r="H974" s="1054" t="s">
        <v>45</v>
      </c>
      <c r="I974" s="1314" t="s">
        <v>1502</v>
      </c>
      <c r="J974" s="1316"/>
      <c r="K974" s="1315" t="s">
        <v>1676</v>
      </c>
      <c r="L974" s="1316"/>
      <c r="M974" s="124" t="s">
        <v>46</v>
      </c>
      <c r="N974" s="1013"/>
    </row>
    <row r="975" spans="1:15" ht="18" customHeight="1">
      <c r="A975" s="125"/>
      <c r="B975" s="1054"/>
      <c r="C975" s="1055"/>
      <c r="D975" s="1055"/>
      <c r="E975" s="1054"/>
      <c r="F975" s="1055"/>
      <c r="G975" s="1056"/>
      <c r="H975" s="1054" t="s">
        <v>47</v>
      </c>
      <c r="I975" s="1317"/>
      <c r="J975" s="1318"/>
      <c r="K975" s="1317"/>
      <c r="L975" s="1318"/>
      <c r="M975" s="124" t="s">
        <v>48</v>
      </c>
      <c r="N975" s="1013"/>
    </row>
    <row r="976" spans="1:15" ht="18" customHeight="1">
      <c r="A976" s="125"/>
      <c r="B976" s="1054"/>
      <c r="C976" s="1055"/>
      <c r="D976" s="1055"/>
      <c r="E976" s="1054"/>
      <c r="F976" s="1055"/>
      <c r="G976" s="126"/>
      <c r="H976" s="127"/>
      <c r="I976" s="128" t="s">
        <v>634</v>
      </c>
      <c r="J976" s="129" t="s">
        <v>49</v>
      </c>
      <c r="K976" s="128" t="s">
        <v>634</v>
      </c>
      <c r="L976" s="129" t="s">
        <v>49</v>
      </c>
      <c r="M976" s="124"/>
      <c r="N976" s="120" t="s">
        <v>1628</v>
      </c>
    </row>
    <row r="977" spans="1:19" ht="18" customHeight="1" thickBot="1">
      <c r="A977" s="130"/>
      <c r="B977" s="1307"/>
      <c r="C977" s="1308"/>
      <c r="D977" s="1309"/>
      <c r="E977" s="1307"/>
      <c r="F977" s="1308"/>
      <c r="G977" s="1309"/>
      <c r="H977" s="131"/>
      <c r="I977" s="131"/>
      <c r="J977" s="131"/>
      <c r="K977" s="131"/>
      <c r="L977" s="131"/>
      <c r="M977" s="132"/>
      <c r="N977" s="1019" t="s">
        <v>1629</v>
      </c>
    </row>
    <row r="978" spans="1:19" ht="18" customHeight="1">
      <c r="A978" s="181"/>
      <c r="B978" s="119"/>
      <c r="C978" s="119"/>
      <c r="D978" s="217"/>
      <c r="E978" s="119"/>
      <c r="F978" s="119"/>
      <c r="G978" s="217"/>
      <c r="H978" s="181"/>
      <c r="I978" s="181"/>
      <c r="J978" s="181"/>
      <c r="K978" s="181"/>
      <c r="L978" s="181"/>
      <c r="M978" s="181"/>
      <c r="N978" s="119"/>
    </row>
    <row r="979" spans="1:19" s="146" customFormat="1" ht="18" customHeight="1">
      <c r="A979" s="183">
        <v>1</v>
      </c>
      <c r="B979" s="1060"/>
      <c r="C979" s="1060"/>
      <c r="D979" s="1061"/>
      <c r="E979" s="140" t="s">
        <v>908</v>
      </c>
      <c r="F979" s="155"/>
      <c r="G979" s="140"/>
      <c r="H979" s="141" t="s">
        <v>117</v>
      </c>
      <c r="I979" s="184" t="s">
        <v>111</v>
      </c>
      <c r="J979" s="143">
        <v>1128684</v>
      </c>
      <c r="K979" s="184" t="s">
        <v>111</v>
      </c>
      <c r="L979" s="143">
        <v>1150380</v>
      </c>
      <c r="M979" s="144">
        <f>L979-J979</f>
        <v>21696</v>
      </c>
      <c r="N979" s="1015">
        <f>L979/12</f>
        <v>95865</v>
      </c>
      <c r="O979" s="115">
        <f>L979-J979</f>
        <v>21696</v>
      </c>
      <c r="P979" s="115">
        <f>O979-M979</f>
        <v>0</v>
      </c>
      <c r="Q979" s="116">
        <v>77793</v>
      </c>
      <c r="R979" s="116">
        <f>Q979*12</f>
        <v>933516</v>
      </c>
      <c r="S979" s="145">
        <f>R979-L979</f>
        <v>-216864</v>
      </c>
    </row>
    <row r="980" spans="1:19" s="146" customFormat="1" ht="18" customHeight="1">
      <c r="A980" s="183"/>
      <c r="B980" s="1060"/>
      <c r="C980" s="1060"/>
      <c r="D980" s="1061"/>
      <c r="E980" s="140" t="s">
        <v>909</v>
      </c>
      <c r="F980" s="155"/>
      <c r="G980" s="140"/>
      <c r="H980" s="141"/>
      <c r="I980" s="184"/>
      <c r="J980" s="143"/>
      <c r="K980" s="184" t="s">
        <v>1707</v>
      </c>
      <c r="L980" s="143">
        <v>1169160</v>
      </c>
      <c r="M980" s="144">
        <v>4695</v>
      </c>
      <c r="N980" s="1015"/>
      <c r="O980" s="115"/>
      <c r="P980" s="115"/>
      <c r="Q980" s="116"/>
      <c r="R980" s="116"/>
      <c r="S980" s="117"/>
    </row>
    <row r="981" spans="1:19" s="146" customFormat="1" ht="18" customHeight="1">
      <c r="A981" s="183"/>
      <c r="B981" s="1060"/>
      <c r="C981" s="1060"/>
      <c r="D981" s="1061"/>
      <c r="E981" s="155"/>
      <c r="F981" s="155"/>
      <c r="G981" s="140"/>
      <c r="H981" s="141"/>
      <c r="I981" s="184"/>
      <c r="J981" s="143"/>
      <c r="K981" s="184"/>
      <c r="L981" s="149">
        <v>44849</v>
      </c>
      <c r="M981" s="144"/>
      <c r="N981" s="1015"/>
      <c r="O981" s="115"/>
      <c r="P981" s="115"/>
      <c r="Q981" s="116"/>
      <c r="R981" s="116"/>
      <c r="S981" s="117"/>
    </row>
    <row r="982" spans="1:19" s="146" customFormat="1" ht="18" customHeight="1">
      <c r="A982" s="183"/>
      <c r="B982" s="1060"/>
      <c r="C982" s="1060"/>
      <c r="D982" s="1060"/>
      <c r="E982" s="1059"/>
      <c r="F982" s="1060"/>
      <c r="G982" s="140"/>
      <c r="H982" s="141"/>
      <c r="I982" s="185"/>
      <c r="J982" s="149"/>
      <c r="K982" s="185"/>
      <c r="L982" s="149"/>
      <c r="M982" s="144"/>
      <c r="N982" s="1015"/>
      <c r="O982" s="115"/>
      <c r="P982" s="115"/>
      <c r="Q982" s="116"/>
      <c r="R982" s="116"/>
      <c r="S982" s="117"/>
    </row>
    <row r="983" spans="1:19" s="146" customFormat="1" ht="18" customHeight="1">
      <c r="A983" s="183">
        <v>2</v>
      </c>
      <c r="B983" s="1060"/>
      <c r="C983" s="1060"/>
      <c r="D983" s="1060"/>
      <c r="E983" s="154" t="s">
        <v>118</v>
      </c>
      <c r="F983" s="1060"/>
      <c r="G983" s="140"/>
      <c r="H983" s="141" t="s">
        <v>119</v>
      </c>
      <c r="I983" s="184" t="s">
        <v>945</v>
      </c>
      <c r="J983" s="143">
        <v>513816</v>
      </c>
      <c r="K983" s="184" t="s">
        <v>945</v>
      </c>
      <c r="L983" s="143">
        <v>532080</v>
      </c>
      <c r="M983" s="144">
        <f>L983-J983</f>
        <v>18264</v>
      </c>
      <c r="N983" s="1015">
        <f t="shared" ref="N983:N984" si="23">L983/12</f>
        <v>44340</v>
      </c>
      <c r="O983" s="115">
        <f>L983-J983</f>
        <v>18264</v>
      </c>
      <c r="P983" s="115">
        <f>O983-M983</f>
        <v>0</v>
      </c>
      <c r="Q983" s="116">
        <v>36487</v>
      </c>
      <c r="R983" s="116">
        <f>Q983*12</f>
        <v>437844</v>
      </c>
      <c r="S983" s="145">
        <f>R983-L983</f>
        <v>-94236</v>
      </c>
    </row>
    <row r="984" spans="1:19" s="146" customFormat="1" ht="18" customHeight="1">
      <c r="A984" s="183"/>
      <c r="B984" s="1060"/>
      <c r="C984" s="1060"/>
      <c r="D984" s="1060"/>
      <c r="E984" s="154"/>
      <c r="F984" s="1060"/>
      <c r="G984" s="140"/>
      <c r="H984" s="141"/>
      <c r="I984" s="184"/>
      <c r="J984" s="143"/>
      <c r="K984" s="184"/>
      <c r="L984" s="143"/>
      <c r="M984" s="144"/>
      <c r="N984" s="1015">
        <f t="shared" si="23"/>
        <v>0</v>
      </c>
      <c r="O984" s="115"/>
      <c r="P984" s="115"/>
      <c r="Q984" s="116"/>
      <c r="R984" s="116"/>
      <c r="S984" s="145"/>
    </row>
    <row r="985" spans="1:19" s="146" customFormat="1" ht="18" customHeight="1">
      <c r="A985" s="183"/>
      <c r="B985" s="1328"/>
      <c r="C985" s="1329"/>
      <c r="D985" s="1330"/>
      <c r="E985" s="154"/>
      <c r="F985" s="1060"/>
      <c r="G985" s="140"/>
      <c r="H985" s="141"/>
      <c r="I985" s="184"/>
      <c r="J985" s="143"/>
      <c r="K985" s="184"/>
      <c r="L985" s="143"/>
      <c r="M985" s="144"/>
      <c r="N985" s="1015"/>
      <c r="O985" s="115"/>
      <c r="P985" s="115"/>
      <c r="Q985" s="116"/>
      <c r="R985" s="116"/>
      <c r="S985" s="145"/>
    </row>
    <row r="986" spans="1:19" s="146" customFormat="1" ht="18" customHeight="1">
      <c r="A986" s="183">
        <v>3</v>
      </c>
      <c r="B986" s="1328"/>
      <c r="C986" s="1329"/>
      <c r="D986" s="1330"/>
      <c r="E986" s="154" t="s">
        <v>120</v>
      </c>
      <c r="F986" s="1060"/>
      <c r="G986" s="140"/>
      <c r="H986" s="141" t="s">
        <v>121</v>
      </c>
      <c r="I986" s="184" t="s">
        <v>945</v>
      </c>
      <c r="J986" s="143">
        <v>513816</v>
      </c>
      <c r="K986" s="184" t="s">
        <v>945</v>
      </c>
      <c r="L986" s="143">
        <v>532080</v>
      </c>
      <c r="M986" s="144">
        <f>L986-J986</f>
        <v>18264</v>
      </c>
      <c r="N986" s="1015">
        <f>L986/12</f>
        <v>44340</v>
      </c>
      <c r="O986" s="115">
        <f>L986-J986</f>
        <v>18264</v>
      </c>
      <c r="P986" s="115">
        <f>O986-M986</f>
        <v>0</v>
      </c>
      <c r="Q986" s="116">
        <v>36927</v>
      </c>
      <c r="R986" s="116">
        <f>Q986*12</f>
        <v>443124</v>
      </c>
      <c r="S986" s="145">
        <f>R986-L986</f>
        <v>-88956</v>
      </c>
    </row>
    <row r="987" spans="1:19" s="146" customFormat="1" ht="18" customHeight="1">
      <c r="A987" s="183"/>
      <c r="B987" s="1060"/>
      <c r="C987" s="1060"/>
      <c r="D987" s="1060"/>
      <c r="E987" s="154"/>
      <c r="F987" s="1060"/>
      <c r="G987" s="140"/>
      <c r="H987" s="141"/>
      <c r="I987" s="184"/>
      <c r="J987" s="143"/>
      <c r="K987" s="184" t="s">
        <v>1714</v>
      </c>
      <c r="L987" s="143">
        <v>537996</v>
      </c>
      <c r="M987" s="144">
        <v>4930</v>
      </c>
      <c r="N987" s="1015"/>
      <c r="O987" s="115"/>
      <c r="P987" s="115"/>
      <c r="Q987" s="116"/>
      <c r="R987" s="116"/>
      <c r="S987" s="145"/>
    </row>
    <row r="988" spans="1:19" s="146" customFormat="1" ht="18" customHeight="1">
      <c r="A988" s="183"/>
      <c r="B988" s="1060"/>
      <c r="C988" s="1060"/>
      <c r="D988" s="1060"/>
      <c r="E988" s="154"/>
      <c r="F988" s="1060"/>
      <c r="G988" s="140"/>
      <c r="H988" s="141"/>
      <c r="I988" s="184"/>
      <c r="J988" s="143"/>
      <c r="K988" s="184"/>
      <c r="L988" s="149">
        <v>44646</v>
      </c>
      <c r="M988" s="144"/>
      <c r="N988" s="1015"/>
      <c r="O988" s="115"/>
      <c r="P988" s="115"/>
      <c r="Q988" s="116"/>
      <c r="R988" s="116"/>
      <c r="S988" s="145"/>
    </row>
    <row r="989" spans="1:19" s="146" customFormat="1" ht="18" customHeight="1">
      <c r="A989" s="183"/>
      <c r="B989" s="1060"/>
      <c r="C989" s="1060"/>
      <c r="D989" s="1060"/>
      <c r="E989" s="154"/>
      <c r="F989" s="1060"/>
      <c r="G989" s="140"/>
      <c r="H989" s="141"/>
      <c r="I989" s="184"/>
      <c r="J989" s="143"/>
      <c r="K989" s="184"/>
      <c r="L989" s="143"/>
      <c r="M989" s="144"/>
      <c r="N989" s="1015"/>
      <c r="O989" s="115"/>
      <c r="P989" s="115"/>
      <c r="Q989" s="116"/>
      <c r="R989" s="116"/>
      <c r="S989" s="145"/>
    </row>
    <row r="990" spans="1:19" s="146" customFormat="1" ht="18" customHeight="1">
      <c r="A990" s="183">
        <v>4</v>
      </c>
      <c r="B990" s="1060"/>
      <c r="C990" s="1060"/>
      <c r="D990" s="1060"/>
      <c r="E990" s="154" t="s">
        <v>381</v>
      </c>
      <c r="F990" s="1060"/>
      <c r="G990" s="140"/>
      <c r="H990" s="141" t="s">
        <v>122</v>
      </c>
      <c r="I990" s="184" t="s">
        <v>123</v>
      </c>
      <c r="J990" s="143">
        <v>182304</v>
      </c>
      <c r="K990" s="184" t="s">
        <v>123</v>
      </c>
      <c r="L990" s="143">
        <v>189816</v>
      </c>
      <c r="M990" s="144">
        <f>L990-J990</f>
        <v>7512</v>
      </c>
      <c r="N990" s="1015">
        <f>L990/12</f>
        <v>15818</v>
      </c>
      <c r="O990" s="115">
        <f>L990-J990</f>
        <v>7512</v>
      </c>
      <c r="P990" s="115">
        <f>O990-M990</f>
        <v>0</v>
      </c>
      <c r="Q990" s="116">
        <v>13424</v>
      </c>
      <c r="R990" s="116">
        <f>Q990*12</f>
        <v>161088</v>
      </c>
      <c r="S990" s="145">
        <f>R990-L990</f>
        <v>-28728</v>
      </c>
    </row>
    <row r="991" spans="1:19" s="146" customFormat="1" ht="18" customHeight="1">
      <c r="A991" s="183"/>
      <c r="B991" s="1060"/>
      <c r="C991" s="1060"/>
      <c r="D991" s="1060"/>
      <c r="E991" s="154"/>
      <c r="F991" s="1060"/>
      <c r="G991" s="140"/>
      <c r="H991" s="141"/>
      <c r="I991" s="184"/>
      <c r="J991" s="143"/>
      <c r="K991" s="184"/>
      <c r="L991" s="143"/>
      <c r="M991" s="144"/>
      <c r="N991" s="1015"/>
      <c r="O991" s="115"/>
      <c r="P991" s="115"/>
      <c r="Q991" s="116"/>
      <c r="R991" s="116"/>
      <c r="S991" s="117"/>
    </row>
    <row r="992" spans="1:19" s="146" customFormat="1" ht="18" customHeight="1">
      <c r="A992" s="235"/>
      <c r="B992" s="193"/>
      <c r="C992" s="236"/>
      <c r="D992" s="236"/>
      <c r="E992" s="154"/>
      <c r="F992" s="193"/>
      <c r="G992" s="140"/>
      <c r="H992" s="141"/>
      <c r="I992" s="185"/>
      <c r="J992" s="143"/>
      <c r="K992" s="185"/>
      <c r="L992" s="143"/>
      <c r="M992" s="144"/>
      <c r="N992" s="1015"/>
      <c r="O992" s="115"/>
      <c r="P992" s="115"/>
      <c r="Q992" s="116"/>
      <c r="R992" s="116"/>
      <c r="S992" s="117"/>
    </row>
    <row r="993" spans="1:19" s="146" customFormat="1" ht="18" customHeight="1">
      <c r="A993" s="183">
        <v>5</v>
      </c>
      <c r="B993" s="1060"/>
      <c r="C993" s="1060"/>
      <c r="D993" s="1060"/>
      <c r="E993" s="154" t="s">
        <v>124</v>
      </c>
      <c r="F993" s="1060"/>
      <c r="G993" s="140"/>
      <c r="H993" s="141" t="s">
        <v>137</v>
      </c>
      <c r="I993" s="184" t="s">
        <v>1461</v>
      </c>
      <c r="J993" s="143">
        <v>343068</v>
      </c>
      <c r="K993" s="184" t="s">
        <v>1461</v>
      </c>
      <c r="L993" s="143">
        <v>361332</v>
      </c>
      <c r="M993" s="144">
        <f>L993-J993</f>
        <v>18264</v>
      </c>
      <c r="N993" s="1015">
        <f>L993/12</f>
        <v>30111</v>
      </c>
      <c r="O993" s="115">
        <f>L993-J993</f>
        <v>18264</v>
      </c>
      <c r="P993" s="115">
        <f>O993-M993</f>
        <v>0</v>
      </c>
      <c r="Q993" s="116">
        <v>24224</v>
      </c>
      <c r="R993" s="116">
        <f>Q993*12</f>
        <v>290688</v>
      </c>
      <c r="S993" s="145">
        <f>R993-L993</f>
        <v>-70644</v>
      </c>
    </row>
    <row r="994" spans="1:19" s="146" customFormat="1" ht="18" customHeight="1">
      <c r="A994" s="183"/>
      <c r="B994" s="1060"/>
      <c r="C994" s="1060"/>
      <c r="D994" s="1060"/>
      <c r="E994" s="154"/>
      <c r="F994" s="1060"/>
      <c r="G994" s="140"/>
      <c r="H994" s="141"/>
      <c r="I994" s="184"/>
      <c r="J994" s="143"/>
      <c r="K994" s="184"/>
      <c r="L994" s="143"/>
      <c r="M994" s="144"/>
      <c r="N994" s="1015"/>
      <c r="O994" s="115"/>
      <c r="P994" s="115"/>
      <c r="Q994" s="116"/>
      <c r="R994" s="116"/>
      <c r="S994" s="145"/>
    </row>
    <row r="995" spans="1:19" s="146" customFormat="1" ht="18" customHeight="1">
      <c r="A995" s="183"/>
      <c r="B995" s="1060"/>
      <c r="C995" s="1060"/>
      <c r="D995" s="1060"/>
      <c r="E995" s="154"/>
      <c r="F995" s="1060"/>
      <c r="G995" s="140"/>
      <c r="H995" s="141"/>
      <c r="I995" s="184"/>
      <c r="J995" s="143"/>
      <c r="K995" s="184"/>
      <c r="L995" s="143"/>
      <c r="M995" s="144"/>
      <c r="N995" s="1015"/>
      <c r="O995" s="115"/>
      <c r="P995" s="115"/>
      <c r="Q995" s="116"/>
      <c r="R995" s="116"/>
      <c r="S995" s="117"/>
    </row>
    <row r="996" spans="1:19" s="146" customFormat="1" ht="18" customHeight="1">
      <c r="A996" s="183">
        <v>6</v>
      </c>
      <c r="B996" s="1060"/>
      <c r="C996" s="1060"/>
      <c r="D996" s="1060"/>
      <c r="E996" s="237" t="s">
        <v>124</v>
      </c>
      <c r="F996" s="238"/>
      <c r="G996" s="239"/>
      <c r="H996" s="234" t="s">
        <v>126</v>
      </c>
      <c r="I996" s="240" t="s">
        <v>393</v>
      </c>
      <c r="J996" s="241">
        <v>366564</v>
      </c>
      <c r="K996" s="240" t="s">
        <v>393</v>
      </c>
      <c r="L996" s="241">
        <v>384828</v>
      </c>
      <c r="M996" s="144">
        <f>L996-J996</f>
        <v>18264</v>
      </c>
      <c r="N996" s="1015">
        <f>L996/12</f>
        <v>32069</v>
      </c>
      <c r="O996" s="115">
        <f>L996-J996</f>
        <v>18264</v>
      </c>
      <c r="P996" s="115">
        <f>O996-M996</f>
        <v>0</v>
      </c>
      <c r="Q996" s="116">
        <v>25989</v>
      </c>
      <c r="R996" s="116">
        <f>Q996*12</f>
        <v>311868</v>
      </c>
      <c r="S996" s="145">
        <f>R996-L996</f>
        <v>-72960</v>
      </c>
    </row>
    <row r="997" spans="1:19" s="146" customFormat="1" ht="18" customHeight="1">
      <c r="A997" s="183"/>
      <c r="B997" s="1060"/>
      <c r="C997" s="1060"/>
      <c r="D997" s="1060"/>
      <c r="E997" s="237"/>
      <c r="F997" s="238"/>
      <c r="G997" s="239"/>
      <c r="H997" s="234"/>
      <c r="I997" s="240"/>
      <c r="J997" s="243"/>
      <c r="K997" s="240"/>
      <c r="L997" s="243"/>
      <c r="M997" s="242"/>
      <c r="N997" s="1018"/>
      <c r="O997" s="115"/>
      <c r="P997" s="115"/>
      <c r="Q997" s="116"/>
      <c r="R997" s="116"/>
      <c r="S997" s="117"/>
    </row>
    <row r="998" spans="1:19" s="146" customFormat="1" ht="18" customHeight="1">
      <c r="A998" s="183"/>
      <c r="B998" s="1060"/>
      <c r="C998" s="1060"/>
      <c r="D998" s="1060"/>
      <c r="E998" s="154"/>
      <c r="F998" s="1060"/>
      <c r="G998" s="140"/>
      <c r="H998" s="141"/>
      <c r="I998" s="184"/>
      <c r="J998" s="143"/>
      <c r="K998" s="184"/>
      <c r="L998" s="143"/>
      <c r="M998" s="144"/>
      <c r="N998" s="1015"/>
      <c r="O998" s="115"/>
      <c r="P998" s="115"/>
      <c r="Q998" s="116"/>
      <c r="R998" s="116"/>
      <c r="S998" s="117"/>
    </row>
    <row r="999" spans="1:19" s="146" customFormat="1" ht="18" customHeight="1">
      <c r="A999" s="183">
        <v>7</v>
      </c>
      <c r="B999" s="1060"/>
      <c r="C999" s="1060"/>
      <c r="D999" s="1060"/>
      <c r="E999" s="154" t="s">
        <v>127</v>
      </c>
      <c r="F999" s="1060"/>
      <c r="G999" s="140"/>
      <c r="H999" s="141" t="s">
        <v>426</v>
      </c>
      <c r="I999" s="184" t="s">
        <v>134</v>
      </c>
      <c r="J999" s="143">
        <v>289932</v>
      </c>
      <c r="K999" s="184" t="s">
        <v>134</v>
      </c>
      <c r="L999" s="143">
        <v>308676</v>
      </c>
      <c r="M999" s="144">
        <f>L999-J999</f>
        <v>18744</v>
      </c>
      <c r="N999" s="1015">
        <f>L999/12</f>
        <v>25723</v>
      </c>
      <c r="O999" s="115">
        <f>L999-J999</f>
        <v>18744</v>
      </c>
      <c r="P999" s="115">
        <f>O999-M999</f>
        <v>0</v>
      </c>
      <c r="Q999" s="116">
        <v>20179</v>
      </c>
      <c r="R999" s="116">
        <f>Q999*12</f>
        <v>242148</v>
      </c>
      <c r="S999" s="145">
        <f>R999-L999</f>
        <v>-66528</v>
      </c>
    </row>
    <row r="1000" spans="1:19" s="146" customFormat="1" ht="18" customHeight="1">
      <c r="A1000" s="183"/>
      <c r="B1000" s="1060"/>
      <c r="C1000" s="1060"/>
      <c r="D1000" s="1060"/>
      <c r="E1000" s="154"/>
      <c r="F1000" s="1060"/>
      <c r="G1000" s="140"/>
      <c r="H1000" s="141"/>
      <c r="I1000" s="184"/>
      <c r="J1000" s="149"/>
      <c r="K1000" s="184"/>
      <c r="L1000" s="149"/>
      <c r="M1000" s="144"/>
      <c r="N1000" s="1015"/>
      <c r="O1000" s="115"/>
      <c r="P1000" s="115"/>
      <c r="Q1000" s="116"/>
      <c r="R1000" s="116"/>
      <c r="S1000" s="117"/>
    </row>
    <row r="1001" spans="1:19" s="146" customFormat="1" ht="18" customHeight="1">
      <c r="A1001" s="183"/>
      <c r="B1001" s="1060"/>
      <c r="C1001" s="1060"/>
      <c r="D1001" s="1060"/>
      <c r="E1001" s="154"/>
      <c r="F1001" s="1060"/>
      <c r="G1001" s="140"/>
      <c r="H1001" s="141"/>
      <c r="I1001" s="185"/>
      <c r="J1001" s="143"/>
      <c r="K1001" s="185"/>
      <c r="L1001" s="143"/>
      <c r="M1001" s="144"/>
      <c r="N1001" s="1015"/>
      <c r="O1001" s="115"/>
      <c r="P1001" s="115"/>
      <c r="Q1001" s="116"/>
      <c r="R1001" s="116"/>
      <c r="S1001" s="117"/>
    </row>
    <row r="1002" spans="1:19" s="146" customFormat="1" ht="18" customHeight="1">
      <c r="A1002" s="183">
        <v>8</v>
      </c>
      <c r="B1002" s="1060"/>
      <c r="C1002" s="1060"/>
      <c r="D1002" s="1060"/>
      <c r="E1002" s="154" t="s">
        <v>127</v>
      </c>
      <c r="F1002" s="1060"/>
      <c r="G1002" s="140"/>
      <c r="H1002" s="141" t="s">
        <v>892</v>
      </c>
      <c r="I1002" s="184" t="s">
        <v>134</v>
      </c>
      <c r="J1002" s="143">
        <v>289932</v>
      </c>
      <c r="K1002" s="184" t="s">
        <v>134</v>
      </c>
      <c r="L1002" s="143">
        <v>308676</v>
      </c>
      <c r="M1002" s="144">
        <f>L1002-J1002</f>
        <v>18744</v>
      </c>
      <c r="N1002" s="1015">
        <f>L1002/12</f>
        <v>25723</v>
      </c>
      <c r="O1002" s="115">
        <f>L1002-J1002</f>
        <v>18744</v>
      </c>
      <c r="P1002" s="115">
        <f>O1002-M1002</f>
        <v>0</v>
      </c>
      <c r="Q1002" s="116">
        <v>20179</v>
      </c>
      <c r="R1002" s="116">
        <f>Q1002*12</f>
        <v>242148</v>
      </c>
      <c r="S1002" s="145">
        <f>R1002-L1002</f>
        <v>-66528</v>
      </c>
    </row>
    <row r="1003" spans="1:19" s="146" customFormat="1" ht="18" customHeight="1">
      <c r="A1003" s="183"/>
      <c r="B1003" s="1060"/>
      <c r="C1003" s="1060"/>
      <c r="D1003" s="1060"/>
      <c r="E1003" s="154"/>
      <c r="F1003" s="1060"/>
      <c r="G1003" s="140"/>
      <c r="H1003" s="141"/>
      <c r="I1003" s="184"/>
      <c r="J1003" s="149"/>
      <c r="K1003" s="184"/>
      <c r="L1003" s="149"/>
      <c r="M1003" s="144"/>
      <c r="N1003" s="1015"/>
      <c r="O1003" s="115"/>
      <c r="P1003" s="115"/>
      <c r="Q1003" s="116"/>
      <c r="R1003" s="116"/>
      <c r="S1003" s="117"/>
    </row>
    <row r="1004" spans="1:19" s="146" customFormat="1" ht="18" customHeight="1">
      <c r="A1004" s="183"/>
      <c r="B1004" s="1060"/>
      <c r="C1004" s="1060"/>
      <c r="D1004" s="1060"/>
      <c r="E1004" s="154"/>
      <c r="F1004" s="1060"/>
      <c r="G1004" s="140"/>
      <c r="H1004" s="141"/>
      <c r="I1004" s="185"/>
      <c r="J1004" s="143"/>
      <c r="K1004" s="185"/>
      <c r="L1004" s="143"/>
      <c r="M1004" s="144"/>
      <c r="N1004" s="1015"/>
      <c r="O1004" s="115"/>
      <c r="P1004" s="115"/>
      <c r="Q1004" s="116"/>
      <c r="R1004" s="116"/>
      <c r="S1004" s="117"/>
    </row>
    <row r="1005" spans="1:19" s="146" customFormat="1" ht="18" customHeight="1">
      <c r="A1005" s="183">
        <v>9</v>
      </c>
      <c r="B1005" s="1060"/>
      <c r="C1005" s="1060"/>
      <c r="D1005" s="1060"/>
      <c r="E1005" s="154" t="s">
        <v>127</v>
      </c>
      <c r="F1005" s="1060"/>
      <c r="G1005" s="140"/>
      <c r="H1005" s="141" t="s">
        <v>139</v>
      </c>
      <c r="I1005" s="184" t="s">
        <v>138</v>
      </c>
      <c r="J1005" s="143">
        <v>293400</v>
      </c>
      <c r="K1005" s="184" t="s">
        <v>138</v>
      </c>
      <c r="L1005" s="143">
        <v>312144</v>
      </c>
      <c r="M1005" s="144">
        <f>L1005-J1005</f>
        <v>18744</v>
      </c>
      <c r="N1005" s="1015">
        <f t="shared" ref="N1005:N1006" si="24">L1005/12</f>
        <v>26012</v>
      </c>
      <c r="O1005" s="115">
        <f>L1005-J1005</f>
        <v>18744</v>
      </c>
      <c r="P1005" s="115">
        <f>O1005-M1005</f>
        <v>0</v>
      </c>
      <c r="Q1005" s="116">
        <v>20179</v>
      </c>
      <c r="R1005" s="116">
        <f>Q1005*12</f>
        <v>242148</v>
      </c>
      <c r="S1005" s="145">
        <f>R1005-L1005</f>
        <v>-69996</v>
      </c>
    </row>
    <row r="1006" spans="1:19" s="146" customFormat="1" ht="18" customHeight="1">
      <c r="A1006" s="183"/>
      <c r="B1006" s="1060"/>
      <c r="C1006" s="1060"/>
      <c r="D1006" s="1060"/>
      <c r="E1006" s="154"/>
      <c r="F1006" s="1060"/>
      <c r="G1006" s="140"/>
      <c r="H1006" s="141"/>
      <c r="I1006" s="184"/>
      <c r="J1006" s="143"/>
      <c r="K1006" s="184"/>
      <c r="L1006" s="143"/>
      <c r="M1006" s="144"/>
      <c r="N1006" s="1015">
        <f t="shared" si="24"/>
        <v>0</v>
      </c>
      <c r="O1006" s="115"/>
      <c r="P1006" s="115"/>
      <c r="Q1006" s="116"/>
      <c r="R1006" s="116"/>
      <c r="S1006" s="145"/>
    </row>
    <row r="1007" spans="1:19" s="146" customFormat="1" ht="18" customHeight="1">
      <c r="A1007" s="183"/>
      <c r="B1007" s="1060"/>
      <c r="C1007" s="1060"/>
      <c r="D1007" s="1060"/>
      <c r="E1007" s="154"/>
      <c r="F1007" s="1060"/>
      <c r="G1007" s="140"/>
      <c r="H1007" s="141"/>
      <c r="I1007" s="185"/>
      <c r="J1007" s="143"/>
      <c r="K1007" s="185"/>
      <c r="L1007" s="143"/>
      <c r="M1007" s="144"/>
      <c r="N1007" s="1015"/>
      <c r="O1007" s="115"/>
      <c r="P1007" s="115"/>
      <c r="Q1007" s="116"/>
      <c r="R1007" s="116"/>
      <c r="S1007" s="117"/>
    </row>
    <row r="1008" spans="1:19" s="146" customFormat="1" ht="18" customHeight="1">
      <c r="A1008" s="183">
        <v>10</v>
      </c>
      <c r="B1008" s="1060"/>
      <c r="C1008" s="1060"/>
      <c r="D1008" s="1060"/>
      <c r="E1008" s="154" t="s">
        <v>127</v>
      </c>
      <c r="F1008" s="1060"/>
      <c r="G1008" s="140"/>
      <c r="H1008" s="141" t="s">
        <v>129</v>
      </c>
      <c r="I1008" s="194" t="s">
        <v>66</v>
      </c>
      <c r="J1008" s="143">
        <v>311424</v>
      </c>
      <c r="K1008" s="194" t="s">
        <v>66</v>
      </c>
      <c r="L1008" s="143">
        <v>330168</v>
      </c>
      <c r="M1008" s="144">
        <f>L1008-J1008</f>
        <v>18744</v>
      </c>
      <c r="N1008" s="1015">
        <f>L1008/12</f>
        <v>27514</v>
      </c>
      <c r="O1008" s="115">
        <f>L1008-J1008</f>
        <v>18744</v>
      </c>
      <c r="P1008" s="115">
        <f>O1008-M1008</f>
        <v>0</v>
      </c>
      <c r="Q1008" s="116">
        <v>22055</v>
      </c>
      <c r="R1008" s="116">
        <f>Q1008*12</f>
        <v>264660</v>
      </c>
      <c r="S1008" s="145">
        <f>R1008-L1008</f>
        <v>-65508</v>
      </c>
    </row>
    <row r="1009" spans="1:19" s="146" customFormat="1" ht="18" customHeight="1">
      <c r="A1009" s="183"/>
      <c r="B1009" s="1060"/>
      <c r="C1009" s="1060"/>
      <c r="D1009" s="1060"/>
      <c r="E1009" s="154"/>
      <c r="F1009" s="1060"/>
      <c r="G1009" s="140"/>
      <c r="H1009" s="141"/>
      <c r="I1009" s="194"/>
      <c r="J1009" s="143"/>
      <c r="K1009" s="194"/>
      <c r="L1009" s="143"/>
      <c r="M1009" s="144"/>
      <c r="N1009" s="1015"/>
      <c r="O1009" s="115"/>
      <c r="P1009" s="115"/>
      <c r="Q1009" s="116"/>
      <c r="R1009" s="116"/>
      <c r="S1009" s="117"/>
    </row>
    <row r="1010" spans="1:19" s="146" customFormat="1" ht="18" customHeight="1">
      <c r="A1010" s="183"/>
      <c r="B1010" s="1060"/>
      <c r="C1010" s="1060"/>
      <c r="D1010" s="1060"/>
      <c r="E1010" s="154"/>
      <c r="F1010" s="1060"/>
      <c r="G1010" s="140"/>
      <c r="H1010" s="141"/>
      <c r="I1010" s="194"/>
      <c r="J1010" s="149"/>
      <c r="K1010" s="194"/>
      <c r="L1010" s="149"/>
      <c r="M1010" s="144"/>
      <c r="N1010" s="1015"/>
      <c r="O1010" s="115"/>
      <c r="P1010" s="115"/>
      <c r="Q1010" s="116"/>
      <c r="R1010" s="116"/>
      <c r="S1010" s="117"/>
    </row>
    <row r="1011" spans="1:19" s="146" customFormat="1" ht="18" customHeight="1">
      <c r="A1011" s="183">
        <v>11</v>
      </c>
      <c r="B1011" s="1060"/>
      <c r="C1011" s="1060"/>
      <c r="D1011" s="1060"/>
      <c r="E1011" s="154" t="s">
        <v>130</v>
      </c>
      <c r="F1011" s="1060"/>
      <c r="G1011" s="140"/>
      <c r="H1011" s="141" t="s">
        <v>226</v>
      </c>
      <c r="I1011" s="184" t="s">
        <v>1460</v>
      </c>
      <c r="J1011" s="143">
        <v>154656</v>
      </c>
      <c r="K1011" s="184" t="s">
        <v>1460</v>
      </c>
      <c r="L1011" s="143">
        <v>160872</v>
      </c>
      <c r="M1011" s="144">
        <f>L1011-J1011</f>
        <v>6216</v>
      </c>
      <c r="N1011" s="1015">
        <f>L1011/12</f>
        <v>13406</v>
      </c>
      <c r="O1011" s="115">
        <f>L1011-J1011</f>
        <v>6216</v>
      </c>
      <c r="P1011" s="115">
        <f>O1011-M1011</f>
        <v>0</v>
      </c>
      <c r="Q1011" s="116">
        <v>11200</v>
      </c>
      <c r="R1011" s="116">
        <f>Q1011*12</f>
        <v>134400</v>
      </c>
      <c r="S1011" s="145">
        <f>R1011-L1011</f>
        <v>-26472</v>
      </c>
    </row>
    <row r="1012" spans="1:19" s="146" customFormat="1" ht="18" customHeight="1">
      <c r="A1012" s="183"/>
      <c r="B1012" s="1060"/>
      <c r="C1012" s="1060"/>
      <c r="D1012" s="1060"/>
      <c r="E1012" s="154"/>
      <c r="F1012" s="1060"/>
      <c r="G1012" s="140"/>
      <c r="H1012" s="141"/>
      <c r="I1012" s="184"/>
      <c r="J1012" s="149"/>
      <c r="K1012" s="184"/>
      <c r="L1012" s="149"/>
      <c r="M1012" s="144"/>
      <c r="N1012" s="1015"/>
      <c r="O1012" s="115"/>
      <c r="P1012" s="115"/>
      <c r="Q1012" s="116"/>
      <c r="R1012" s="116"/>
      <c r="S1012" s="117"/>
    </row>
    <row r="1013" spans="1:19" s="146" customFormat="1" ht="18" customHeight="1">
      <c r="A1013" s="183"/>
      <c r="B1013" s="1060"/>
      <c r="C1013" s="1060"/>
      <c r="D1013" s="1060"/>
      <c r="E1013" s="154"/>
      <c r="F1013" s="1060"/>
      <c r="G1013" s="140"/>
      <c r="H1013" s="141"/>
      <c r="I1013" s="185"/>
      <c r="J1013" s="143"/>
      <c r="K1013" s="185"/>
      <c r="L1013" s="143"/>
      <c r="M1013" s="144"/>
      <c r="N1013" s="1015"/>
      <c r="O1013" s="115"/>
      <c r="P1013" s="115"/>
      <c r="Q1013" s="116"/>
      <c r="R1013" s="116"/>
      <c r="S1013" s="117"/>
    </row>
    <row r="1014" spans="1:19" s="146" customFormat="1" ht="18" customHeight="1">
      <c r="A1014" s="183">
        <v>12</v>
      </c>
      <c r="B1014" s="1060"/>
      <c r="C1014" s="1060"/>
      <c r="D1014" s="1060"/>
      <c r="E1014" s="154" t="s">
        <v>132</v>
      </c>
      <c r="F1014" s="1060"/>
      <c r="G1014" s="140"/>
      <c r="H1014" s="141" t="s">
        <v>133</v>
      </c>
      <c r="I1014" s="184" t="s">
        <v>443</v>
      </c>
      <c r="J1014" s="143">
        <v>300456</v>
      </c>
      <c r="K1014" s="184" t="s">
        <v>443</v>
      </c>
      <c r="L1014" s="143">
        <v>319200</v>
      </c>
      <c r="M1014" s="144">
        <f>L1014-J1014</f>
        <v>18744</v>
      </c>
      <c r="N1014" s="1015">
        <f>L1014/12</f>
        <v>26600</v>
      </c>
      <c r="O1014" s="115">
        <f>L1014-J1014</f>
        <v>18744</v>
      </c>
      <c r="P1014" s="115">
        <f>O1014-M1014</f>
        <v>0</v>
      </c>
      <c r="Q1014" s="116">
        <v>20963</v>
      </c>
      <c r="R1014" s="116">
        <f>Q1014*12</f>
        <v>251556</v>
      </c>
      <c r="S1014" s="145">
        <f>R1014-L1014</f>
        <v>-67644</v>
      </c>
    </row>
    <row r="1015" spans="1:19" s="146" customFormat="1" ht="18" customHeight="1">
      <c r="A1015" s="183"/>
      <c r="B1015" s="1060"/>
      <c r="C1015" s="1060"/>
      <c r="D1015" s="1060"/>
      <c r="E1015" s="154"/>
      <c r="F1015" s="1060"/>
      <c r="G1015" s="140"/>
      <c r="H1015" s="141"/>
      <c r="I1015" s="184"/>
      <c r="J1015" s="149"/>
      <c r="K1015" s="184"/>
      <c r="L1015" s="149"/>
      <c r="M1015" s="144"/>
      <c r="N1015" s="1015"/>
      <c r="O1015" s="115"/>
      <c r="P1015" s="115"/>
      <c r="Q1015" s="116"/>
      <c r="R1015" s="116"/>
      <c r="S1015" s="145"/>
    </row>
    <row r="1016" spans="1:19" s="146" customFormat="1" ht="18" customHeight="1">
      <c r="A1016" s="183"/>
      <c r="B1016" s="1060"/>
      <c r="C1016" s="1060"/>
      <c r="D1016" s="1060"/>
      <c r="E1016" s="154"/>
      <c r="F1016" s="1060"/>
      <c r="G1016" s="140"/>
      <c r="H1016" s="141"/>
      <c r="I1016" s="184"/>
      <c r="J1016" s="143"/>
      <c r="K1016" s="184"/>
      <c r="L1016" s="143"/>
      <c r="M1016" s="143"/>
      <c r="N1016" s="170"/>
      <c r="O1016" s="115"/>
      <c r="P1016" s="115"/>
      <c r="Q1016" s="116"/>
      <c r="R1016" s="116"/>
      <c r="S1016" s="117"/>
    </row>
    <row r="1017" spans="1:19" s="146" customFormat="1" ht="18" customHeight="1">
      <c r="A1017" s="183">
        <v>13</v>
      </c>
      <c r="B1017" s="1060"/>
      <c r="C1017" s="1060"/>
      <c r="D1017" s="1060"/>
      <c r="E1017" s="154" t="s">
        <v>420</v>
      </c>
      <c r="F1017" s="1060"/>
      <c r="G1017" s="140"/>
      <c r="H1017" s="141" t="s">
        <v>131</v>
      </c>
      <c r="I1017" s="142" t="s">
        <v>439</v>
      </c>
      <c r="J1017" s="143">
        <v>195900</v>
      </c>
      <c r="K1017" s="142" t="s">
        <v>439</v>
      </c>
      <c r="L1017" s="143">
        <v>204084</v>
      </c>
      <c r="M1017" s="144">
        <f>L1017-J1017</f>
        <v>8184</v>
      </c>
      <c r="N1017" s="1015">
        <f>L1017/12</f>
        <v>17007</v>
      </c>
      <c r="O1017" s="115">
        <f>L1017-J1017</f>
        <v>8184</v>
      </c>
      <c r="P1017" s="115">
        <f>O1017-M1017</f>
        <v>0</v>
      </c>
      <c r="Q1017" s="116">
        <v>14340</v>
      </c>
      <c r="R1017" s="116">
        <f>Q1017*12</f>
        <v>172080</v>
      </c>
      <c r="S1017" s="145">
        <f>R1017-L1017</f>
        <v>-32004</v>
      </c>
    </row>
    <row r="1018" spans="1:19" s="146" customFormat="1" ht="18" customHeight="1">
      <c r="A1018" s="183"/>
      <c r="B1018" s="1071"/>
      <c r="C1018" s="1071"/>
      <c r="D1018" s="1071"/>
      <c r="E1018" s="154"/>
      <c r="F1018" s="1071"/>
      <c r="G1018" s="140"/>
      <c r="H1018" s="141"/>
      <c r="I1018" s="142"/>
      <c r="J1018" s="143"/>
      <c r="K1018" s="142"/>
      <c r="L1018" s="143"/>
      <c r="M1018" s="144"/>
      <c r="N1018" s="1015"/>
      <c r="O1018" s="115"/>
      <c r="P1018" s="115"/>
      <c r="Q1018" s="116"/>
      <c r="R1018" s="116"/>
      <c r="S1018" s="145"/>
    </row>
    <row r="1019" spans="1:19" s="146" customFormat="1" ht="18" customHeight="1">
      <c r="A1019" s="183"/>
      <c r="B1019" s="1328">
        <v>14</v>
      </c>
      <c r="C1019" s="1329"/>
      <c r="D1019" s="1330"/>
      <c r="E1019" s="154" t="s">
        <v>1727</v>
      </c>
      <c r="F1019" s="1071"/>
      <c r="G1019" s="140"/>
      <c r="H1019" s="141" t="s">
        <v>104</v>
      </c>
      <c r="I1019" s="142"/>
      <c r="J1019" s="143"/>
      <c r="K1019" s="142" t="s">
        <v>1728</v>
      </c>
      <c r="L1019" s="143">
        <f>749388</f>
        <v>749388</v>
      </c>
      <c r="M1019" s="144">
        <f>L1019-J1019</f>
        <v>749388</v>
      </c>
      <c r="N1019" s="1015">
        <f>L1019/12</f>
        <v>62449</v>
      </c>
      <c r="O1019" s="115">
        <f>L1019-J1019</f>
        <v>749388</v>
      </c>
      <c r="P1019" s="115">
        <f>O1019-M1019</f>
        <v>0</v>
      </c>
      <c r="Q1019" s="116">
        <v>14340</v>
      </c>
      <c r="R1019" s="116">
        <f>Q1019*12</f>
        <v>172080</v>
      </c>
      <c r="S1019" s="145">
        <f>R1019-L1019</f>
        <v>-577308</v>
      </c>
    </row>
    <row r="1020" spans="1:19" s="146" customFormat="1" ht="18" customHeight="1">
      <c r="A1020" s="183"/>
      <c r="B1020" s="1071"/>
      <c r="C1020" s="1071"/>
      <c r="D1020" s="1071"/>
      <c r="E1020" s="154"/>
      <c r="F1020" s="1071"/>
      <c r="G1020" s="140"/>
      <c r="H1020" s="141" t="s">
        <v>1905</v>
      </c>
      <c r="I1020" s="142"/>
      <c r="J1020" s="143"/>
      <c r="K1020" s="142"/>
      <c r="L1020" s="143"/>
      <c r="M1020" s="144"/>
      <c r="N1020" s="1015"/>
      <c r="O1020" s="115"/>
      <c r="P1020" s="115"/>
      <c r="Q1020" s="116"/>
      <c r="R1020" s="116"/>
      <c r="S1020" s="145"/>
    </row>
    <row r="1021" spans="1:19" s="146" customFormat="1" ht="18" customHeight="1">
      <c r="A1021" s="183"/>
      <c r="B1021" s="1226"/>
      <c r="C1021" s="1226"/>
      <c r="D1021" s="1226"/>
      <c r="E1021" s="154"/>
      <c r="F1021" s="1226"/>
      <c r="G1021" s="140"/>
      <c r="H1021" s="141"/>
      <c r="I1021" s="142"/>
      <c r="J1021" s="143"/>
      <c r="K1021" s="142"/>
      <c r="L1021" s="143"/>
      <c r="M1021" s="144"/>
      <c r="N1021" s="1015"/>
      <c r="O1021" s="115"/>
      <c r="P1021" s="115"/>
      <c r="Q1021" s="116"/>
      <c r="R1021" s="116"/>
      <c r="S1021" s="145"/>
    </row>
    <row r="1022" spans="1:19" s="146" customFormat="1" ht="18" customHeight="1">
      <c r="A1022" s="183"/>
      <c r="B1022" s="1328">
        <v>15</v>
      </c>
      <c r="C1022" s="1329"/>
      <c r="D1022" s="1330"/>
      <c r="E1022" s="154" t="s">
        <v>1729</v>
      </c>
      <c r="F1022" s="1071"/>
      <c r="G1022" s="140"/>
      <c r="H1022" s="141" t="s">
        <v>104</v>
      </c>
      <c r="I1022" s="142"/>
      <c r="J1022" s="143"/>
      <c r="K1022" s="142" t="s">
        <v>53</v>
      </c>
      <c r="L1022" s="143">
        <f>421164</f>
        <v>421164</v>
      </c>
      <c r="M1022" s="144">
        <f>L1022-J1022</f>
        <v>421164</v>
      </c>
      <c r="N1022" s="1015">
        <f>L1022/12</f>
        <v>35097</v>
      </c>
      <c r="O1022" s="115">
        <f>L1022-J1022</f>
        <v>421164</v>
      </c>
      <c r="P1022" s="115">
        <f>O1022-M1022</f>
        <v>0</v>
      </c>
      <c r="Q1022" s="116">
        <v>14340</v>
      </c>
      <c r="R1022" s="116">
        <f>Q1022*12</f>
        <v>172080</v>
      </c>
      <c r="S1022" s="145">
        <f>R1022-L1022</f>
        <v>-249084</v>
      </c>
    </row>
    <row r="1023" spans="1:19" s="146" customFormat="1" ht="18" customHeight="1">
      <c r="A1023" s="183"/>
      <c r="B1023" s="1071"/>
      <c r="C1023" s="1071"/>
      <c r="D1023" s="1071"/>
      <c r="E1023" s="154"/>
      <c r="F1023" s="1071"/>
      <c r="G1023" s="140"/>
      <c r="H1023" s="141" t="s">
        <v>1906</v>
      </c>
      <c r="I1023" s="142"/>
      <c r="J1023" s="143"/>
      <c r="K1023" s="142"/>
      <c r="L1023" s="143"/>
      <c r="M1023" s="144"/>
      <c r="N1023" s="1015"/>
      <c r="O1023" s="115"/>
      <c r="P1023" s="115"/>
      <c r="Q1023" s="116"/>
      <c r="R1023" s="116"/>
      <c r="S1023" s="145"/>
    </row>
    <row r="1024" spans="1:19" s="146" customFormat="1" ht="18" customHeight="1">
      <c r="A1024" s="183"/>
      <c r="B1024" s="1226"/>
      <c r="C1024" s="1226"/>
      <c r="D1024" s="1226"/>
      <c r="E1024" s="154"/>
      <c r="F1024" s="1226"/>
      <c r="G1024" s="140"/>
      <c r="H1024" s="141"/>
      <c r="I1024" s="142"/>
      <c r="J1024" s="143"/>
      <c r="K1024" s="142"/>
      <c r="L1024" s="143"/>
      <c r="M1024" s="144"/>
      <c r="N1024" s="1015"/>
      <c r="O1024" s="115"/>
      <c r="P1024" s="115"/>
      <c r="Q1024" s="116"/>
      <c r="R1024" s="116"/>
      <c r="S1024" s="145"/>
    </row>
    <row r="1025" spans="1:23" s="146" customFormat="1" ht="18" customHeight="1">
      <c r="A1025" s="183"/>
      <c r="B1025" s="1328">
        <v>16</v>
      </c>
      <c r="C1025" s="1329"/>
      <c r="D1025" s="1330"/>
      <c r="E1025" s="154" t="s">
        <v>1730</v>
      </c>
      <c r="F1025" s="1071"/>
      <c r="G1025" s="140"/>
      <c r="H1025" s="141" t="s">
        <v>104</v>
      </c>
      <c r="I1025" s="142"/>
      <c r="J1025" s="143"/>
      <c r="K1025" s="142" t="s">
        <v>164</v>
      </c>
      <c r="L1025" s="143">
        <f>227976</f>
        <v>227976</v>
      </c>
      <c r="M1025" s="144">
        <f>L1025-J1025</f>
        <v>227976</v>
      </c>
      <c r="N1025" s="1015">
        <f>L1025/12</f>
        <v>18998</v>
      </c>
      <c r="O1025" s="115">
        <f>L1025-J1025</f>
        <v>227976</v>
      </c>
      <c r="P1025" s="115">
        <f>O1025-M1025</f>
        <v>0</v>
      </c>
      <c r="Q1025" s="116">
        <v>14340</v>
      </c>
      <c r="R1025" s="116">
        <f>Q1025*12</f>
        <v>172080</v>
      </c>
      <c r="S1025" s="145">
        <f>R1025-L1025</f>
        <v>-55896</v>
      </c>
    </row>
    <row r="1026" spans="1:23" s="146" customFormat="1" ht="18" customHeight="1">
      <c r="A1026" s="183"/>
      <c r="B1026" s="1060"/>
      <c r="C1026" s="1060"/>
      <c r="D1026" s="1060"/>
      <c r="E1026" s="1059"/>
      <c r="F1026" s="1060"/>
      <c r="G1026" s="140"/>
      <c r="H1026" s="141" t="s">
        <v>1907</v>
      </c>
      <c r="I1026" s="142"/>
      <c r="J1026" s="143"/>
      <c r="K1026" s="142"/>
      <c r="L1026" s="143"/>
      <c r="M1026" s="143"/>
      <c r="N1026" s="170"/>
      <c r="O1026" s="115"/>
      <c r="P1026" s="115"/>
      <c r="Q1026" s="116"/>
      <c r="R1026" s="116"/>
      <c r="S1026" s="117"/>
    </row>
    <row r="1027" spans="1:23" s="168" customFormat="1" ht="18" customHeight="1" thickBot="1">
      <c r="A1027" s="161"/>
      <c r="B1027" s="158"/>
      <c r="C1027" s="158"/>
      <c r="D1027" s="158"/>
      <c r="E1027" s="186"/>
      <c r="F1027" s="158"/>
      <c r="G1027" s="160"/>
      <c r="H1027" s="161" t="s">
        <v>15</v>
      </c>
      <c r="I1027" s="187"/>
      <c r="J1027" s="164">
        <f>SUM(J979:J1026)</f>
        <v>4883952</v>
      </c>
      <c r="K1027" s="187"/>
      <c r="L1027" s="164"/>
      <c r="M1027" s="164">
        <f>SUM(M979:M1026)</f>
        <v>1618537</v>
      </c>
      <c r="N1027" s="171"/>
      <c r="O1027" s="165"/>
      <c r="P1027" s="165"/>
      <c r="Q1027" s="166"/>
      <c r="R1027" s="166"/>
      <c r="S1027" s="167"/>
    </row>
    <row r="1028" spans="1:23" s="146" customFormat="1" ht="18" customHeight="1" thickTop="1">
      <c r="A1028" s="1060"/>
      <c r="B1028" s="1060"/>
      <c r="C1028" s="1060"/>
      <c r="D1028" s="1060"/>
      <c r="E1028" s="1060"/>
      <c r="F1028" s="1060"/>
      <c r="G1028" s="155"/>
      <c r="H1028" s="155"/>
      <c r="I1028" s="1060"/>
      <c r="J1028" s="170"/>
      <c r="K1028" s="152"/>
      <c r="L1028" s="170"/>
      <c r="M1028" s="170"/>
      <c r="N1028" s="170"/>
      <c r="O1028" s="115"/>
      <c r="P1028" s="115"/>
      <c r="Q1028" s="116"/>
      <c r="R1028" s="116"/>
      <c r="S1028" s="117"/>
    </row>
    <row r="1029" spans="1:23" s="146" customFormat="1" ht="18" customHeight="1">
      <c r="A1029" s="1060"/>
      <c r="B1029" s="1060"/>
      <c r="C1029" s="1060"/>
      <c r="D1029" s="1060"/>
      <c r="E1029" s="1060"/>
      <c r="F1029" s="1060"/>
      <c r="G1029" s="155"/>
      <c r="H1029" s="155"/>
      <c r="I1029" s="1060"/>
      <c r="J1029" s="170"/>
      <c r="K1029" s="152"/>
      <c r="L1029" s="170"/>
      <c r="M1029" s="170"/>
      <c r="N1029" s="170"/>
      <c r="O1029" s="115"/>
      <c r="P1029" s="115"/>
      <c r="Q1029" s="116"/>
      <c r="R1029" s="116"/>
      <c r="S1029" s="117"/>
    </row>
    <row r="1030" spans="1:23" s="146" customFormat="1" ht="18" customHeight="1">
      <c r="A1030" s="1060"/>
      <c r="B1030" s="1060"/>
      <c r="C1030" s="1060"/>
      <c r="D1030" s="1060"/>
      <c r="E1030" s="1060"/>
      <c r="F1030" s="1060"/>
      <c r="G1030" s="155"/>
      <c r="H1030" s="155"/>
      <c r="I1030" s="1060"/>
      <c r="J1030" s="170"/>
      <c r="K1030" s="152"/>
      <c r="L1030" s="170"/>
      <c r="M1030" s="170"/>
      <c r="N1030" s="170"/>
      <c r="O1030" s="115"/>
      <c r="P1030" s="115"/>
      <c r="Q1030" s="116"/>
      <c r="R1030" s="116"/>
      <c r="S1030" s="117"/>
    </row>
    <row r="1031" spans="1:23" s="146" customFormat="1" ht="18" customHeight="1">
      <c r="A1031" s="173" t="s">
        <v>626</v>
      </c>
      <c r="B1031" s="173"/>
      <c r="C1031" s="1052"/>
      <c r="D1031" s="1052"/>
      <c r="E1031" s="174"/>
      <c r="F1031" s="174"/>
      <c r="G1031" s="174"/>
      <c r="H1031" s="173" t="s">
        <v>627</v>
      </c>
      <c r="I1031" s="174"/>
      <c r="K1031" s="173" t="s">
        <v>258</v>
      </c>
      <c r="L1031" s="175"/>
      <c r="M1031" s="175"/>
      <c r="N1031" s="175"/>
      <c r="O1031" s="115"/>
      <c r="P1031" s="115"/>
      <c r="Q1031" s="116"/>
      <c r="R1031" s="116"/>
      <c r="S1031" s="117"/>
    </row>
    <row r="1032" spans="1:23" s="146" customFormat="1" ht="18" customHeight="1">
      <c r="A1032" s="174"/>
      <c r="B1032" s="174"/>
      <c r="C1032" s="1053"/>
      <c r="D1032" s="1053"/>
      <c r="E1032" s="174"/>
      <c r="F1032" s="174"/>
      <c r="G1032" s="174"/>
      <c r="H1032" s="174"/>
      <c r="I1032" s="174"/>
      <c r="J1032" s="174"/>
      <c r="K1032" s="176"/>
      <c r="L1032" s="175"/>
      <c r="M1032" s="175"/>
      <c r="N1032" s="175"/>
      <c r="O1032" s="115"/>
      <c r="P1032" s="115"/>
      <c r="Q1032" s="116"/>
      <c r="R1032" s="116"/>
      <c r="S1032" s="117"/>
    </row>
    <row r="1033" spans="1:23" s="146" customFormat="1" ht="18" customHeight="1">
      <c r="A1033" s="1310" t="s">
        <v>65</v>
      </c>
      <c r="B1033" s="1310"/>
      <c r="C1033" s="1310"/>
      <c r="D1033" s="1310"/>
      <c r="E1033" s="1310"/>
      <c r="F1033" s="1310"/>
      <c r="G1033" s="174"/>
      <c r="H1033" s="1310" t="s">
        <v>17</v>
      </c>
      <c r="I1033" s="1310"/>
      <c r="J1033" s="174"/>
      <c r="K1033" s="1310" t="s">
        <v>1454</v>
      </c>
      <c r="L1033" s="1310"/>
      <c r="M1033" s="1310"/>
      <c r="N1033" s="1052"/>
      <c r="O1033" s="115"/>
      <c r="P1033" s="115"/>
      <c r="Q1033" s="116"/>
      <c r="R1033" s="116"/>
      <c r="S1033" s="117"/>
    </row>
    <row r="1034" spans="1:23" s="146" customFormat="1" ht="18" customHeight="1">
      <c r="A1034" s="1294" t="s">
        <v>430</v>
      </c>
      <c r="B1034" s="1294"/>
      <c r="C1034" s="1294"/>
      <c r="D1034" s="1294"/>
      <c r="E1034" s="1294"/>
      <c r="F1034" s="1294"/>
      <c r="G1034" s="177"/>
      <c r="H1034" s="1294" t="s">
        <v>18</v>
      </c>
      <c r="I1034" s="1294"/>
      <c r="J1034" s="1052"/>
      <c r="K1034" s="1294" t="s">
        <v>14</v>
      </c>
      <c r="L1034" s="1294"/>
      <c r="M1034" s="1294"/>
      <c r="N1034" s="1053"/>
      <c r="O1034" s="115"/>
      <c r="P1034" s="115"/>
      <c r="Q1034" s="116"/>
      <c r="R1034" s="116"/>
      <c r="S1034" s="117"/>
    </row>
    <row r="1035" spans="1:23" s="146" customFormat="1" ht="18" customHeight="1">
      <c r="A1035" s="1053"/>
      <c r="B1035" s="1053"/>
      <c r="C1035" s="1053"/>
      <c r="D1035" s="1053"/>
      <c r="E1035" s="1053"/>
      <c r="F1035" s="1053"/>
      <c r="G1035" s="177"/>
      <c r="H1035" s="1053"/>
      <c r="I1035" s="1053"/>
      <c r="J1035" s="1052"/>
      <c r="K1035" s="1053"/>
      <c r="L1035" s="1053"/>
      <c r="M1035" s="1053"/>
      <c r="N1035" s="1053"/>
      <c r="O1035" s="115"/>
      <c r="P1035" s="115"/>
      <c r="Q1035" s="116"/>
      <c r="R1035" s="116"/>
      <c r="S1035" s="117"/>
    </row>
    <row r="1036" spans="1:23" s="146" customFormat="1" ht="18" customHeight="1">
      <c r="A1036" s="1053"/>
      <c r="B1036" s="1053"/>
      <c r="C1036" s="1053"/>
      <c r="D1036" s="1053"/>
      <c r="E1036" s="1053"/>
      <c r="F1036" s="1053"/>
      <c r="G1036" s="177"/>
      <c r="H1036" s="1053"/>
      <c r="I1036" s="1053"/>
      <c r="J1036" s="1052"/>
      <c r="K1036" s="1053"/>
      <c r="L1036" s="1053"/>
      <c r="M1036" s="1053"/>
      <c r="N1036" s="1053"/>
      <c r="O1036" s="115"/>
      <c r="P1036" s="115"/>
      <c r="Q1036" s="116"/>
      <c r="R1036" s="116"/>
      <c r="S1036" s="117"/>
    </row>
    <row r="1037" spans="1:23" s="146" customFormat="1" ht="18" customHeight="1">
      <c r="A1037" s="1053"/>
      <c r="B1037" s="1053"/>
      <c r="C1037" s="1053"/>
      <c r="D1037" s="1053"/>
      <c r="E1037" s="1053"/>
      <c r="F1037" s="1053"/>
      <c r="G1037" s="177"/>
      <c r="H1037" s="1053"/>
      <c r="I1037" s="1053"/>
      <c r="J1037" s="1052"/>
      <c r="K1037" s="1053"/>
      <c r="L1037" s="1053"/>
      <c r="M1037" s="1053"/>
      <c r="N1037" s="1053"/>
      <c r="O1037" s="115"/>
      <c r="P1037" s="115"/>
      <c r="Q1037" s="116"/>
      <c r="R1037" s="116"/>
      <c r="S1037" s="117"/>
    </row>
    <row r="1038" spans="1:23" s="146" customFormat="1" ht="18" customHeight="1">
      <c r="A1038" s="1053"/>
      <c r="B1038" s="1053"/>
      <c r="C1038" s="1053"/>
      <c r="D1038" s="1053"/>
      <c r="E1038" s="1053"/>
      <c r="F1038" s="1053"/>
      <c r="G1038" s="177"/>
      <c r="H1038" s="1053"/>
      <c r="I1038" s="1053"/>
      <c r="J1038" s="1052"/>
      <c r="K1038" s="1053"/>
      <c r="L1038" s="1053"/>
      <c r="M1038" s="1053"/>
      <c r="N1038" s="1053"/>
      <c r="O1038" s="115"/>
      <c r="P1038" s="115"/>
      <c r="Q1038" s="116"/>
      <c r="R1038" s="116"/>
      <c r="S1038" s="117"/>
    </row>
    <row r="1039" spans="1:23" s="115" customFormat="1" ht="18" customHeight="1">
      <c r="A1039" s="118"/>
      <c r="B1039" s="118"/>
      <c r="C1039" s="209"/>
      <c r="D1039" s="209"/>
      <c r="E1039" s="118"/>
      <c r="F1039" s="118"/>
      <c r="G1039" s="118"/>
      <c r="H1039" s="118"/>
      <c r="I1039" s="118"/>
      <c r="J1039" s="118"/>
      <c r="K1039" s="136"/>
      <c r="L1039" s="113"/>
      <c r="M1039" s="178"/>
      <c r="N1039" s="178"/>
      <c r="Q1039" s="116"/>
      <c r="R1039" s="116"/>
      <c r="S1039" s="117"/>
      <c r="T1039" s="118"/>
      <c r="U1039" s="118"/>
      <c r="V1039" s="118"/>
      <c r="W1039" s="118"/>
    </row>
    <row r="1040" spans="1:23" s="271" customFormat="1" ht="20.100000000000001" customHeight="1">
      <c r="A1040" s="1263" t="s">
        <v>1004</v>
      </c>
      <c r="B1040" s="1263"/>
      <c r="C1040" s="1263"/>
      <c r="D1040" s="1263"/>
      <c r="E1040" s="1263"/>
      <c r="F1040" s="1263"/>
      <c r="G1040" s="1263"/>
      <c r="H1040" s="1263"/>
      <c r="I1040" s="1263"/>
      <c r="J1040" s="1263"/>
      <c r="K1040" s="1263"/>
      <c r="L1040" s="1263"/>
      <c r="M1040" s="1263"/>
      <c r="N1040" s="1058"/>
      <c r="S1040" s="179"/>
      <c r="T1040" s="179"/>
      <c r="U1040" s="179"/>
      <c r="V1040" s="179"/>
      <c r="W1040" s="179"/>
    </row>
    <row r="1041" spans="1:23" s="115" customFormat="1" ht="18" customHeight="1">
      <c r="A1041" s="110"/>
      <c r="B1041" s="110"/>
      <c r="C1041" s="1057"/>
      <c r="D1041" s="1057"/>
      <c r="E1041" s="111"/>
      <c r="F1041" s="111"/>
      <c r="G1041" s="111"/>
      <c r="H1041" s="111"/>
      <c r="I1041" s="111"/>
      <c r="J1041" s="111"/>
      <c r="K1041" s="112"/>
      <c r="L1041" s="113"/>
      <c r="M1041" s="114"/>
      <c r="N1041" s="114"/>
      <c r="Q1041" s="116"/>
      <c r="R1041" s="116"/>
      <c r="S1041" s="117"/>
      <c r="T1041" s="118"/>
      <c r="U1041" s="118"/>
      <c r="V1041" s="118"/>
      <c r="W1041" s="118"/>
    </row>
    <row r="1042" spans="1:23" s="115" customFormat="1" ht="18" customHeight="1">
      <c r="A1042" s="1319" t="s">
        <v>1675</v>
      </c>
      <c r="B1042" s="1319"/>
      <c r="C1042" s="1319"/>
      <c r="D1042" s="1319"/>
      <c r="E1042" s="1319"/>
      <c r="F1042" s="1319"/>
      <c r="G1042" s="1319"/>
      <c r="H1042" s="1319"/>
      <c r="I1042" s="1319"/>
      <c r="J1042" s="1319"/>
      <c r="K1042" s="1319"/>
      <c r="L1042" s="1319"/>
      <c r="M1042" s="1319"/>
      <c r="N1042" s="1048"/>
      <c r="Q1042" s="116"/>
      <c r="R1042" s="116"/>
      <c r="S1042" s="117"/>
      <c r="T1042" s="118"/>
      <c r="U1042" s="118"/>
      <c r="V1042" s="118"/>
      <c r="W1042" s="118"/>
    </row>
    <row r="1043" spans="1:23" s="115" customFormat="1" ht="18" customHeight="1">
      <c r="A1043" s="1320" t="s">
        <v>358</v>
      </c>
      <c r="B1043" s="1320"/>
      <c r="C1043" s="1320"/>
      <c r="D1043" s="1320"/>
      <c r="E1043" s="1320"/>
      <c r="F1043" s="1320"/>
      <c r="G1043" s="1320"/>
      <c r="H1043" s="1320"/>
      <c r="I1043" s="1320"/>
      <c r="J1043" s="1320"/>
      <c r="K1043" s="1320"/>
      <c r="L1043" s="1320"/>
      <c r="M1043" s="1320"/>
      <c r="N1043" s="1049"/>
      <c r="Q1043" s="116"/>
      <c r="R1043" s="116"/>
      <c r="S1043" s="117"/>
      <c r="T1043" s="118"/>
      <c r="U1043" s="118"/>
      <c r="V1043" s="118"/>
      <c r="W1043" s="118"/>
    </row>
    <row r="1044" spans="1:23" s="115" customFormat="1" ht="18" customHeight="1">
      <c r="A1044" s="1321"/>
      <c r="B1044" s="1321"/>
      <c r="C1044" s="1321"/>
      <c r="D1044" s="1321"/>
      <c r="E1044" s="1321"/>
      <c r="F1044" s="1321"/>
      <c r="G1044" s="1321"/>
      <c r="H1044" s="1321"/>
      <c r="I1044" s="1321"/>
      <c r="J1044" s="1321"/>
      <c r="K1044" s="1321"/>
      <c r="L1044" s="1321"/>
      <c r="M1044" s="1321"/>
      <c r="N1044" s="1050"/>
      <c r="Q1044" s="116"/>
      <c r="R1044" s="116"/>
      <c r="S1044" s="117"/>
      <c r="T1044" s="118"/>
      <c r="U1044" s="118"/>
      <c r="V1044" s="118"/>
      <c r="W1044" s="118"/>
    </row>
    <row r="1045" spans="1:23" s="115" customFormat="1" ht="18" customHeight="1">
      <c r="A1045" s="1050"/>
      <c r="B1045" s="1050"/>
      <c r="C1045" s="1050"/>
      <c r="D1045" s="1050"/>
      <c r="E1045" s="1050"/>
      <c r="F1045" s="1050"/>
      <c r="G1045" s="1050"/>
      <c r="H1045" s="1050"/>
      <c r="I1045" s="1050"/>
      <c r="J1045" s="1050"/>
      <c r="K1045" s="1050"/>
      <c r="L1045" s="1050"/>
      <c r="M1045" s="1050"/>
      <c r="N1045" s="1050"/>
      <c r="Q1045" s="116"/>
      <c r="R1045" s="116"/>
      <c r="S1045" s="117"/>
      <c r="T1045" s="118"/>
      <c r="U1045" s="118"/>
      <c r="V1045" s="118"/>
      <c r="W1045" s="118"/>
    </row>
    <row r="1046" spans="1:23" s="115" customFormat="1" ht="18" customHeight="1">
      <c r="A1046" s="111" t="s">
        <v>450</v>
      </c>
      <c r="B1046" s="111"/>
      <c r="C1046" s="111" t="s">
        <v>448</v>
      </c>
      <c r="D1046" s="111" t="s">
        <v>476</v>
      </c>
      <c r="E1046" s="111"/>
      <c r="F1046" s="111"/>
      <c r="G1046" s="111"/>
      <c r="H1046" s="111"/>
      <c r="I1046" s="1050"/>
      <c r="J1046" s="1050"/>
      <c r="K1046" s="1050"/>
      <c r="L1046" s="1050"/>
      <c r="M1046" s="1050"/>
      <c r="N1046" s="1050"/>
      <c r="Q1046" s="116"/>
      <c r="R1046" s="116"/>
      <c r="S1046" s="117"/>
      <c r="T1046" s="118"/>
      <c r="U1046" s="118"/>
      <c r="V1046" s="118"/>
      <c r="W1046" s="118"/>
    </row>
    <row r="1047" spans="1:23" s="115" customFormat="1" ht="18" customHeight="1">
      <c r="A1047" s="111" t="s">
        <v>473</v>
      </c>
      <c r="B1047" s="111"/>
      <c r="C1047" s="111" t="s">
        <v>448</v>
      </c>
      <c r="D1047" s="111" t="s">
        <v>474</v>
      </c>
      <c r="E1047" s="111"/>
      <c r="F1047" s="111"/>
      <c r="G1047" s="111"/>
      <c r="H1047" s="111"/>
      <c r="I1047" s="1050"/>
      <c r="J1047" s="1050"/>
      <c r="K1047" s="1050"/>
      <c r="L1047" s="1050"/>
      <c r="M1047" s="1050"/>
      <c r="N1047" s="1050"/>
      <c r="O1047" s="180"/>
      <c r="Q1047" s="116"/>
      <c r="R1047" s="116"/>
      <c r="S1047" s="117"/>
      <c r="T1047" s="118"/>
      <c r="U1047" s="118"/>
      <c r="V1047" s="118"/>
      <c r="W1047" s="118"/>
    </row>
    <row r="1048" spans="1:23" s="115" customFormat="1" ht="18" customHeight="1" thickBot="1">
      <c r="A1048" s="111" t="s">
        <v>455</v>
      </c>
      <c r="B1048" s="111"/>
      <c r="C1048" s="216" t="s">
        <v>448</v>
      </c>
      <c r="D1048" s="111" t="s">
        <v>682</v>
      </c>
      <c r="E1048" s="111"/>
      <c r="F1048" s="111"/>
      <c r="G1048" s="111"/>
      <c r="H1048" s="111"/>
      <c r="I1048" s="1050"/>
      <c r="J1048" s="1050"/>
      <c r="K1048" s="1050"/>
      <c r="L1048" s="1050"/>
      <c r="M1048" s="1050"/>
      <c r="N1048" s="1050"/>
      <c r="O1048" s="180"/>
      <c r="Q1048" s="116"/>
      <c r="R1048" s="116"/>
      <c r="S1048" s="117"/>
      <c r="T1048" s="118"/>
      <c r="U1048" s="118"/>
      <c r="V1048" s="118"/>
      <c r="W1048" s="118"/>
    </row>
    <row r="1049" spans="1:23" s="115" customFormat="1" ht="18" customHeight="1">
      <c r="A1049" s="1322" t="s">
        <v>631</v>
      </c>
      <c r="B1049" s="1323"/>
      <c r="C1049" s="1323"/>
      <c r="D1049" s="1323"/>
      <c r="E1049" s="1324"/>
      <c r="F1049" s="1323"/>
      <c r="G1049" s="1325"/>
      <c r="H1049" s="121"/>
      <c r="I1049" s="1326" t="s">
        <v>635</v>
      </c>
      <c r="J1049" s="1327"/>
      <c r="K1049" s="1326" t="s">
        <v>635</v>
      </c>
      <c r="L1049" s="1327"/>
      <c r="M1049" s="122"/>
      <c r="N1049" s="1012"/>
      <c r="O1049" s="180"/>
      <c r="Q1049" s="116"/>
      <c r="R1049" s="116"/>
      <c r="S1049" s="117"/>
      <c r="T1049" s="118"/>
      <c r="U1049" s="118"/>
      <c r="V1049" s="118"/>
      <c r="W1049" s="118"/>
    </row>
    <row r="1050" spans="1:23" s="115" customFormat="1" ht="18" customHeight="1">
      <c r="A1050" s="123" t="s">
        <v>632</v>
      </c>
      <c r="B1050" s="1311" t="s">
        <v>633</v>
      </c>
      <c r="C1050" s="1312"/>
      <c r="D1050" s="1313"/>
      <c r="E1050" s="1314" t="s">
        <v>44</v>
      </c>
      <c r="F1050" s="1315"/>
      <c r="G1050" s="1316"/>
      <c r="H1050" s="1054" t="s">
        <v>45</v>
      </c>
      <c r="I1050" s="1314" t="s">
        <v>1502</v>
      </c>
      <c r="J1050" s="1316"/>
      <c r="K1050" s="1315" t="s">
        <v>1676</v>
      </c>
      <c r="L1050" s="1316"/>
      <c r="M1050" s="124" t="s">
        <v>46</v>
      </c>
      <c r="N1050" s="1013"/>
      <c r="Q1050" s="116"/>
      <c r="R1050" s="116"/>
      <c r="S1050" s="117"/>
      <c r="T1050" s="118"/>
      <c r="U1050" s="118"/>
      <c r="V1050" s="118"/>
      <c r="W1050" s="118"/>
    </row>
    <row r="1051" spans="1:23" s="115" customFormat="1" ht="18" customHeight="1">
      <c r="A1051" s="125"/>
      <c r="B1051" s="1054"/>
      <c r="C1051" s="1055"/>
      <c r="D1051" s="1055"/>
      <c r="E1051" s="1054"/>
      <c r="F1051" s="1055"/>
      <c r="G1051" s="1056"/>
      <c r="H1051" s="1054" t="s">
        <v>47</v>
      </c>
      <c r="I1051" s="1317"/>
      <c r="J1051" s="1318"/>
      <c r="K1051" s="1317"/>
      <c r="L1051" s="1318"/>
      <c r="M1051" s="124" t="s">
        <v>48</v>
      </c>
      <c r="N1051" s="1013"/>
      <c r="Q1051" s="116"/>
      <c r="R1051" s="116"/>
      <c r="S1051" s="117"/>
      <c r="T1051" s="118"/>
      <c r="U1051" s="118"/>
      <c r="V1051" s="118"/>
      <c r="W1051" s="118"/>
    </row>
    <row r="1052" spans="1:23" s="115" customFormat="1" ht="18" customHeight="1">
      <c r="A1052" s="125"/>
      <c r="B1052" s="1054"/>
      <c r="C1052" s="1055"/>
      <c r="D1052" s="1055"/>
      <c r="E1052" s="1054"/>
      <c r="F1052" s="1055"/>
      <c r="G1052" s="126"/>
      <c r="H1052" s="127"/>
      <c r="I1052" s="128" t="s">
        <v>634</v>
      </c>
      <c r="J1052" s="129" t="s">
        <v>49</v>
      </c>
      <c r="K1052" s="128" t="s">
        <v>634</v>
      </c>
      <c r="L1052" s="129" t="s">
        <v>49</v>
      </c>
      <c r="M1052" s="124"/>
      <c r="N1052" s="120" t="s">
        <v>1628</v>
      </c>
      <c r="Q1052" s="116"/>
      <c r="R1052" s="116"/>
      <c r="S1052" s="117"/>
      <c r="T1052" s="118"/>
      <c r="U1052" s="118"/>
      <c r="V1052" s="118"/>
      <c r="W1052" s="118"/>
    </row>
    <row r="1053" spans="1:23" s="115" customFormat="1" ht="18" customHeight="1" thickBot="1">
      <c r="A1053" s="130"/>
      <c r="B1053" s="1307"/>
      <c r="C1053" s="1308"/>
      <c r="D1053" s="1309"/>
      <c r="E1053" s="1307"/>
      <c r="F1053" s="1308"/>
      <c r="G1053" s="1309"/>
      <c r="H1053" s="131"/>
      <c r="I1053" s="131"/>
      <c r="J1053" s="131"/>
      <c r="K1053" s="131"/>
      <c r="L1053" s="131"/>
      <c r="M1053" s="132"/>
      <c r="N1053" s="1019" t="s">
        <v>1629</v>
      </c>
      <c r="Q1053" s="116"/>
      <c r="R1053" s="116"/>
      <c r="S1053" s="117"/>
      <c r="T1053" s="118"/>
      <c r="U1053" s="118"/>
      <c r="V1053" s="118"/>
      <c r="W1053" s="118"/>
    </row>
    <row r="1054" spans="1:23" s="115" customFormat="1" ht="18" customHeight="1">
      <c r="A1054" s="181"/>
      <c r="B1054" s="119"/>
      <c r="C1054" s="119"/>
      <c r="D1054" s="119"/>
      <c r="E1054" s="133"/>
      <c r="F1054" s="119"/>
      <c r="G1054" s="134"/>
      <c r="H1054" s="135"/>
      <c r="I1054" s="182"/>
      <c r="J1054" s="137"/>
      <c r="K1054" s="182"/>
      <c r="L1054" s="137"/>
      <c r="M1054" s="137"/>
      <c r="N1054" s="1016"/>
      <c r="Q1054" s="116"/>
      <c r="R1054" s="116"/>
      <c r="S1054" s="117"/>
      <c r="T1054" s="118"/>
      <c r="U1054" s="118"/>
      <c r="V1054" s="118"/>
      <c r="W1054" s="118"/>
    </row>
    <row r="1055" spans="1:23" s="146" customFormat="1" ht="18" customHeight="1">
      <c r="A1055" s="183"/>
      <c r="B1055" s="1060"/>
      <c r="C1055" s="1060"/>
      <c r="D1055" s="1060"/>
      <c r="E1055" s="154"/>
      <c r="F1055" s="1060"/>
      <c r="G1055" s="140"/>
      <c r="H1055" s="141"/>
      <c r="I1055" s="184"/>
      <c r="J1055" s="143"/>
      <c r="K1055" s="184"/>
      <c r="L1055" s="143"/>
      <c r="M1055" s="144"/>
      <c r="N1055" s="1015"/>
      <c r="O1055" s="115"/>
      <c r="P1055" s="115"/>
      <c r="Q1055" s="116"/>
      <c r="R1055" s="116"/>
      <c r="S1055" s="145"/>
    </row>
    <row r="1056" spans="1:23" s="146" customFormat="1" ht="18" customHeight="1">
      <c r="A1056" s="183">
        <v>1</v>
      </c>
      <c r="B1056" s="1328"/>
      <c r="C1056" s="1329"/>
      <c r="D1056" s="1330"/>
      <c r="E1056" s="154" t="s">
        <v>135</v>
      </c>
      <c r="F1056" s="1060"/>
      <c r="G1056" s="140"/>
      <c r="H1056" s="141" t="s">
        <v>125</v>
      </c>
      <c r="I1056" s="184" t="s">
        <v>434</v>
      </c>
      <c r="J1056" s="143">
        <v>407436</v>
      </c>
      <c r="K1056" s="184" t="s">
        <v>1719</v>
      </c>
      <c r="L1056" s="143">
        <v>462792</v>
      </c>
      <c r="M1056" s="144">
        <f>L1056-J1056</f>
        <v>55356</v>
      </c>
      <c r="N1056" s="1015">
        <f>L1056/12</f>
        <v>38566</v>
      </c>
      <c r="O1056" s="115">
        <f>L1056-J1056</f>
        <v>55356</v>
      </c>
      <c r="P1056" s="115">
        <f>O1056-M1056</f>
        <v>0</v>
      </c>
      <c r="Q1056" s="116">
        <v>29010</v>
      </c>
      <c r="R1056" s="116">
        <f>Q1056*12</f>
        <v>348120</v>
      </c>
      <c r="S1056" s="145">
        <f>R1056-L1056</f>
        <v>-114672</v>
      </c>
    </row>
    <row r="1057" spans="1:19" s="146" customFormat="1" ht="18" customHeight="1">
      <c r="A1057" s="183"/>
      <c r="B1057" s="1060"/>
      <c r="C1057" s="1060"/>
      <c r="D1057" s="1060"/>
      <c r="E1057" s="154"/>
      <c r="F1057" s="1060"/>
      <c r="G1057" s="140"/>
      <c r="H1057" s="141"/>
      <c r="I1057" s="184"/>
      <c r="J1057" s="149"/>
      <c r="K1057" s="184"/>
      <c r="L1057" s="149"/>
      <c r="M1057" s="144"/>
      <c r="N1057" s="1015"/>
      <c r="O1057" s="115"/>
      <c r="P1057" s="115"/>
      <c r="Q1057" s="116"/>
      <c r="R1057" s="116"/>
      <c r="S1057" s="117"/>
    </row>
    <row r="1058" spans="1:19" s="146" customFormat="1" ht="18" customHeight="1">
      <c r="A1058" s="183"/>
      <c r="B1058" s="1060"/>
      <c r="C1058" s="1060"/>
      <c r="D1058" s="1060"/>
      <c r="E1058" s="154"/>
      <c r="F1058" s="1060"/>
      <c r="G1058" s="140"/>
      <c r="H1058" s="141"/>
      <c r="I1058" s="184"/>
      <c r="J1058" s="149"/>
      <c r="K1058" s="184"/>
      <c r="L1058" s="149"/>
      <c r="M1058" s="144"/>
      <c r="N1058" s="1015"/>
      <c r="O1058" s="115"/>
      <c r="P1058" s="115"/>
      <c r="Q1058" s="116"/>
      <c r="R1058" s="116"/>
      <c r="S1058" s="117"/>
    </row>
    <row r="1059" spans="1:19" s="146" customFormat="1" ht="18" customHeight="1">
      <c r="A1059" s="183"/>
      <c r="B1059" s="1060"/>
      <c r="C1059" s="1060"/>
      <c r="D1059" s="1060"/>
      <c r="E1059" s="154"/>
      <c r="F1059" s="1060"/>
      <c r="G1059" s="140"/>
      <c r="H1059" s="141"/>
      <c r="I1059" s="184"/>
      <c r="J1059" s="143"/>
      <c r="K1059" s="184"/>
      <c r="L1059" s="143"/>
      <c r="M1059" s="144"/>
      <c r="N1059" s="1015"/>
      <c r="O1059" s="115"/>
      <c r="P1059" s="115"/>
      <c r="Q1059" s="116"/>
      <c r="R1059" s="116"/>
      <c r="S1059" s="117"/>
    </row>
    <row r="1060" spans="1:19" s="146" customFormat="1" ht="18" customHeight="1">
      <c r="A1060" s="183">
        <v>2</v>
      </c>
      <c r="B1060" s="1060"/>
      <c r="C1060" s="1060"/>
      <c r="D1060" s="1060"/>
      <c r="E1060" s="154" t="s">
        <v>124</v>
      </c>
      <c r="F1060" s="1060"/>
      <c r="G1060" s="140"/>
      <c r="H1060" s="141" t="s">
        <v>128</v>
      </c>
      <c r="I1060" s="184" t="s">
        <v>1461</v>
      </c>
      <c r="J1060" s="143">
        <v>343068</v>
      </c>
      <c r="K1060" s="184" t="s">
        <v>1461</v>
      </c>
      <c r="L1060" s="143">
        <v>361332</v>
      </c>
      <c r="M1060" s="144">
        <f>L1060-J1060</f>
        <v>18264</v>
      </c>
      <c r="N1060" s="1015">
        <f>L1060/12</f>
        <v>30111</v>
      </c>
      <c r="O1060" s="115">
        <f>L1060-J1060</f>
        <v>18264</v>
      </c>
      <c r="P1060" s="115">
        <f>O1060-M1060</f>
        <v>0</v>
      </c>
      <c r="Q1060" s="116">
        <v>24224</v>
      </c>
      <c r="R1060" s="116">
        <f>Q1060*12</f>
        <v>290688</v>
      </c>
      <c r="S1060" s="145">
        <f>R1060-L1060</f>
        <v>-70644</v>
      </c>
    </row>
    <row r="1061" spans="1:19" s="146" customFormat="1" ht="18" customHeight="1">
      <c r="A1061" s="183"/>
      <c r="B1061" s="1060"/>
      <c r="C1061" s="1060"/>
      <c r="D1061" s="1060"/>
      <c r="E1061" s="154"/>
      <c r="F1061" s="1060"/>
      <c r="G1061" s="140"/>
      <c r="H1061" s="141"/>
      <c r="I1061" s="184"/>
      <c r="J1061" s="149"/>
      <c r="K1061" s="184"/>
      <c r="L1061" s="149"/>
      <c r="M1061" s="144"/>
      <c r="N1061" s="1015"/>
      <c r="O1061" s="115"/>
      <c r="P1061" s="115"/>
      <c r="Q1061" s="116"/>
      <c r="R1061" s="116"/>
      <c r="S1061" s="117"/>
    </row>
    <row r="1062" spans="1:19" s="146" customFormat="1" ht="18" customHeight="1">
      <c r="A1062" s="183"/>
      <c r="B1062" s="1060"/>
      <c r="C1062" s="1060"/>
      <c r="D1062" s="1060"/>
      <c r="E1062" s="154"/>
      <c r="F1062" s="1060"/>
      <c r="G1062" s="140"/>
      <c r="H1062" s="141"/>
      <c r="I1062" s="184"/>
      <c r="J1062" s="149"/>
      <c r="K1062" s="184"/>
      <c r="L1062" s="149"/>
      <c r="M1062" s="144"/>
      <c r="N1062" s="1015"/>
      <c r="O1062" s="115"/>
      <c r="P1062" s="115"/>
      <c r="Q1062" s="116"/>
      <c r="R1062" s="116"/>
      <c r="S1062" s="117"/>
    </row>
    <row r="1063" spans="1:19" s="146" customFormat="1" ht="18" customHeight="1">
      <c r="A1063" s="183"/>
      <c r="B1063" s="1060"/>
      <c r="C1063" s="1060"/>
      <c r="D1063" s="1060"/>
      <c r="E1063" s="154"/>
      <c r="F1063" s="1060"/>
      <c r="G1063" s="140"/>
      <c r="H1063" s="141"/>
      <c r="I1063" s="184"/>
      <c r="J1063" s="149"/>
      <c r="K1063" s="184"/>
      <c r="L1063" s="149"/>
      <c r="M1063" s="144"/>
      <c r="N1063" s="1015"/>
      <c r="O1063" s="115"/>
      <c r="P1063" s="115"/>
      <c r="Q1063" s="116"/>
      <c r="R1063" s="116"/>
      <c r="S1063" s="117"/>
    </row>
    <row r="1064" spans="1:19" s="146" customFormat="1" ht="18" customHeight="1">
      <c r="A1064" s="183">
        <v>3</v>
      </c>
      <c r="B1064" s="1060"/>
      <c r="C1064" s="1060"/>
      <c r="D1064" s="1060"/>
      <c r="E1064" s="154" t="s">
        <v>127</v>
      </c>
      <c r="F1064" s="1060"/>
      <c r="G1064" s="140"/>
      <c r="H1064" s="141" t="s">
        <v>893</v>
      </c>
      <c r="I1064" s="184" t="s">
        <v>66</v>
      </c>
      <c r="J1064" s="143">
        <v>311424</v>
      </c>
      <c r="K1064" s="184" t="s">
        <v>66</v>
      </c>
      <c r="L1064" s="143">
        <v>330168</v>
      </c>
      <c r="M1064" s="144">
        <f>L1064-J1064</f>
        <v>18744</v>
      </c>
      <c r="N1064" s="1015">
        <f>L1064/12</f>
        <v>27514</v>
      </c>
      <c r="O1064" s="115">
        <f>L1064-J1064</f>
        <v>18744</v>
      </c>
      <c r="P1064" s="115">
        <f>O1064-M1064</f>
        <v>0</v>
      </c>
      <c r="Q1064" s="116">
        <v>22055</v>
      </c>
      <c r="R1064" s="116">
        <f>Q1064*12</f>
        <v>264660</v>
      </c>
      <c r="S1064" s="145">
        <f>R1064-L1064</f>
        <v>-65508</v>
      </c>
    </row>
    <row r="1065" spans="1:19" s="146" customFormat="1" ht="18" customHeight="1">
      <c r="A1065" s="183"/>
      <c r="B1065" s="1060"/>
      <c r="C1065" s="1060"/>
      <c r="D1065" s="1060"/>
      <c r="E1065" s="154"/>
      <c r="F1065" s="1060"/>
      <c r="G1065" s="140"/>
      <c r="H1065" s="141"/>
      <c r="I1065" s="184"/>
      <c r="J1065" s="143"/>
      <c r="K1065" s="184"/>
      <c r="L1065" s="143"/>
      <c r="M1065" s="144"/>
      <c r="N1065" s="1015"/>
      <c r="O1065" s="115"/>
      <c r="P1065" s="115"/>
      <c r="Q1065" s="116"/>
      <c r="R1065" s="116"/>
      <c r="S1065" s="117"/>
    </row>
    <row r="1066" spans="1:19" s="146" customFormat="1" ht="18" customHeight="1">
      <c r="A1066" s="183"/>
      <c r="B1066" s="1060"/>
      <c r="C1066" s="1060"/>
      <c r="D1066" s="1060"/>
      <c r="E1066" s="154"/>
      <c r="F1066" s="1060"/>
      <c r="G1066" s="140"/>
      <c r="H1066" s="141"/>
      <c r="I1066" s="184"/>
      <c r="J1066" s="143"/>
      <c r="K1066" s="184"/>
      <c r="L1066" s="143"/>
      <c r="M1066" s="144"/>
      <c r="N1066" s="1015"/>
      <c r="O1066" s="115"/>
      <c r="P1066" s="115"/>
      <c r="Q1066" s="116"/>
      <c r="R1066" s="116"/>
      <c r="S1066" s="117"/>
    </row>
    <row r="1067" spans="1:19" s="146" customFormat="1" ht="18" customHeight="1">
      <c r="A1067" s="183"/>
      <c r="B1067" s="1060"/>
      <c r="C1067" s="1060"/>
      <c r="D1067" s="1060"/>
      <c r="E1067" s="154"/>
      <c r="F1067" s="1060"/>
      <c r="G1067" s="140"/>
      <c r="H1067" s="141"/>
      <c r="I1067" s="185"/>
      <c r="J1067" s="143"/>
      <c r="K1067" s="185"/>
      <c r="L1067" s="143"/>
      <c r="M1067" s="144"/>
      <c r="N1067" s="1015"/>
      <c r="O1067" s="115"/>
      <c r="P1067" s="115"/>
      <c r="Q1067" s="116"/>
      <c r="R1067" s="116"/>
      <c r="S1067" s="117"/>
    </row>
    <row r="1068" spans="1:19" s="146" customFormat="1" ht="18" customHeight="1">
      <c r="A1068" s="183">
        <v>4</v>
      </c>
      <c r="B1068" s="1060"/>
      <c r="C1068" s="1060"/>
      <c r="D1068" s="1060"/>
      <c r="E1068" s="154" t="s">
        <v>127</v>
      </c>
      <c r="F1068" s="1060"/>
      <c r="G1068" s="140"/>
      <c r="H1068" s="141" t="s">
        <v>136</v>
      </c>
      <c r="I1068" s="184" t="s">
        <v>66</v>
      </c>
      <c r="J1068" s="143">
        <v>311424</v>
      </c>
      <c r="K1068" s="184" t="s">
        <v>66</v>
      </c>
      <c r="L1068" s="143">
        <v>330168</v>
      </c>
      <c r="M1068" s="144">
        <f>L1068-J1068</f>
        <v>18744</v>
      </c>
      <c r="N1068" s="1015">
        <f>L1068/12</f>
        <v>27514</v>
      </c>
      <c r="O1068" s="115">
        <f>L1068-J1068</f>
        <v>18744</v>
      </c>
      <c r="P1068" s="115">
        <f>O1068-M1068</f>
        <v>0</v>
      </c>
      <c r="Q1068" s="116">
        <v>21777</v>
      </c>
      <c r="R1068" s="116">
        <f>Q1068*12</f>
        <v>261324</v>
      </c>
      <c r="S1068" s="145">
        <f>R1068-L1068</f>
        <v>-68844</v>
      </c>
    </row>
    <row r="1069" spans="1:19" s="146" customFormat="1" ht="18" customHeight="1">
      <c r="A1069" s="183"/>
      <c r="B1069" s="1060"/>
      <c r="C1069" s="1060"/>
      <c r="D1069" s="1060"/>
      <c r="E1069" s="154"/>
      <c r="F1069" s="1060"/>
      <c r="G1069" s="140"/>
      <c r="H1069" s="141"/>
      <c r="I1069" s="184"/>
      <c r="J1069" s="143"/>
      <c r="K1069" s="184"/>
      <c r="L1069" s="143"/>
      <c r="M1069" s="144"/>
      <c r="N1069" s="1015"/>
      <c r="O1069" s="115"/>
      <c r="P1069" s="115"/>
      <c r="Q1069" s="116"/>
      <c r="R1069" s="116"/>
      <c r="S1069" s="117"/>
    </row>
    <row r="1070" spans="1:19" s="146" customFormat="1" ht="18" customHeight="1">
      <c r="A1070" s="183"/>
      <c r="B1070" s="1060"/>
      <c r="C1070" s="1060"/>
      <c r="D1070" s="1060"/>
      <c r="E1070" s="154"/>
      <c r="F1070" s="1060"/>
      <c r="G1070" s="140"/>
      <c r="H1070" s="141"/>
      <c r="I1070" s="184"/>
      <c r="J1070" s="143"/>
      <c r="K1070" s="184"/>
      <c r="L1070" s="143"/>
      <c r="M1070" s="144"/>
      <c r="N1070" s="1015"/>
      <c r="O1070" s="115"/>
      <c r="P1070" s="115"/>
      <c r="Q1070" s="116"/>
      <c r="R1070" s="116"/>
      <c r="S1070" s="117"/>
    </row>
    <row r="1071" spans="1:19" s="146" customFormat="1" ht="18" customHeight="1">
      <c r="A1071" s="183"/>
      <c r="B1071" s="1060"/>
      <c r="C1071" s="1060"/>
      <c r="D1071" s="1060"/>
      <c r="E1071" s="154"/>
      <c r="F1071" s="1060"/>
      <c r="G1071" s="140"/>
      <c r="H1071" s="141"/>
      <c r="I1071" s="184"/>
      <c r="J1071" s="149"/>
      <c r="K1071" s="184"/>
      <c r="L1071" s="149"/>
      <c r="M1071" s="144"/>
      <c r="N1071" s="1015"/>
      <c r="O1071" s="115"/>
      <c r="P1071" s="115"/>
      <c r="Q1071" s="116"/>
      <c r="R1071" s="116"/>
      <c r="S1071" s="117"/>
    </row>
    <row r="1072" spans="1:19" s="146" customFormat="1" ht="18" customHeight="1">
      <c r="A1072" s="183">
        <v>5</v>
      </c>
      <c r="B1072" s="1060"/>
      <c r="C1072" s="1060"/>
      <c r="D1072" s="1060"/>
      <c r="E1072" s="154" t="s">
        <v>127</v>
      </c>
      <c r="F1072" s="1060"/>
      <c r="G1072" s="140"/>
      <c r="H1072" s="141" t="s">
        <v>894</v>
      </c>
      <c r="I1072" s="184" t="s">
        <v>134</v>
      </c>
      <c r="J1072" s="143">
        <v>289932</v>
      </c>
      <c r="K1072" s="184" t="s">
        <v>134</v>
      </c>
      <c r="L1072" s="143">
        <v>308676</v>
      </c>
      <c r="M1072" s="144">
        <f>L1072-J1072</f>
        <v>18744</v>
      </c>
      <c r="N1072" s="1015">
        <f>L1072/12</f>
        <v>25723</v>
      </c>
      <c r="O1072" s="115">
        <f>L1072-J1072</f>
        <v>18744</v>
      </c>
      <c r="P1072" s="115">
        <f>O1072-M1072</f>
        <v>0</v>
      </c>
      <c r="Q1072" s="116">
        <v>20179</v>
      </c>
      <c r="R1072" s="116">
        <f>Q1072*12</f>
        <v>242148</v>
      </c>
      <c r="S1072" s="145">
        <f>R1072-L1072</f>
        <v>-66528</v>
      </c>
    </row>
    <row r="1073" spans="1:19" s="146" customFormat="1" ht="18" customHeight="1">
      <c r="A1073" s="183"/>
      <c r="B1073" s="1060"/>
      <c r="C1073" s="1060"/>
      <c r="D1073" s="1060"/>
      <c r="E1073" s="154"/>
      <c r="F1073" s="1060"/>
      <c r="G1073" s="140"/>
      <c r="H1073" s="141"/>
      <c r="I1073" s="184"/>
      <c r="J1073" s="149"/>
      <c r="K1073" s="184"/>
      <c r="L1073" s="149"/>
      <c r="M1073" s="144"/>
      <c r="N1073" s="1015"/>
      <c r="O1073" s="115"/>
      <c r="P1073" s="115"/>
      <c r="Q1073" s="116"/>
      <c r="R1073" s="116"/>
      <c r="S1073" s="145"/>
    </row>
    <row r="1074" spans="1:19" s="146" customFormat="1" ht="18" customHeight="1">
      <c r="A1074" s="183"/>
      <c r="B1074" s="1060"/>
      <c r="C1074" s="1060"/>
      <c r="D1074" s="1060"/>
      <c r="E1074" s="154"/>
      <c r="F1074" s="1060"/>
      <c r="G1074" s="140"/>
      <c r="H1074" s="141"/>
      <c r="I1074" s="184"/>
      <c r="J1074" s="149"/>
      <c r="K1074" s="184"/>
      <c r="L1074" s="149"/>
      <c r="M1074" s="144"/>
      <c r="N1074" s="1015"/>
      <c r="O1074" s="115"/>
      <c r="P1074" s="115"/>
      <c r="Q1074" s="116"/>
      <c r="R1074" s="116"/>
      <c r="S1074" s="145"/>
    </row>
    <row r="1075" spans="1:19" s="146" customFormat="1" ht="18" customHeight="1">
      <c r="A1075" s="183"/>
      <c r="B1075" s="1060"/>
      <c r="C1075" s="1060"/>
      <c r="D1075" s="1060"/>
      <c r="E1075" s="154"/>
      <c r="F1075" s="1060"/>
      <c r="G1075" s="140"/>
      <c r="H1075" s="141"/>
      <c r="I1075" s="184"/>
      <c r="J1075" s="143"/>
      <c r="K1075" s="184"/>
      <c r="L1075" s="143"/>
      <c r="M1075" s="144"/>
      <c r="N1075" s="1015"/>
      <c r="O1075" s="115"/>
      <c r="P1075" s="115"/>
      <c r="Q1075" s="116"/>
      <c r="R1075" s="116"/>
      <c r="S1075" s="117"/>
    </row>
    <row r="1076" spans="1:19" s="146" customFormat="1" ht="18" customHeight="1">
      <c r="A1076" s="183">
        <v>6</v>
      </c>
      <c r="B1076" s="1060"/>
      <c r="C1076" s="1060"/>
      <c r="D1076" s="1060"/>
      <c r="E1076" s="154" t="s">
        <v>130</v>
      </c>
      <c r="F1076" s="1060"/>
      <c r="G1076" s="140"/>
      <c r="H1076" s="141" t="s">
        <v>263</v>
      </c>
      <c r="I1076" s="184" t="s">
        <v>1460</v>
      </c>
      <c r="J1076" s="143">
        <v>154656</v>
      </c>
      <c r="K1076" s="184" t="s">
        <v>1460</v>
      </c>
      <c r="L1076" s="143">
        <v>160872</v>
      </c>
      <c r="M1076" s="144">
        <f>L1076-J1076</f>
        <v>6216</v>
      </c>
      <c r="N1076" s="1015">
        <f>L1076/12</f>
        <v>13406</v>
      </c>
      <c r="O1076" s="115">
        <f>L1076-J1076</f>
        <v>6216</v>
      </c>
      <c r="P1076" s="115">
        <f>O1076-M1076</f>
        <v>0</v>
      </c>
      <c r="Q1076" s="116">
        <v>11200</v>
      </c>
      <c r="R1076" s="116">
        <f>Q1076*12</f>
        <v>134400</v>
      </c>
      <c r="S1076" s="145">
        <f>R1076-L1076</f>
        <v>-26472</v>
      </c>
    </row>
    <row r="1077" spans="1:19" s="146" customFormat="1" ht="18" customHeight="1">
      <c r="A1077" s="183"/>
      <c r="B1077" s="1060"/>
      <c r="C1077" s="1060"/>
      <c r="D1077" s="1060"/>
      <c r="E1077" s="1059"/>
      <c r="F1077" s="1060"/>
      <c r="G1077" s="140"/>
      <c r="H1077" s="141"/>
      <c r="I1077" s="185"/>
      <c r="J1077" s="149"/>
      <c r="K1077" s="185"/>
      <c r="L1077" s="149"/>
      <c r="M1077" s="144"/>
      <c r="N1077" s="1015"/>
      <c r="O1077" s="115"/>
      <c r="P1077" s="115"/>
      <c r="Q1077" s="116"/>
      <c r="R1077" s="116"/>
      <c r="S1077" s="117"/>
    </row>
    <row r="1078" spans="1:19" s="146" customFormat="1" ht="18" customHeight="1">
      <c r="A1078" s="183"/>
      <c r="B1078" s="1060"/>
      <c r="C1078" s="1060"/>
      <c r="D1078" s="1060"/>
      <c r="E1078" s="1059"/>
      <c r="F1078" s="1060"/>
      <c r="G1078" s="140"/>
      <c r="H1078" s="141"/>
      <c r="I1078" s="142"/>
      <c r="J1078" s="143"/>
      <c r="K1078" s="142"/>
      <c r="L1078" s="143"/>
      <c r="M1078" s="143"/>
      <c r="N1078" s="170"/>
      <c r="O1078" s="115"/>
      <c r="P1078" s="115"/>
      <c r="Q1078" s="116"/>
      <c r="R1078" s="116"/>
      <c r="S1078" s="117"/>
    </row>
    <row r="1079" spans="1:19" s="146" customFormat="1" ht="18" customHeight="1">
      <c r="A1079" s="183"/>
      <c r="B1079" s="1060"/>
      <c r="C1079" s="1060"/>
      <c r="D1079" s="1060"/>
      <c r="E1079" s="1059"/>
      <c r="F1079" s="1060"/>
      <c r="G1079" s="140"/>
      <c r="H1079" s="141"/>
      <c r="I1079" s="142"/>
      <c r="J1079" s="143"/>
      <c r="K1079" s="142"/>
      <c r="L1079" s="143"/>
      <c r="M1079" s="143"/>
      <c r="N1079" s="170"/>
      <c r="O1079" s="115"/>
      <c r="P1079" s="115"/>
      <c r="Q1079" s="116"/>
      <c r="R1079" s="116"/>
      <c r="S1079" s="117"/>
    </row>
    <row r="1080" spans="1:19" s="146" customFormat="1" ht="18" customHeight="1">
      <c r="A1080" s="183"/>
      <c r="B1080" s="1060"/>
      <c r="C1080" s="1060"/>
      <c r="D1080" s="1060"/>
      <c r="E1080" s="1059"/>
      <c r="F1080" s="1060"/>
      <c r="G1080" s="140"/>
      <c r="H1080" s="141"/>
      <c r="I1080" s="142"/>
      <c r="J1080" s="143"/>
      <c r="K1080" s="142"/>
      <c r="L1080" s="143"/>
      <c r="M1080" s="143"/>
      <c r="N1080" s="170"/>
      <c r="O1080" s="115"/>
      <c r="P1080" s="115"/>
      <c r="Q1080" s="116"/>
      <c r="R1080" s="116"/>
      <c r="S1080" s="117"/>
    </row>
    <row r="1081" spans="1:19" s="146" customFormat="1" ht="18" customHeight="1">
      <c r="A1081" s="183"/>
      <c r="B1081" s="1060"/>
      <c r="C1081" s="1060"/>
      <c r="D1081" s="1060"/>
      <c r="E1081" s="1059"/>
      <c r="F1081" s="1060"/>
      <c r="G1081" s="140"/>
      <c r="H1081" s="141"/>
      <c r="I1081" s="142"/>
      <c r="J1081" s="143"/>
      <c r="K1081" s="142"/>
      <c r="L1081" s="143"/>
      <c r="M1081" s="143"/>
      <c r="N1081" s="170"/>
      <c r="O1081" s="115"/>
      <c r="P1081" s="115"/>
      <c r="Q1081" s="116"/>
      <c r="R1081" s="116"/>
      <c r="S1081" s="117"/>
    </row>
    <row r="1082" spans="1:19" s="146" customFormat="1" ht="18" customHeight="1">
      <c r="A1082" s="183"/>
      <c r="B1082" s="1060"/>
      <c r="C1082" s="1060"/>
      <c r="D1082" s="1060"/>
      <c r="E1082" s="1059"/>
      <c r="F1082" s="1060"/>
      <c r="G1082" s="140"/>
      <c r="H1082" s="141"/>
      <c r="I1082" s="142"/>
      <c r="J1082" s="143"/>
      <c r="K1082" s="142"/>
      <c r="L1082" s="143"/>
      <c r="M1082" s="143"/>
      <c r="N1082" s="170"/>
      <c r="O1082" s="115"/>
      <c r="P1082" s="115"/>
      <c r="Q1082" s="116"/>
      <c r="R1082" s="116"/>
      <c r="S1082" s="117"/>
    </row>
    <row r="1083" spans="1:19" s="146" customFormat="1" ht="18" customHeight="1">
      <c r="A1083" s="183"/>
      <c r="B1083" s="1060"/>
      <c r="C1083" s="1060"/>
      <c r="D1083" s="1060"/>
      <c r="E1083" s="1059"/>
      <c r="F1083" s="1060"/>
      <c r="G1083" s="140"/>
      <c r="H1083" s="141"/>
      <c r="I1083" s="142"/>
      <c r="J1083" s="143"/>
      <c r="K1083" s="142"/>
      <c r="L1083" s="143"/>
      <c r="M1083" s="143"/>
      <c r="N1083" s="170"/>
      <c r="O1083" s="115"/>
      <c r="P1083" s="115"/>
      <c r="Q1083" s="116"/>
      <c r="R1083" s="116"/>
      <c r="S1083" s="117"/>
    </row>
    <row r="1084" spans="1:19" s="146" customFormat="1" ht="18" customHeight="1">
      <c r="A1084" s="183"/>
      <c r="B1084" s="1060"/>
      <c r="C1084" s="1060"/>
      <c r="D1084" s="1060"/>
      <c r="E1084" s="1059"/>
      <c r="F1084" s="1060"/>
      <c r="G1084" s="140"/>
      <c r="H1084" s="141"/>
      <c r="I1084" s="142"/>
      <c r="J1084" s="143"/>
      <c r="K1084" s="142"/>
      <c r="L1084" s="143"/>
      <c r="M1084" s="143"/>
      <c r="N1084" s="170"/>
      <c r="O1084" s="115"/>
      <c r="P1084" s="115"/>
      <c r="Q1084" s="116"/>
      <c r="R1084" s="116"/>
      <c r="S1084" s="117"/>
    </row>
    <row r="1085" spans="1:19" s="146" customFormat="1" ht="18" customHeight="1">
      <c r="A1085" s="183"/>
      <c r="B1085" s="1060"/>
      <c r="C1085" s="1060"/>
      <c r="D1085" s="1060"/>
      <c r="E1085" s="1059"/>
      <c r="F1085" s="1060"/>
      <c r="G1085" s="140"/>
      <c r="H1085" s="141"/>
      <c r="I1085" s="142"/>
      <c r="J1085" s="143"/>
      <c r="K1085" s="142"/>
      <c r="L1085" s="143"/>
      <c r="M1085" s="143"/>
      <c r="N1085" s="170"/>
      <c r="O1085" s="115"/>
      <c r="P1085" s="115"/>
      <c r="Q1085" s="116"/>
      <c r="R1085" s="116"/>
      <c r="S1085" s="117"/>
    </row>
    <row r="1086" spans="1:19" s="146" customFormat="1" ht="18" customHeight="1">
      <c r="A1086" s="183"/>
      <c r="B1086" s="1060"/>
      <c r="C1086" s="1060"/>
      <c r="D1086" s="1060"/>
      <c r="E1086" s="1059"/>
      <c r="F1086" s="1060"/>
      <c r="G1086" s="140"/>
      <c r="H1086" s="141"/>
      <c r="I1086" s="142"/>
      <c r="J1086" s="143"/>
      <c r="K1086" s="142"/>
      <c r="L1086" s="143"/>
      <c r="M1086" s="143"/>
      <c r="N1086" s="170"/>
      <c r="O1086" s="115"/>
      <c r="P1086" s="115"/>
      <c r="Q1086" s="116"/>
      <c r="R1086" s="116"/>
      <c r="S1086" s="117"/>
    </row>
    <row r="1087" spans="1:19" s="146" customFormat="1" ht="18" customHeight="1">
      <c r="A1087" s="183"/>
      <c r="B1087" s="1060"/>
      <c r="C1087" s="1060"/>
      <c r="D1087" s="1060"/>
      <c r="E1087" s="1059"/>
      <c r="F1087" s="1060"/>
      <c r="G1087" s="140"/>
      <c r="H1087" s="141"/>
      <c r="I1087" s="142"/>
      <c r="J1087" s="143"/>
      <c r="K1087" s="142"/>
      <c r="L1087" s="143"/>
      <c r="M1087" s="143"/>
      <c r="N1087" s="170"/>
      <c r="O1087" s="115"/>
      <c r="P1087" s="115"/>
      <c r="Q1087" s="116"/>
      <c r="R1087" s="116"/>
      <c r="S1087" s="117"/>
    </row>
    <row r="1088" spans="1:19" s="146" customFormat="1" ht="18" customHeight="1">
      <c r="A1088" s="183"/>
      <c r="B1088" s="1060"/>
      <c r="C1088" s="1060"/>
      <c r="D1088" s="1060"/>
      <c r="E1088" s="1059"/>
      <c r="F1088" s="1060"/>
      <c r="G1088" s="140"/>
      <c r="H1088" s="141"/>
      <c r="I1088" s="142"/>
      <c r="J1088" s="143"/>
      <c r="K1088" s="142"/>
      <c r="L1088" s="143"/>
      <c r="M1088" s="143"/>
      <c r="N1088" s="170"/>
      <c r="O1088" s="115"/>
      <c r="P1088" s="115"/>
      <c r="Q1088" s="116"/>
      <c r="R1088" s="116"/>
      <c r="S1088" s="117"/>
    </row>
    <row r="1089" spans="1:19" s="146" customFormat="1" ht="18" customHeight="1">
      <c r="A1089" s="141"/>
      <c r="B1089" s="155"/>
      <c r="C1089" s="1060"/>
      <c r="D1089" s="1060"/>
      <c r="E1089" s="154"/>
      <c r="F1089" s="155"/>
      <c r="G1089" s="140"/>
      <c r="H1089" s="141"/>
      <c r="I1089" s="210"/>
      <c r="J1089" s="143"/>
      <c r="K1089" s="210"/>
      <c r="L1089" s="143"/>
      <c r="M1089" s="143"/>
      <c r="N1089" s="170"/>
      <c r="O1089" s="115"/>
      <c r="P1089" s="115"/>
      <c r="Q1089" s="116"/>
      <c r="R1089" s="116"/>
      <c r="S1089" s="117"/>
    </row>
    <row r="1090" spans="1:19" s="146" customFormat="1" ht="18" customHeight="1">
      <c r="A1090" s="141"/>
      <c r="B1090" s="155"/>
      <c r="C1090" s="1060"/>
      <c r="D1090" s="1060"/>
      <c r="E1090" s="154"/>
      <c r="F1090" s="155"/>
      <c r="G1090" s="140"/>
      <c r="H1090" s="141"/>
      <c r="I1090" s="210"/>
      <c r="J1090" s="143"/>
      <c r="K1090" s="210"/>
      <c r="L1090" s="143"/>
      <c r="M1090" s="143"/>
      <c r="N1090" s="170"/>
      <c r="O1090" s="115"/>
      <c r="P1090" s="115"/>
      <c r="Q1090" s="116"/>
      <c r="R1090" s="116"/>
      <c r="S1090" s="117"/>
    </row>
    <row r="1091" spans="1:19" s="146" customFormat="1" ht="18" customHeight="1">
      <c r="A1091" s="141"/>
      <c r="B1091" s="155"/>
      <c r="C1091" s="1060"/>
      <c r="D1091" s="1060"/>
      <c r="E1091" s="154"/>
      <c r="F1091" s="155"/>
      <c r="G1091" s="140"/>
      <c r="H1091" s="141"/>
      <c r="I1091" s="210"/>
      <c r="J1091" s="143"/>
      <c r="K1091" s="210"/>
      <c r="L1091" s="143"/>
      <c r="M1091" s="143"/>
      <c r="N1091" s="170"/>
      <c r="O1091" s="115"/>
      <c r="P1091" s="115"/>
      <c r="Q1091" s="116"/>
      <c r="R1091" s="116"/>
      <c r="S1091" s="117"/>
    </row>
    <row r="1092" spans="1:19" s="146" customFormat="1" ht="18" customHeight="1">
      <c r="A1092" s="141"/>
      <c r="B1092" s="155"/>
      <c r="C1092" s="1060"/>
      <c r="D1092" s="1060"/>
      <c r="E1092" s="154"/>
      <c r="F1092" s="155"/>
      <c r="G1092" s="140"/>
      <c r="H1092" s="141"/>
      <c r="I1092" s="210"/>
      <c r="J1092" s="143"/>
      <c r="K1092" s="210"/>
      <c r="L1092" s="143"/>
      <c r="M1092" s="143"/>
      <c r="N1092" s="170"/>
      <c r="O1092" s="115"/>
      <c r="P1092" s="115"/>
      <c r="Q1092" s="116"/>
      <c r="R1092" s="116"/>
      <c r="S1092" s="117"/>
    </row>
    <row r="1093" spans="1:19" s="146" customFormat="1" ht="18" customHeight="1">
      <c r="A1093" s="141"/>
      <c r="B1093" s="155"/>
      <c r="C1093" s="1060"/>
      <c r="D1093" s="1060"/>
      <c r="E1093" s="154"/>
      <c r="F1093" s="155"/>
      <c r="G1093" s="140"/>
      <c r="H1093" s="141"/>
      <c r="I1093" s="210"/>
      <c r="J1093" s="143"/>
      <c r="K1093" s="210"/>
      <c r="L1093" s="143"/>
      <c r="M1093" s="143"/>
      <c r="N1093" s="170"/>
      <c r="O1093" s="115"/>
      <c r="P1093" s="115"/>
      <c r="Q1093" s="116"/>
      <c r="R1093" s="116"/>
      <c r="S1093" s="117"/>
    </row>
    <row r="1094" spans="1:19" s="146" customFormat="1" ht="18" customHeight="1">
      <c r="A1094" s="141"/>
      <c r="B1094" s="155"/>
      <c r="C1094" s="1060"/>
      <c r="D1094" s="1060"/>
      <c r="E1094" s="154"/>
      <c r="F1094" s="155"/>
      <c r="G1094" s="140"/>
      <c r="H1094" s="141"/>
      <c r="I1094" s="210"/>
      <c r="J1094" s="143"/>
      <c r="K1094" s="210"/>
      <c r="L1094" s="143"/>
      <c r="M1094" s="143"/>
      <c r="N1094" s="170"/>
      <c r="O1094" s="115"/>
      <c r="P1094" s="115"/>
      <c r="Q1094" s="116"/>
      <c r="R1094" s="116"/>
      <c r="S1094" s="117"/>
    </row>
    <row r="1095" spans="1:19" s="146" customFormat="1" ht="18" customHeight="1">
      <c r="A1095" s="141"/>
      <c r="B1095" s="155"/>
      <c r="C1095" s="1060"/>
      <c r="D1095" s="1060"/>
      <c r="E1095" s="154"/>
      <c r="F1095" s="155"/>
      <c r="G1095" s="140"/>
      <c r="H1095" s="141"/>
      <c r="I1095" s="210"/>
      <c r="J1095" s="143"/>
      <c r="K1095" s="210"/>
      <c r="L1095" s="143"/>
      <c r="M1095" s="143"/>
      <c r="N1095" s="170"/>
      <c r="O1095" s="115"/>
      <c r="P1095" s="115"/>
      <c r="Q1095" s="116"/>
      <c r="R1095" s="116"/>
      <c r="S1095" s="117"/>
    </row>
    <row r="1096" spans="1:19" s="146" customFormat="1" ht="18" customHeight="1">
      <c r="A1096" s="141"/>
      <c r="B1096" s="155"/>
      <c r="C1096" s="1060"/>
      <c r="D1096" s="1060"/>
      <c r="E1096" s="154"/>
      <c r="F1096" s="155"/>
      <c r="G1096" s="140"/>
      <c r="H1096" s="141"/>
      <c r="I1096" s="210"/>
      <c r="J1096" s="143"/>
      <c r="K1096" s="210"/>
      <c r="L1096" s="143"/>
      <c r="M1096" s="143"/>
      <c r="N1096" s="170"/>
      <c r="O1096" s="115"/>
      <c r="P1096" s="115"/>
      <c r="Q1096" s="116"/>
      <c r="R1096" s="116"/>
      <c r="S1096" s="117"/>
    </row>
    <row r="1097" spans="1:19" s="168" customFormat="1" ht="18" customHeight="1" thickBot="1">
      <c r="A1097" s="162"/>
      <c r="B1097" s="159"/>
      <c r="C1097" s="158"/>
      <c r="D1097" s="158"/>
      <c r="E1097" s="157"/>
      <c r="F1097" s="159"/>
      <c r="G1097" s="160"/>
      <c r="H1097" s="161" t="s">
        <v>15</v>
      </c>
      <c r="I1097" s="163"/>
      <c r="J1097" s="163">
        <f>SUM(J1055:J1096)</f>
        <v>1817940</v>
      </c>
      <c r="K1097" s="163"/>
      <c r="L1097" s="163">
        <f>SUM(L1055:L1096)</f>
        <v>1954008</v>
      </c>
      <c r="M1097" s="163">
        <f>SUM(M1055:M1096)</f>
        <v>136068</v>
      </c>
      <c r="N1097" s="169"/>
      <c r="O1097" s="165"/>
      <c r="P1097" s="165"/>
      <c r="Q1097" s="166"/>
      <c r="R1097" s="166"/>
      <c r="S1097" s="167"/>
    </row>
    <row r="1098" spans="1:19" s="146" customFormat="1" ht="18" customHeight="1" thickTop="1">
      <c r="A1098" s="189"/>
      <c r="B1098" s="189"/>
      <c r="C1098" s="188"/>
      <c r="D1098" s="188"/>
      <c r="E1098" s="189"/>
      <c r="F1098" s="189"/>
      <c r="G1098" s="189"/>
      <c r="H1098" s="188"/>
      <c r="I1098" s="189"/>
      <c r="J1098" s="169"/>
      <c r="K1098" s="228"/>
      <c r="L1098" s="171"/>
      <c r="M1098" s="171"/>
      <c r="N1098" s="171"/>
      <c r="O1098" s="115"/>
      <c r="P1098" s="115"/>
      <c r="Q1098" s="116"/>
      <c r="R1098" s="116"/>
      <c r="S1098" s="117"/>
    </row>
    <row r="1099" spans="1:19" s="146" customFormat="1" ht="18" customHeight="1">
      <c r="A1099" s="155"/>
      <c r="B1099" s="155"/>
      <c r="C1099" s="1060"/>
      <c r="D1099" s="1060"/>
      <c r="E1099" s="155"/>
      <c r="F1099" s="155"/>
      <c r="G1099" s="155"/>
      <c r="H1099" s="155"/>
      <c r="I1099" s="155"/>
      <c r="J1099" s="155"/>
      <c r="K1099" s="172"/>
      <c r="L1099" s="170"/>
      <c r="M1099" s="170"/>
      <c r="N1099" s="170"/>
      <c r="O1099" s="115"/>
      <c r="P1099" s="115"/>
      <c r="Q1099" s="116"/>
      <c r="R1099" s="116"/>
      <c r="S1099" s="117"/>
    </row>
    <row r="1100" spans="1:19" s="146" customFormat="1" ht="18" customHeight="1">
      <c r="A1100" s="155"/>
      <c r="B1100" s="155"/>
      <c r="C1100" s="1060"/>
      <c r="D1100" s="1060"/>
      <c r="E1100" s="155"/>
      <c r="F1100" s="155"/>
      <c r="G1100" s="155"/>
      <c r="H1100" s="155"/>
      <c r="I1100" s="155"/>
      <c r="J1100" s="155"/>
      <c r="K1100" s="172"/>
      <c r="L1100" s="170"/>
      <c r="M1100" s="170"/>
      <c r="N1100" s="170"/>
      <c r="O1100" s="115"/>
      <c r="P1100" s="115"/>
      <c r="Q1100" s="116"/>
      <c r="R1100" s="116"/>
      <c r="S1100" s="117"/>
    </row>
    <row r="1101" spans="1:19" s="146" customFormat="1" ht="18" customHeight="1">
      <c r="A1101" s="173" t="s">
        <v>626</v>
      </c>
      <c r="B1101" s="173"/>
      <c r="C1101" s="1052"/>
      <c r="D1101" s="1052"/>
      <c r="E1101" s="174"/>
      <c r="F1101" s="174"/>
      <c r="G1101" s="174"/>
      <c r="H1101" s="173" t="s">
        <v>627</v>
      </c>
      <c r="I1101" s="174"/>
      <c r="K1101" s="173" t="s">
        <v>258</v>
      </c>
      <c r="L1101" s="175"/>
      <c r="M1101" s="175"/>
      <c r="N1101" s="175"/>
      <c r="O1101" s="115"/>
      <c r="P1101" s="115"/>
      <c r="Q1101" s="116"/>
      <c r="R1101" s="116"/>
      <c r="S1101" s="117"/>
    </row>
    <row r="1102" spans="1:19" s="146" customFormat="1" ht="18" customHeight="1">
      <c r="A1102" s="174"/>
      <c r="B1102" s="174"/>
      <c r="C1102" s="1053"/>
      <c r="D1102" s="1053"/>
      <c r="E1102" s="174"/>
      <c r="F1102" s="174"/>
      <c r="G1102" s="174"/>
      <c r="H1102" s="174"/>
      <c r="I1102" s="174"/>
      <c r="J1102" s="174"/>
      <c r="K1102" s="176"/>
      <c r="L1102" s="175"/>
      <c r="M1102" s="175"/>
      <c r="N1102" s="175"/>
      <c r="O1102" s="115"/>
      <c r="P1102" s="115"/>
      <c r="Q1102" s="116"/>
      <c r="R1102" s="116"/>
      <c r="S1102" s="117"/>
    </row>
    <row r="1103" spans="1:19" s="146" customFormat="1" ht="18" customHeight="1">
      <c r="A1103" s="1310" t="s">
        <v>65</v>
      </c>
      <c r="B1103" s="1310"/>
      <c r="C1103" s="1310"/>
      <c r="D1103" s="1310"/>
      <c r="E1103" s="1310"/>
      <c r="F1103" s="1310"/>
      <c r="G1103" s="174"/>
      <c r="H1103" s="1310" t="s">
        <v>17</v>
      </c>
      <c r="I1103" s="1310"/>
      <c r="J1103" s="174"/>
      <c r="K1103" s="1310" t="s">
        <v>1454</v>
      </c>
      <c r="L1103" s="1310"/>
      <c r="M1103" s="1310"/>
      <c r="N1103" s="1052"/>
      <c r="O1103" s="115"/>
      <c r="P1103" s="115"/>
      <c r="Q1103" s="116"/>
      <c r="R1103" s="116"/>
      <c r="S1103" s="117"/>
    </row>
    <row r="1104" spans="1:19" s="146" customFormat="1" ht="18" customHeight="1">
      <c r="A1104" s="1294" t="s">
        <v>430</v>
      </c>
      <c r="B1104" s="1294"/>
      <c r="C1104" s="1294"/>
      <c r="D1104" s="1294"/>
      <c r="E1104" s="1294"/>
      <c r="F1104" s="1294"/>
      <c r="G1104" s="177"/>
      <c r="H1104" s="1294" t="s">
        <v>18</v>
      </c>
      <c r="I1104" s="1294"/>
      <c r="J1104" s="1052"/>
      <c r="K1104" s="1294" t="s">
        <v>14</v>
      </c>
      <c r="L1104" s="1294"/>
      <c r="M1104" s="1294"/>
      <c r="N1104" s="1053"/>
      <c r="O1104" s="115"/>
      <c r="P1104" s="115"/>
      <c r="Q1104" s="116"/>
      <c r="R1104" s="116"/>
      <c r="S1104" s="117"/>
    </row>
    <row r="1105" spans="1:23" ht="18" customHeight="1">
      <c r="A1105" s="111"/>
      <c r="B1105" s="111"/>
      <c r="C1105" s="1050"/>
      <c r="D1105" s="1050"/>
      <c r="E1105" s="1321"/>
      <c r="F1105" s="1321"/>
      <c r="G1105" s="1321"/>
      <c r="H1105" s="1050"/>
      <c r="I1105" s="1050"/>
      <c r="J1105" s="1050"/>
      <c r="K1105" s="1321"/>
      <c r="L1105" s="1321"/>
      <c r="M1105" s="1321"/>
      <c r="N1105" s="1050"/>
    </row>
    <row r="1106" spans="1:23" ht="18" customHeight="1">
      <c r="A1106" s="111"/>
      <c r="B1106" s="111"/>
      <c r="C1106" s="1050"/>
      <c r="D1106" s="1050"/>
      <c r="E1106" s="1050"/>
      <c r="F1106" s="1050"/>
      <c r="G1106" s="1050"/>
      <c r="H1106" s="1050"/>
      <c r="I1106" s="1050"/>
      <c r="J1106" s="1050"/>
      <c r="K1106" s="1050"/>
      <c r="L1106" s="1050"/>
      <c r="M1106" s="1050"/>
      <c r="N1106" s="1050"/>
    </row>
    <row r="1107" spans="1:23" ht="18" customHeight="1">
      <c r="A1107" s="111"/>
      <c r="B1107" s="111"/>
      <c r="C1107" s="1050"/>
      <c r="D1107" s="1050"/>
      <c r="E1107" s="1050"/>
      <c r="F1107" s="1050"/>
      <c r="G1107" s="1050"/>
      <c r="H1107" s="1050"/>
      <c r="I1107" s="1050"/>
      <c r="J1107" s="1050"/>
      <c r="K1107" s="1050"/>
      <c r="L1107" s="1050"/>
      <c r="M1107" s="1050"/>
      <c r="N1107" s="1050"/>
    </row>
    <row r="1108" spans="1:23" s="115" customFormat="1" ht="18" customHeight="1">
      <c r="A1108" s="111"/>
      <c r="B1108" s="111"/>
      <c r="C1108" s="1050"/>
      <c r="D1108" s="1050"/>
      <c r="E1108" s="1050"/>
      <c r="F1108" s="1050"/>
      <c r="G1108" s="1050"/>
      <c r="H1108" s="1050"/>
      <c r="I1108" s="1050"/>
      <c r="J1108" s="1050"/>
      <c r="K1108" s="1050"/>
      <c r="L1108" s="1050"/>
      <c r="M1108" s="1050"/>
      <c r="N1108" s="1050"/>
      <c r="Q1108" s="116"/>
      <c r="R1108" s="116"/>
      <c r="S1108" s="117"/>
      <c r="T1108" s="118"/>
      <c r="U1108" s="118"/>
      <c r="V1108" s="118"/>
      <c r="W1108" s="118"/>
    </row>
    <row r="1109" spans="1:23" s="115" customFormat="1" ht="18" customHeight="1">
      <c r="A1109" s="111"/>
      <c r="B1109" s="111"/>
      <c r="C1109" s="1050"/>
      <c r="D1109" s="1050"/>
      <c r="E1109" s="1050"/>
      <c r="F1109" s="1050"/>
      <c r="G1109" s="1050"/>
      <c r="H1109" s="1050"/>
      <c r="I1109" s="1050"/>
      <c r="J1109" s="1050"/>
      <c r="K1109" s="1050"/>
      <c r="L1109" s="1050"/>
      <c r="M1109" s="1050"/>
      <c r="N1109" s="1050"/>
      <c r="Q1109" s="116"/>
      <c r="R1109" s="116"/>
      <c r="S1109" s="117"/>
      <c r="T1109" s="118"/>
      <c r="U1109" s="118"/>
      <c r="V1109" s="118"/>
      <c r="W1109" s="118"/>
    </row>
    <row r="1110" spans="1:23" s="115" customFormat="1" ht="18" customHeight="1">
      <c r="A1110" s="111"/>
      <c r="B1110" s="111"/>
      <c r="C1110" s="1050"/>
      <c r="D1110" s="1050"/>
      <c r="E1110" s="1050"/>
      <c r="F1110" s="1050"/>
      <c r="G1110" s="1050"/>
      <c r="H1110" s="1050"/>
      <c r="I1110" s="1050"/>
      <c r="J1110" s="1050"/>
      <c r="K1110" s="1050"/>
      <c r="L1110" s="1050"/>
      <c r="M1110" s="1050"/>
      <c r="N1110" s="1050"/>
      <c r="Q1110" s="116"/>
      <c r="R1110" s="116"/>
      <c r="S1110" s="117"/>
      <c r="T1110" s="118"/>
      <c r="U1110" s="118"/>
      <c r="V1110" s="118"/>
      <c r="W1110" s="118"/>
    </row>
    <row r="1111" spans="1:23" s="115" customFormat="1" ht="18" customHeight="1">
      <c r="A1111" s="111"/>
      <c r="B1111" s="111"/>
      <c r="C1111" s="1050"/>
      <c r="D1111" s="1050"/>
      <c r="E1111" s="1050"/>
      <c r="F1111" s="1050"/>
      <c r="G1111" s="1050"/>
      <c r="H1111" s="1050"/>
      <c r="I1111" s="1050"/>
      <c r="J1111" s="1050"/>
      <c r="K1111" s="1050"/>
      <c r="L1111" s="1050"/>
      <c r="M1111" s="1050"/>
      <c r="N1111" s="1050"/>
      <c r="Q1111" s="116"/>
      <c r="R1111" s="116"/>
      <c r="S1111" s="117"/>
      <c r="T1111" s="118"/>
      <c r="U1111" s="118"/>
      <c r="V1111" s="118"/>
      <c r="W1111" s="118"/>
    </row>
    <row r="1112" spans="1:23" s="115" customFormat="1" ht="18" customHeight="1">
      <c r="A1112" s="111"/>
      <c r="B1112" s="111"/>
      <c r="C1112" s="1050"/>
      <c r="D1112" s="1050"/>
      <c r="E1112" s="1050"/>
      <c r="F1112" s="1050"/>
      <c r="G1112" s="1050"/>
      <c r="H1112" s="1050"/>
      <c r="I1112" s="1050"/>
      <c r="J1112" s="1050"/>
      <c r="K1112" s="1050"/>
      <c r="L1112" s="1050"/>
      <c r="M1112" s="1050"/>
      <c r="N1112" s="1050"/>
      <c r="Q1112" s="116"/>
      <c r="R1112" s="116"/>
      <c r="S1112" s="117"/>
      <c r="T1112" s="118"/>
      <c r="U1112" s="118"/>
      <c r="V1112" s="118"/>
      <c r="W1112" s="118"/>
    </row>
    <row r="1113" spans="1:23" s="115" customFormat="1" ht="18" customHeight="1">
      <c r="A1113" s="111"/>
      <c r="B1113" s="111"/>
      <c r="C1113" s="1050"/>
      <c r="D1113" s="1050"/>
      <c r="E1113" s="1050"/>
      <c r="F1113" s="1050"/>
      <c r="G1113" s="1050"/>
      <c r="H1113" s="1050"/>
      <c r="I1113" s="1050"/>
      <c r="J1113" s="1050"/>
      <c r="K1113" s="1050"/>
      <c r="L1113" s="1050"/>
      <c r="M1113" s="1050"/>
      <c r="N1113" s="1050"/>
      <c r="Q1113" s="116"/>
      <c r="R1113" s="116"/>
      <c r="S1113" s="117"/>
      <c r="T1113" s="118"/>
      <c r="U1113" s="118"/>
      <c r="V1113" s="118"/>
      <c r="W1113" s="118"/>
    </row>
    <row r="1114" spans="1:23" s="115" customFormat="1" ht="18" customHeight="1">
      <c r="A1114" s="111"/>
      <c r="B1114" s="111"/>
      <c r="C1114" s="1050"/>
      <c r="D1114" s="1050"/>
      <c r="E1114" s="111"/>
      <c r="F1114" s="111"/>
      <c r="G1114" s="111"/>
      <c r="H1114" s="111"/>
      <c r="I1114" s="111"/>
      <c r="J1114" s="111"/>
      <c r="K1114" s="112"/>
      <c r="L1114" s="113"/>
      <c r="M1114" s="113"/>
      <c r="N1114" s="113"/>
      <c r="Q1114" s="116"/>
      <c r="R1114" s="116"/>
      <c r="S1114" s="117"/>
      <c r="T1114" s="118"/>
      <c r="U1114" s="118"/>
      <c r="V1114" s="118"/>
      <c r="W1114" s="118"/>
    </row>
    <row r="1115" spans="1:23" s="115" customFormat="1" ht="20.100000000000001" customHeight="1">
      <c r="A1115" s="1263" t="s">
        <v>1046</v>
      </c>
      <c r="B1115" s="1263"/>
      <c r="C1115" s="1263"/>
      <c r="D1115" s="1263"/>
      <c r="E1115" s="1263"/>
      <c r="F1115" s="1263"/>
      <c r="G1115" s="1263"/>
      <c r="H1115" s="1263"/>
      <c r="I1115" s="1263"/>
      <c r="J1115" s="1263"/>
      <c r="K1115" s="1263"/>
      <c r="L1115" s="1263"/>
      <c r="M1115" s="1263"/>
      <c r="N1115" s="1058"/>
      <c r="Q1115" s="116"/>
      <c r="R1115" s="116"/>
      <c r="S1115" s="117"/>
      <c r="T1115" s="118"/>
      <c r="U1115" s="118"/>
      <c r="V1115" s="118"/>
      <c r="W1115" s="118"/>
    </row>
    <row r="1116" spans="1:23" s="115" customFormat="1" ht="18" customHeight="1">
      <c r="A1116" s="110"/>
      <c r="B1116" s="110"/>
      <c r="C1116" s="1057"/>
      <c r="D1116" s="1057"/>
      <c r="E1116" s="111"/>
      <c r="F1116" s="111"/>
      <c r="G1116" s="111"/>
      <c r="H1116" s="111"/>
      <c r="I1116" s="111"/>
      <c r="J1116" s="111"/>
      <c r="K1116" s="112"/>
      <c r="L1116" s="113"/>
      <c r="M1116" s="114"/>
      <c r="N1116" s="114"/>
      <c r="Q1116" s="116"/>
      <c r="R1116" s="116"/>
      <c r="S1116" s="117"/>
      <c r="T1116" s="118"/>
      <c r="U1116" s="118"/>
      <c r="V1116" s="118"/>
      <c r="W1116" s="118"/>
    </row>
    <row r="1117" spans="1:23" s="115" customFormat="1" ht="18" customHeight="1">
      <c r="A1117" s="1319" t="s">
        <v>1675</v>
      </c>
      <c r="B1117" s="1319"/>
      <c r="C1117" s="1319"/>
      <c r="D1117" s="1319"/>
      <c r="E1117" s="1319"/>
      <c r="F1117" s="1319"/>
      <c r="G1117" s="1319"/>
      <c r="H1117" s="1319"/>
      <c r="I1117" s="1319"/>
      <c r="J1117" s="1319"/>
      <c r="K1117" s="1319"/>
      <c r="L1117" s="1319"/>
      <c r="M1117" s="1319"/>
      <c r="N1117" s="1048"/>
      <c r="Q1117" s="116"/>
      <c r="R1117" s="116"/>
      <c r="S1117" s="117"/>
      <c r="T1117" s="118"/>
      <c r="U1117" s="118"/>
      <c r="V1117" s="118"/>
      <c r="W1117" s="118"/>
    </row>
    <row r="1118" spans="1:23" s="115" customFormat="1" ht="18" customHeight="1">
      <c r="A1118" s="1320" t="s">
        <v>358</v>
      </c>
      <c r="B1118" s="1320"/>
      <c r="C1118" s="1320"/>
      <c r="D1118" s="1320"/>
      <c r="E1118" s="1320"/>
      <c r="F1118" s="1320"/>
      <c r="G1118" s="1320"/>
      <c r="H1118" s="1320"/>
      <c r="I1118" s="1320"/>
      <c r="J1118" s="1320"/>
      <c r="K1118" s="1320"/>
      <c r="L1118" s="1320"/>
      <c r="M1118" s="1320"/>
      <c r="N1118" s="1049"/>
      <c r="Q1118" s="116"/>
      <c r="R1118" s="116"/>
      <c r="S1118" s="117"/>
      <c r="T1118" s="118"/>
      <c r="U1118" s="118"/>
      <c r="V1118" s="118"/>
      <c r="W1118" s="118"/>
    </row>
    <row r="1119" spans="1:23" s="115" customFormat="1" ht="18" customHeight="1">
      <c r="A1119" s="1321"/>
      <c r="B1119" s="1321"/>
      <c r="C1119" s="1321"/>
      <c r="D1119" s="1321"/>
      <c r="E1119" s="1321"/>
      <c r="F1119" s="1321"/>
      <c r="G1119" s="1321"/>
      <c r="H1119" s="1321"/>
      <c r="I1119" s="1321"/>
      <c r="J1119" s="1321"/>
      <c r="K1119" s="1321"/>
      <c r="L1119" s="1321"/>
      <c r="M1119" s="1321"/>
      <c r="N1119" s="1050"/>
      <c r="Q1119" s="116"/>
      <c r="R1119" s="116"/>
      <c r="S1119" s="117"/>
      <c r="T1119" s="118"/>
      <c r="U1119" s="118"/>
      <c r="V1119" s="118"/>
      <c r="W1119" s="118"/>
    </row>
    <row r="1120" spans="1:23" s="115" customFormat="1" ht="18" customHeight="1">
      <c r="A1120" s="1050"/>
      <c r="B1120" s="1050"/>
      <c r="C1120" s="1050"/>
      <c r="D1120" s="1050"/>
      <c r="E1120" s="1050"/>
      <c r="F1120" s="1050"/>
      <c r="G1120" s="1050"/>
      <c r="H1120" s="1050"/>
      <c r="I1120" s="1050"/>
      <c r="J1120" s="1050"/>
      <c r="K1120" s="1050"/>
      <c r="L1120" s="1050"/>
      <c r="M1120" s="1050"/>
      <c r="N1120" s="1050"/>
      <c r="Q1120" s="116"/>
      <c r="R1120" s="116"/>
      <c r="S1120" s="117"/>
      <c r="T1120" s="118"/>
      <c r="U1120" s="118"/>
      <c r="V1120" s="118"/>
      <c r="W1120" s="118"/>
    </row>
    <row r="1121" spans="1:23" s="115" customFormat="1" ht="18" customHeight="1">
      <c r="A1121" s="111" t="s">
        <v>463</v>
      </c>
      <c r="B1121" s="111"/>
      <c r="C1121" s="111" t="s">
        <v>448</v>
      </c>
      <c r="D1121" s="111" t="s">
        <v>477</v>
      </c>
      <c r="E1121" s="111"/>
      <c r="F1121" s="111"/>
      <c r="G1121" s="111"/>
      <c r="H1121" s="111"/>
      <c r="I1121" s="112"/>
      <c r="J1121" s="1050"/>
      <c r="K1121" s="1050"/>
      <c r="L1121" s="1050"/>
      <c r="M1121" s="1050"/>
      <c r="N1121" s="1050"/>
      <c r="Q1121" s="116"/>
      <c r="R1121" s="116"/>
      <c r="S1121" s="117"/>
      <c r="T1121" s="118"/>
      <c r="U1121" s="118"/>
      <c r="V1121" s="118"/>
      <c r="W1121" s="118"/>
    </row>
    <row r="1122" spans="1:23" s="115" customFormat="1" ht="18" customHeight="1">
      <c r="A1122" s="111" t="s">
        <v>451</v>
      </c>
      <c r="B1122" s="111"/>
      <c r="C1122" s="111" t="s">
        <v>448</v>
      </c>
      <c r="D1122" s="111" t="s">
        <v>478</v>
      </c>
      <c r="E1122" s="111"/>
      <c r="F1122" s="111"/>
      <c r="G1122" s="111"/>
      <c r="H1122" s="111"/>
      <c r="I1122" s="112"/>
      <c r="J1122" s="1050"/>
      <c r="K1122" s="1050"/>
      <c r="L1122" s="1050"/>
      <c r="M1122" s="1050"/>
      <c r="N1122" s="1050"/>
      <c r="O1122" s="180"/>
      <c r="Q1122" s="116"/>
      <c r="R1122" s="116"/>
      <c r="S1122" s="117"/>
      <c r="T1122" s="118"/>
      <c r="U1122" s="118"/>
      <c r="V1122" s="118"/>
      <c r="W1122" s="118"/>
    </row>
    <row r="1123" spans="1:23" s="115" customFormat="1" ht="18" customHeight="1" thickBot="1">
      <c r="A1123" s="111" t="s">
        <v>452</v>
      </c>
      <c r="B1123" s="111"/>
      <c r="C1123" s="111" t="s">
        <v>448</v>
      </c>
      <c r="D1123" s="111" t="s">
        <v>683</v>
      </c>
      <c r="E1123" s="111"/>
      <c r="F1123" s="111"/>
      <c r="G1123" s="111"/>
      <c r="H1123" s="111"/>
      <c r="I1123" s="112"/>
      <c r="J1123" s="1050"/>
      <c r="K1123" s="1050"/>
      <c r="L1123" s="1050"/>
      <c r="M1123" s="1050"/>
      <c r="N1123" s="1050"/>
      <c r="O1123" s="180"/>
      <c r="Q1123" s="116"/>
      <c r="R1123" s="116"/>
      <c r="S1123" s="117"/>
      <c r="T1123" s="118"/>
      <c r="U1123" s="118"/>
      <c r="V1123" s="118"/>
      <c r="W1123" s="118"/>
    </row>
    <row r="1124" spans="1:23" ht="18" customHeight="1">
      <c r="A1124" s="1322" t="s">
        <v>631</v>
      </c>
      <c r="B1124" s="1323"/>
      <c r="C1124" s="1323"/>
      <c r="D1124" s="1323"/>
      <c r="E1124" s="1324"/>
      <c r="F1124" s="1323"/>
      <c r="G1124" s="1325"/>
      <c r="H1124" s="121"/>
      <c r="I1124" s="1326" t="s">
        <v>635</v>
      </c>
      <c r="J1124" s="1327"/>
      <c r="K1124" s="1326" t="s">
        <v>635</v>
      </c>
      <c r="L1124" s="1327"/>
      <c r="M1124" s="122"/>
      <c r="N1124" s="1012"/>
      <c r="O1124" s="180"/>
    </row>
    <row r="1125" spans="1:23" ht="18" customHeight="1">
      <c r="A1125" s="123" t="s">
        <v>632</v>
      </c>
      <c r="B1125" s="1311" t="s">
        <v>633</v>
      </c>
      <c r="C1125" s="1312"/>
      <c r="D1125" s="1313"/>
      <c r="E1125" s="1314" t="s">
        <v>44</v>
      </c>
      <c r="F1125" s="1315"/>
      <c r="G1125" s="1316"/>
      <c r="H1125" s="1054" t="s">
        <v>45</v>
      </c>
      <c r="I1125" s="1314" t="s">
        <v>1502</v>
      </c>
      <c r="J1125" s="1316"/>
      <c r="K1125" s="1315" t="s">
        <v>1676</v>
      </c>
      <c r="L1125" s="1316"/>
      <c r="M1125" s="124" t="s">
        <v>46</v>
      </c>
      <c r="N1125" s="1013"/>
    </row>
    <row r="1126" spans="1:23" ht="18" customHeight="1">
      <c r="A1126" s="125"/>
      <c r="B1126" s="1054"/>
      <c r="C1126" s="1055"/>
      <c r="D1126" s="1055"/>
      <c r="E1126" s="1054"/>
      <c r="F1126" s="1055"/>
      <c r="G1126" s="1056"/>
      <c r="H1126" s="1054" t="s">
        <v>47</v>
      </c>
      <c r="I1126" s="1317"/>
      <c r="J1126" s="1318"/>
      <c r="K1126" s="1317"/>
      <c r="L1126" s="1318"/>
      <c r="M1126" s="124" t="s">
        <v>48</v>
      </c>
      <c r="N1126" s="1013"/>
    </row>
    <row r="1127" spans="1:23" ht="18" customHeight="1">
      <c r="A1127" s="125"/>
      <c r="B1127" s="1054"/>
      <c r="C1127" s="1055"/>
      <c r="D1127" s="1055"/>
      <c r="E1127" s="1054"/>
      <c r="F1127" s="1055"/>
      <c r="G1127" s="126"/>
      <c r="H1127" s="127"/>
      <c r="I1127" s="128" t="s">
        <v>634</v>
      </c>
      <c r="J1127" s="129" t="s">
        <v>49</v>
      </c>
      <c r="K1127" s="128" t="s">
        <v>634</v>
      </c>
      <c r="L1127" s="129" t="s">
        <v>49</v>
      </c>
      <c r="M1127" s="124"/>
      <c r="N1127" s="120" t="s">
        <v>1628</v>
      </c>
    </row>
    <row r="1128" spans="1:23" ht="18" customHeight="1" thickBot="1">
      <c r="A1128" s="130"/>
      <c r="B1128" s="1307"/>
      <c r="C1128" s="1308"/>
      <c r="D1128" s="1309"/>
      <c r="E1128" s="1307"/>
      <c r="F1128" s="1308"/>
      <c r="G1128" s="1309"/>
      <c r="H1128" s="131"/>
      <c r="I1128" s="131"/>
      <c r="J1128" s="131"/>
      <c r="K1128" s="131"/>
      <c r="L1128" s="131"/>
      <c r="M1128" s="132"/>
      <c r="N1128" s="1019" t="s">
        <v>1629</v>
      </c>
    </row>
    <row r="1129" spans="1:23" ht="18" customHeight="1">
      <c r="A1129" s="181"/>
      <c r="B1129" s="119"/>
      <c r="C1129" s="119"/>
      <c r="D1129" s="119"/>
      <c r="E1129" s="133"/>
      <c r="F1129" s="119"/>
      <c r="G1129" s="217"/>
      <c r="H1129" s="181"/>
      <c r="I1129" s="181"/>
      <c r="J1129" s="181"/>
      <c r="K1129" s="181"/>
      <c r="L1129" s="181"/>
      <c r="M1129" s="181"/>
      <c r="N1129" s="119"/>
    </row>
    <row r="1130" spans="1:23" ht="18" customHeight="1">
      <c r="A1130" s="183">
        <v>1</v>
      </c>
      <c r="B1130" s="1060"/>
      <c r="C1130" s="1060"/>
      <c r="D1130" s="1060"/>
      <c r="E1130" s="154" t="s">
        <v>160</v>
      </c>
      <c r="F1130" s="1060"/>
      <c r="G1130" s="140"/>
      <c r="H1130" s="141" t="s">
        <v>161</v>
      </c>
      <c r="I1130" s="184" t="s">
        <v>1511</v>
      </c>
      <c r="J1130" s="143">
        <v>466464</v>
      </c>
      <c r="K1130" s="184" t="s">
        <v>1511</v>
      </c>
      <c r="L1130" s="143">
        <v>481992</v>
      </c>
      <c r="M1130" s="144">
        <f>L1130-J1130</f>
        <v>15528</v>
      </c>
      <c r="N1130" s="1015">
        <f t="shared" ref="N1130:N1131" si="25">L1130/12</f>
        <v>40166</v>
      </c>
      <c r="O1130" s="115">
        <f>L1130-J1130</f>
        <v>15528</v>
      </c>
      <c r="P1130" s="115">
        <f>O1130-M1130</f>
        <v>0</v>
      </c>
      <c r="Q1130" s="116">
        <v>33156</v>
      </c>
      <c r="R1130" s="116">
        <f>Q1130*12</f>
        <v>397872</v>
      </c>
      <c r="S1130" s="145">
        <f>R1130-L1130</f>
        <v>-84120</v>
      </c>
    </row>
    <row r="1131" spans="1:23" ht="18" customHeight="1">
      <c r="A1131" s="183"/>
      <c r="B1131" s="1060"/>
      <c r="C1131" s="1060"/>
      <c r="D1131" s="1060"/>
      <c r="E1131" s="154"/>
      <c r="F1131" s="1060"/>
      <c r="G1131" s="140"/>
      <c r="H1131" s="141"/>
      <c r="I1131" s="184"/>
      <c r="J1131" s="143"/>
      <c r="K1131" s="184"/>
      <c r="L1131" s="143"/>
      <c r="M1131" s="144"/>
      <c r="N1131" s="1015">
        <f t="shared" si="25"/>
        <v>0</v>
      </c>
      <c r="S1131" s="145"/>
    </row>
    <row r="1132" spans="1:23" s="146" customFormat="1" ht="18" customHeight="1">
      <c r="A1132" s="183">
        <v>2</v>
      </c>
      <c r="B1132" s="1060"/>
      <c r="C1132" s="1060"/>
      <c r="D1132" s="1060"/>
      <c r="E1132" s="154" t="s">
        <v>140</v>
      </c>
      <c r="F1132" s="1060"/>
      <c r="G1132" s="140"/>
      <c r="H1132" s="141" t="s">
        <v>99</v>
      </c>
      <c r="I1132" s="184" t="s">
        <v>946</v>
      </c>
      <c r="J1132" s="143">
        <v>219924</v>
      </c>
      <c r="K1132" s="184" t="s">
        <v>946</v>
      </c>
      <c r="L1132" s="143">
        <v>230148</v>
      </c>
      <c r="M1132" s="144">
        <f>L1132-J1132</f>
        <v>10224</v>
      </c>
      <c r="N1132" s="1015">
        <f>L1132/12</f>
        <v>19179</v>
      </c>
      <c r="O1132" s="115">
        <f>L1132-J1132</f>
        <v>10224</v>
      </c>
      <c r="P1132" s="115">
        <f>O1132-M1132</f>
        <v>0</v>
      </c>
      <c r="Q1132" s="116">
        <v>16051</v>
      </c>
      <c r="R1132" s="116">
        <f>Q1132*12</f>
        <v>192612</v>
      </c>
      <c r="S1132" s="145">
        <f>R1132-L1132</f>
        <v>-37536</v>
      </c>
    </row>
    <row r="1133" spans="1:23" s="146" customFormat="1" ht="18" customHeight="1">
      <c r="A1133" s="183"/>
      <c r="B1133" s="1060"/>
      <c r="C1133" s="1060"/>
      <c r="D1133" s="1060"/>
      <c r="E1133" s="154"/>
      <c r="F1133" s="1060"/>
      <c r="G1133" s="140"/>
      <c r="H1133" s="141"/>
      <c r="I1133" s="184"/>
      <c r="J1133" s="143"/>
      <c r="K1133" s="184" t="s">
        <v>1715</v>
      </c>
      <c r="L1133" s="143">
        <v>232068</v>
      </c>
      <c r="M1133" s="144">
        <v>1600</v>
      </c>
      <c r="N1133" s="1015"/>
      <c r="O1133" s="115"/>
      <c r="P1133" s="115"/>
      <c r="Q1133" s="116"/>
      <c r="R1133" s="116"/>
      <c r="S1133" s="145"/>
    </row>
    <row r="1134" spans="1:23" s="146" customFormat="1" ht="18" customHeight="1">
      <c r="A1134" s="183"/>
      <c r="B1134" s="1060"/>
      <c r="C1134" s="1060"/>
      <c r="D1134" s="1060"/>
      <c r="E1134" s="154"/>
      <c r="F1134" s="1060"/>
      <c r="G1134" s="140"/>
      <c r="H1134" s="141"/>
      <c r="I1134" s="184"/>
      <c r="J1134" s="143"/>
      <c r="K1134" s="184"/>
      <c r="L1134" s="149">
        <v>44636</v>
      </c>
      <c r="M1134" s="144"/>
      <c r="N1134" s="1015"/>
      <c r="O1134" s="115"/>
      <c r="P1134" s="115"/>
      <c r="Q1134" s="116"/>
      <c r="R1134" s="116"/>
      <c r="S1134" s="145"/>
    </row>
    <row r="1135" spans="1:23" s="146" customFormat="1" ht="18" customHeight="1">
      <c r="A1135" s="183"/>
      <c r="B1135" s="1060"/>
      <c r="C1135" s="1060"/>
      <c r="D1135" s="1060"/>
      <c r="E1135" s="154"/>
      <c r="F1135" s="1060"/>
      <c r="G1135" s="140"/>
      <c r="H1135" s="141"/>
      <c r="I1135" s="184"/>
      <c r="J1135" s="143"/>
      <c r="K1135" s="184"/>
      <c r="L1135" s="143"/>
      <c r="M1135" s="144"/>
      <c r="N1135" s="1015"/>
      <c r="O1135" s="115"/>
      <c r="P1135" s="115"/>
      <c r="Q1135" s="116"/>
      <c r="R1135" s="116"/>
      <c r="S1135" s="117"/>
    </row>
    <row r="1136" spans="1:23" s="146" customFormat="1" ht="18" customHeight="1">
      <c r="A1136" s="183">
        <v>3</v>
      </c>
      <c r="B1136" s="1060"/>
      <c r="C1136" s="1060"/>
      <c r="D1136" s="1060"/>
      <c r="E1136" s="154" t="s">
        <v>142</v>
      </c>
      <c r="F1136" s="1060"/>
      <c r="G1136" s="140"/>
      <c r="H1136" s="141" t="s">
        <v>143</v>
      </c>
      <c r="I1136" s="184" t="s">
        <v>89</v>
      </c>
      <c r="J1136" s="143">
        <v>198264</v>
      </c>
      <c r="K1136" s="184" t="s">
        <v>89</v>
      </c>
      <c r="L1136" s="143">
        <v>206376</v>
      </c>
      <c r="M1136" s="144">
        <f>L1136-J1136</f>
        <v>8112</v>
      </c>
      <c r="N1136" s="1015">
        <f>L1136/12</f>
        <v>17198</v>
      </c>
      <c r="O1136" s="115">
        <f>L1136-J1136</f>
        <v>8112</v>
      </c>
      <c r="P1136" s="115">
        <f>O1136-M1136</f>
        <v>0</v>
      </c>
      <c r="Q1136" s="116">
        <v>14628</v>
      </c>
      <c r="R1136" s="116">
        <f>Q1136*12</f>
        <v>175536</v>
      </c>
      <c r="S1136" s="145">
        <f>R1136-L1136</f>
        <v>-30840</v>
      </c>
    </row>
    <row r="1137" spans="1:19" s="146" customFormat="1" ht="18" customHeight="1">
      <c r="A1137" s="183"/>
      <c r="B1137" s="1060"/>
      <c r="C1137" s="1060"/>
      <c r="D1137" s="1060"/>
      <c r="E1137" s="154"/>
      <c r="F1137" s="1060"/>
      <c r="G1137" s="140"/>
      <c r="H1137" s="141"/>
      <c r="I1137" s="184"/>
      <c r="J1137" s="143"/>
      <c r="K1137" s="184"/>
      <c r="L1137" s="143"/>
      <c r="M1137" s="144"/>
      <c r="N1137" s="1015"/>
      <c r="O1137" s="115"/>
      <c r="P1137" s="115"/>
      <c r="Q1137" s="116"/>
      <c r="R1137" s="116"/>
      <c r="S1137" s="117"/>
    </row>
    <row r="1138" spans="1:19" s="146" customFormat="1" ht="18" customHeight="1">
      <c r="A1138" s="183">
        <v>4</v>
      </c>
      <c r="B1138" s="1060"/>
      <c r="C1138" s="1060"/>
      <c r="D1138" s="1060"/>
      <c r="E1138" s="154" t="s">
        <v>142</v>
      </c>
      <c r="F1138" s="1060"/>
      <c r="G1138" s="140"/>
      <c r="H1138" s="141" t="s">
        <v>102</v>
      </c>
      <c r="I1138" s="184" t="s">
        <v>391</v>
      </c>
      <c r="J1138" s="143">
        <v>187848</v>
      </c>
      <c r="K1138" s="184" t="s">
        <v>391</v>
      </c>
      <c r="L1138" s="143">
        <v>195540</v>
      </c>
      <c r="M1138" s="144">
        <f>L1138-J1138</f>
        <v>7692</v>
      </c>
      <c r="N1138" s="1015">
        <f>L1138/12</f>
        <v>16295</v>
      </c>
      <c r="O1138" s="115">
        <f>L1138-J1138</f>
        <v>7692</v>
      </c>
      <c r="P1138" s="115">
        <f>O1138-M1138</f>
        <v>0</v>
      </c>
      <c r="Q1138" s="116">
        <v>13840</v>
      </c>
      <c r="R1138" s="116">
        <f>Q1138*12</f>
        <v>166080</v>
      </c>
      <c r="S1138" s="145">
        <f>R1138-L1138</f>
        <v>-29460</v>
      </c>
    </row>
    <row r="1139" spans="1:19" s="146" customFormat="1" ht="18" customHeight="1">
      <c r="A1139" s="183"/>
      <c r="B1139" s="1060"/>
      <c r="C1139" s="1060"/>
      <c r="D1139" s="1060"/>
      <c r="E1139" s="154"/>
      <c r="F1139" s="1060"/>
      <c r="G1139" s="140"/>
      <c r="H1139" s="141"/>
      <c r="I1139" s="184"/>
      <c r="J1139" s="143"/>
      <c r="K1139" s="184" t="s">
        <v>1716</v>
      </c>
      <c r="L1139" s="143">
        <v>197304</v>
      </c>
      <c r="M1139" s="144">
        <v>147</v>
      </c>
      <c r="N1139" s="1015"/>
      <c r="O1139" s="115"/>
      <c r="P1139" s="115"/>
      <c r="Q1139" s="116"/>
      <c r="R1139" s="116"/>
      <c r="S1139" s="145"/>
    </row>
    <row r="1140" spans="1:19" s="146" customFormat="1" ht="18" customHeight="1">
      <c r="A1140" s="183"/>
      <c r="B1140" s="1060"/>
      <c r="C1140" s="1060"/>
      <c r="D1140" s="1060"/>
      <c r="E1140" s="154"/>
      <c r="F1140" s="1060"/>
      <c r="G1140" s="140"/>
      <c r="H1140" s="141"/>
      <c r="I1140" s="184"/>
      <c r="J1140" s="143"/>
      <c r="K1140" s="184"/>
      <c r="L1140" s="149">
        <v>44896</v>
      </c>
      <c r="M1140" s="144"/>
      <c r="N1140" s="1015"/>
      <c r="O1140" s="115"/>
      <c r="P1140" s="115"/>
      <c r="Q1140" s="116"/>
      <c r="R1140" s="116"/>
      <c r="S1140" s="145"/>
    </row>
    <row r="1141" spans="1:19" s="146" customFormat="1" ht="18" customHeight="1">
      <c r="A1141" s="183"/>
      <c r="B1141" s="1060"/>
      <c r="C1141" s="1060"/>
      <c r="D1141" s="1060"/>
      <c r="E1141" s="154"/>
      <c r="F1141" s="1060"/>
      <c r="G1141" s="140"/>
      <c r="H1141" s="141"/>
      <c r="I1141" s="184"/>
      <c r="J1141" s="143"/>
      <c r="K1141" s="184"/>
      <c r="L1141" s="143"/>
      <c r="M1141" s="144"/>
      <c r="N1141" s="1015"/>
      <c r="O1141" s="115"/>
      <c r="P1141" s="115"/>
      <c r="Q1141" s="116"/>
      <c r="R1141" s="116"/>
      <c r="S1141" s="117"/>
    </row>
    <row r="1142" spans="1:19" s="146" customFormat="1" ht="18" customHeight="1">
      <c r="A1142" s="183">
        <v>5</v>
      </c>
      <c r="B1142" s="1060"/>
      <c r="C1142" s="1060"/>
      <c r="D1142" s="1060"/>
      <c r="E1142" s="154" t="s">
        <v>144</v>
      </c>
      <c r="F1142" s="1060"/>
      <c r="G1142" s="140"/>
      <c r="H1142" s="141" t="s">
        <v>1717</v>
      </c>
      <c r="I1142" s="184" t="s">
        <v>439</v>
      </c>
      <c r="J1142" s="143">
        <v>166512</v>
      </c>
      <c r="K1142" s="184" t="s">
        <v>243</v>
      </c>
      <c r="L1142" s="143">
        <v>172140</v>
      </c>
      <c r="M1142" s="144">
        <f>L1142-J1142</f>
        <v>5628</v>
      </c>
      <c r="N1142" s="1015">
        <f>L1142/12</f>
        <v>14345</v>
      </c>
      <c r="O1142" s="115">
        <f>L1142-J1142</f>
        <v>5628</v>
      </c>
      <c r="P1142" s="115">
        <f>O1142-M1142</f>
        <v>0</v>
      </c>
      <c r="Q1142" s="116">
        <v>12189</v>
      </c>
      <c r="R1142" s="116">
        <f>Q1142*12</f>
        <v>146268</v>
      </c>
      <c r="S1142" s="145">
        <f>R1142-L1142</f>
        <v>-25872</v>
      </c>
    </row>
    <row r="1143" spans="1:19" s="146" customFormat="1" ht="18" customHeight="1">
      <c r="A1143" s="183"/>
      <c r="B1143" s="1060"/>
      <c r="C1143" s="1060"/>
      <c r="D1143" s="1060"/>
      <c r="E1143" s="154"/>
      <c r="F1143" s="1060"/>
      <c r="G1143" s="140"/>
      <c r="H1143" s="141"/>
      <c r="I1143" s="184"/>
      <c r="J1143" s="143"/>
      <c r="K1143" s="184"/>
      <c r="L1143" s="143"/>
      <c r="M1143" s="144"/>
      <c r="N1143" s="1015"/>
      <c r="O1143" s="115"/>
      <c r="P1143" s="115"/>
      <c r="Q1143" s="116"/>
      <c r="R1143" s="116"/>
      <c r="S1143" s="145"/>
    </row>
    <row r="1144" spans="1:19" s="146" customFormat="1" ht="18" customHeight="1">
      <c r="A1144" s="183">
        <v>6</v>
      </c>
      <c r="B1144" s="1060"/>
      <c r="C1144" s="1060"/>
      <c r="D1144" s="1060"/>
      <c r="E1144" s="154" t="s">
        <v>145</v>
      </c>
      <c r="F1144" s="1060"/>
      <c r="G1144" s="140"/>
      <c r="H1144" s="234" t="s">
        <v>968</v>
      </c>
      <c r="I1144" s="184" t="s">
        <v>439</v>
      </c>
      <c r="J1144" s="143">
        <v>166512</v>
      </c>
      <c r="K1144" s="184" t="s">
        <v>439</v>
      </c>
      <c r="L1144" s="143">
        <v>173472</v>
      </c>
      <c r="M1144" s="144">
        <f>L1144-J1144</f>
        <v>6960</v>
      </c>
      <c r="N1144" s="1015">
        <f t="shared" ref="N1144:N1145" si="26">L1144/12</f>
        <v>14456</v>
      </c>
      <c r="O1144" s="115">
        <f>L1144-J1144</f>
        <v>6960</v>
      </c>
      <c r="P1144" s="115">
        <f>O1144-M1144</f>
        <v>0</v>
      </c>
      <c r="Q1144" s="116">
        <v>12494</v>
      </c>
      <c r="R1144" s="116">
        <f>Q1144*12</f>
        <v>149928</v>
      </c>
      <c r="S1144" s="145">
        <f>R1144-L1144</f>
        <v>-23544</v>
      </c>
    </row>
    <row r="1145" spans="1:19" s="146" customFormat="1" ht="18" customHeight="1">
      <c r="A1145" s="183"/>
      <c r="B1145" s="1060"/>
      <c r="C1145" s="1060"/>
      <c r="D1145" s="1060"/>
      <c r="E1145" s="154"/>
      <c r="F1145" s="1060"/>
      <c r="G1145" s="140"/>
      <c r="H1145" s="234"/>
      <c r="I1145" s="184"/>
      <c r="J1145" s="143"/>
      <c r="K1145" s="184"/>
      <c r="L1145" s="143"/>
      <c r="M1145" s="144"/>
      <c r="N1145" s="1015">
        <f t="shared" si="26"/>
        <v>0</v>
      </c>
      <c r="O1145" s="115"/>
      <c r="P1145" s="115"/>
      <c r="Q1145" s="116"/>
      <c r="R1145" s="116"/>
      <c r="S1145" s="145"/>
    </row>
    <row r="1146" spans="1:19" s="146" customFormat="1" ht="18" customHeight="1">
      <c r="A1146" s="183">
        <v>7</v>
      </c>
      <c r="B1146" s="1060"/>
      <c r="C1146" s="1060"/>
      <c r="D1146" s="1060"/>
      <c r="E1146" s="154" t="s">
        <v>58</v>
      </c>
      <c r="F1146" s="1060"/>
      <c r="G1146" s="140"/>
      <c r="H1146" s="141" t="s">
        <v>148</v>
      </c>
      <c r="I1146" s="184" t="s">
        <v>246</v>
      </c>
      <c r="J1146" s="143">
        <v>138432</v>
      </c>
      <c r="K1146" s="184" t="s">
        <v>246</v>
      </c>
      <c r="L1146" s="143">
        <v>144072</v>
      </c>
      <c r="M1146" s="144">
        <f>L1146-J1146</f>
        <v>5640</v>
      </c>
      <c r="N1146" s="1015">
        <f>L1146/12</f>
        <v>12006</v>
      </c>
      <c r="O1146" s="115">
        <f>L1146-J1146</f>
        <v>5640</v>
      </c>
      <c r="P1146" s="115">
        <f>O1146-M1146</f>
        <v>0</v>
      </c>
      <c r="Q1146" s="116">
        <v>10727</v>
      </c>
      <c r="R1146" s="116">
        <f>Q1146*12</f>
        <v>128724</v>
      </c>
      <c r="S1146" s="145">
        <f>R1146-L1146</f>
        <v>-15348</v>
      </c>
    </row>
    <row r="1147" spans="1:19" s="146" customFormat="1" ht="18" customHeight="1">
      <c r="A1147" s="183"/>
      <c r="B1147" s="1060"/>
      <c r="C1147" s="1060"/>
      <c r="D1147" s="1060"/>
      <c r="E1147" s="154"/>
      <c r="F1147" s="1060"/>
      <c r="G1147" s="140"/>
      <c r="H1147" s="141"/>
      <c r="I1147" s="184"/>
      <c r="J1147" s="143"/>
      <c r="K1147" s="184"/>
      <c r="L1147" s="143"/>
      <c r="M1147" s="144"/>
      <c r="N1147" s="1015"/>
      <c r="O1147" s="115"/>
      <c r="P1147" s="115"/>
      <c r="Q1147" s="116"/>
      <c r="R1147" s="116"/>
      <c r="S1147" s="145"/>
    </row>
    <row r="1148" spans="1:19" s="146" customFormat="1" ht="18" customHeight="1">
      <c r="A1148" s="183">
        <v>8</v>
      </c>
      <c r="B1148" s="1060"/>
      <c r="C1148" s="1060"/>
      <c r="D1148" s="1060"/>
      <c r="E1148" s="154" t="s">
        <v>146</v>
      </c>
      <c r="F1148" s="1060"/>
      <c r="G1148" s="140"/>
      <c r="H1148" s="141" t="s">
        <v>147</v>
      </c>
      <c r="I1148" s="184" t="s">
        <v>947</v>
      </c>
      <c r="J1148" s="143">
        <v>129036</v>
      </c>
      <c r="K1148" s="184" t="s">
        <v>947</v>
      </c>
      <c r="L1148" s="143">
        <v>134220</v>
      </c>
      <c r="M1148" s="144">
        <f>L1148-J1148</f>
        <v>5184</v>
      </c>
      <c r="N1148" s="1015">
        <f>L1148/12</f>
        <v>11185</v>
      </c>
      <c r="O1148" s="115">
        <f>L1148-J1148</f>
        <v>5184</v>
      </c>
      <c r="P1148" s="115">
        <f>O1148-M1148</f>
        <v>0</v>
      </c>
      <c r="Q1148" s="116">
        <v>9335</v>
      </c>
      <c r="R1148" s="116">
        <f>Q1148*12</f>
        <v>112020</v>
      </c>
      <c r="S1148" s="145">
        <f>R1148-L1148</f>
        <v>-22200</v>
      </c>
    </row>
    <row r="1149" spans="1:19" s="146" customFormat="1" ht="18" customHeight="1">
      <c r="A1149" s="183"/>
      <c r="B1149" s="1060"/>
      <c r="C1149" s="1060"/>
      <c r="D1149" s="1060"/>
      <c r="E1149" s="154"/>
      <c r="F1149" s="1060"/>
      <c r="G1149" s="140"/>
      <c r="H1149" s="141"/>
      <c r="I1149" s="184"/>
      <c r="J1149" s="143"/>
      <c r="K1149" s="184" t="s">
        <v>222</v>
      </c>
      <c r="L1149" s="143">
        <v>135336</v>
      </c>
      <c r="M1149" s="144">
        <v>186</v>
      </c>
      <c r="N1149" s="1015"/>
      <c r="O1149" s="115"/>
      <c r="P1149" s="115"/>
      <c r="Q1149" s="116"/>
      <c r="R1149" s="116"/>
      <c r="S1149" s="145"/>
    </row>
    <row r="1150" spans="1:19" s="146" customFormat="1" ht="18" customHeight="1">
      <c r="A1150" s="183"/>
      <c r="B1150" s="1060"/>
      <c r="C1150" s="1060"/>
      <c r="D1150" s="1060"/>
      <c r="E1150" s="154"/>
      <c r="F1150" s="1060"/>
      <c r="G1150" s="140"/>
      <c r="H1150" s="141"/>
      <c r="I1150" s="184"/>
      <c r="J1150" s="143"/>
      <c r="K1150" s="184"/>
      <c r="L1150" s="149">
        <v>44870</v>
      </c>
      <c r="M1150" s="144"/>
      <c r="N1150" s="1015"/>
      <c r="O1150" s="115"/>
      <c r="P1150" s="115"/>
      <c r="Q1150" s="116"/>
      <c r="R1150" s="116"/>
      <c r="S1150" s="145"/>
    </row>
    <row r="1151" spans="1:19" s="146" customFormat="1" ht="18" customHeight="1">
      <c r="A1151" s="183"/>
      <c r="B1151" s="1060"/>
      <c r="C1151" s="1060"/>
      <c r="D1151" s="1060"/>
      <c r="E1151" s="154"/>
      <c r="F1151" s="1060"/>
      <c r="G1151" s="140"/>
      <c r="H1151" s="141"/>
      <c r="I1151" s="184"/>
      <c r="J1151" s="143"/>
      <c r="K1151" s="184"/>
      <c r="L1151" s="143"/>
      <c r="M1151" s="144"/>
      <c r="N1151" s="1015"/>
      <c r="O1151" s="115"/>
      <c r="P1151" s="115"/>
      <c r="Q1151" s="116"/>
      <c r="R1151" s="116"/>
      <c r="S1151" s="145"/>
    </row>
    <row r="1152" spans="1:19" s="146" customFormat="1" ht="18" customHeight="1">
      <c r="A1152" s="183">
        <v>9</v>
      </c>
      <c r="B1152" s="1060"/>
      <c r="C1152" s="1060"/>
      <c r="D1152" s="1060"/>
      <c r="E1152" s="154" t="s">
        <v>146</v>
      </c>
      <c r="F1152" s="1060"/>
      <c r="G1152" s="140"/>
      <c r="H1152" s="234" t="s">
        <v>969</v>
      </c>
      <c r="I1152" s="184" t="s">
        <v>151</v>
      </c>
      <c r="J1152" s="143">
        <v>123768</v>
      </c>
      <c r="K1152" s="184" t="s">
        <v>151</v>
      </c>
      <c r="L1152" s="143">
        <v>128736</v>
      </c>
      <c r="M1152" s="144">
        <f>L1152-J1152</f>
        <v>4968</v>
      </c>
      <c r="N1152" s="1015">
        <f t="shared" ref="N1152" si="27">L1152/12</f>
        <v>10728</v>
      </c>
      <c r="O1152" s="115">
        <f>L1152-J1152</f>
        <v>4968</v>
      </c>
      <c r="P1152" s="115">
        <f>O1152-M1152</f>
        <v>0</v>
      </c>
      <c r="Q1152" s="116">
        <v>9091</v>
      </c>
      <c r="R1152" s="116">
        <f>Q1152*12</f>
        <v>109092</v>
      </c>
      <c r="S1152" s="145">
        <f>R1152-L1152</f>
        <v>-19644</v>
      </c>
    </row>
    <row r="1153" spans="1:19" s="146" customFormat="1" ht="18" customHeight="1">
      <c r="A1153" s="183"/>
      <c r="B1153" s="1060"/>
      <c r="C1153" s="1060"/>
      <c r="D1153" s="1060"/>
      <c r="E1153" s="154"/>
      <c r="F1153" s="1060"/>
      <c r="G1153" s="140"/>
      <c r="H1153" s="234"/>
      <c r="I1153" s="184"/>
      <c r="J1153" s="143"/>
      <c r="K1153" s="184"/>
      <c r="L1153" s="143"/>
      <c r="M1153" s="144"/>
      <c r="N1153" s="1015"/>
      <c r="O1153" s="115"/>
      <c r="P1153" s="115"/>
      <c r="Q1153" s="116"/>
      <c r="R1153" s="116"/>
      <c r="S1153" s="145"/>
    </row>
    <row r="1154" spans="1:19" s="146" customFormat="1" ht="18" customHeight="1">
      <c r="A1154" s="183">
        <v>10</v>
      </c>
      <c r="B1154" s="1060"/>
      <c r="C1154" s="1060"/>
      <c r="D1154" s="1060"/>
      <c r="E1154" s="154" t="s">
        <v>146</v>
      </c>
      <c r="F1154" s="1060"/>
      <c r="G1154" s="140"/>
      <c r="H1154" s="141" t="s">
        <v>1566</v>
      </c>
      <c r="I1154" s="184" t="s">
        <v>154</v>
      </c>
      <c r="J1154" s="143">
        <v>122748</v>
      </c>
      <c r="K1154" s="184" t="s">
        <v>154</v>
      </c>
      <c r="L1154" s="143">
        <v>127668</v>
      </c>
      <c r="M1154" s="144">
        <f>L1154-J1154</f>
        <v>4920</v>
      </c>
      <c r="N1154" s="1015">
        <f>L1154/12</f>
        <v>10639</v>
      </c>
      <c r="O1154" s="115">
        <f>L1154-J1154</f>
        <v>4920</v>
      </c>
      <c r="P1154" s="115">
        <f>O1154-M1154</f>
        <v>0</v>
      </c>
      <c r="Q1154" s="116">
        <v>9251</v>
      </c>
      <c r="R1154" s="116">
        <f>Q1154*12</f>
        <v>111012</v>
      </c>
      <c r="S1154" s="145">
        <f>R1154-L1154</f>
        <v>-16656</v>
      </c>
    </row>
    <row r="1155" spans="1:19" s="146" customFormat="1" ht="18" customHeight="1">
      <c r="A1155" s="183"/>
      <c r="B1155" s="1060"/>
      <c r="C1155" s="1060"/>
      <c r="D1155" s="1060"/>
      <c r="E1155" s="154"/>
      <c r="F1155" s="1060"/>
      <c r="G1155" s="140"/>
      <c r="H1155" s="141"/>
      <c r="I1155" s="184"/>
      <c r="J1155" s="143"/>
      <c r="K1155" s="184"/>
      <c r="L1155" s="143"/>
      <c r="M1155" s="144"/>
      <c r="N1155" s="1015"/>
      <c r="O1155" s="115"/>
      <c r="P1155" s="115"/>
      <c r="Q1155" s="116">
        <v>9335</v>
      </c>
      <c r="R1155" s="116">
        <f>Q1155*12</f>
        <v>112020</v>
      </c>
      <c r="S1155" s="145">
        <f>R1155-L1155</f>
        <v>112020</v>
      </c>
    </row>
    <row r="1156" spans="1:19" s="146" customFormat="1" ht="18" customHeight="1">
      <c r="A1156" s="183">
        <v>11</v>
      </c>
      <c r="B1156" s="1060"/>
      <c r="C1156" s="1060"/>
      <c r="D1156" s="1060"/>
      <c r="E1156" s="154" t="s">
        <v>150</v>
      </c>
      <c r="F1156" s="1060"/>
      <c r="G1156" s="140"/>
      <c r="H1156" s="141" t="s">
        <v>1453</v>
      </c>
      <c r="I1156" s="184" t="s">
        <v>151</v>
      </c>
      <c r="J1156" s="143">
        <v>123768</v>
      </c>
      <c r="K1156" s="184" t="s">
        <v>151</v>
      </c>
      <c r="L1156" s="143">
        <v>128736</v>
      </c>
      <c r="M1156" s="144">
        <f>L1156-J1156</f>
        <v>4968</v>
      </c>
      <c r="N1156" s="1015">
        <f t="shared" ref="N1156:N1157" si="28">L1156/12</f>
        <v>10728</v>
      </c>
      <c r="O1156" s="115">
        <f>L1156-J1156</f>
        <v>4968</v>
      </c>
      <c r="P1156" s="115">
        <f>O1156-M1156</f>
        <v>0</v>
      </c>
      <c r="Q1156" s="116">
        <v>9171</v>
      </c>
      <c r="R1156" s="116">
        <f>Q1156*12</f>
        <v>110052</v>
      </c>
      <c r="S1156" s="145">
        <f>R1156-L1156</f>
        <v>-18684</v>
      </c>
    </row>
    <row r="1157" spans="1:19" s="146" customFormat="1" ht="18" customHeight="1">
      <c r="A1157" s="183"/>
      <c r="B1157" s="1060"/>
      <c r="C1157" s="1060"/>
      <c r="D1157" s="1060"/>
      <c r="E1157" s="154"/>
      <c r="F1157" s="1060"/>
      <c r="G1157" s="140"/>
      <c r="H1157" s="141"/>
      <c r="I1157" s="184"/>
      <c r="J1157" s="143"/>
      <c r="K1157" s="184"/>
      <c r="L1157" s="143"/>
      <c r="M1157" s="144"/>
      <c r="N1157" s="1015">
        <f t="shared" si="28"/>
        <v>0</v>
      </c>
      <c r="O1157" s="115"/>
      <c r="P1157" s="115"/>
      <c r="Q1157" s="116"/>
      <c r="R1157" s="116"/>
      <c r="S1157" s="145"/>
    </row>
    <row r="1158" spans="1:19" s="146" customFormat="1" ht="18" customHeight="1">
      <c r="A1158" s="183">
        <v>12</v>
      </c>
      <c r="B1158" s="1060"/>
      <c r="C1158" s="1060"/>
      <c r="D1158" s="1060"/>
      <c r="E1158" s="154" t="s">
        <v>150</v>
      </c>
      <c r="F1158" s="1060"/>
      <c r="G1158" s="140"/>
      <c r="H1158" s="141" t="s">
        <v>152</v>
      </c>
      <c r="I1158" s="184" t="s">
        <v>947</v>
      </c>
      <c r="J1158" s="143">
        <v>129036</v>
      </c>
      <c r="K1158" s="184" t="s">
        <v>947</v>
      </c>
      <c r="L1158" s="143">
        <v>134220</v>
      </c>
      <c r="M1158" s="144">
        <f>L1158-J1158</f>
        <v>5184</v>
      </c>
      <c r="N1158" s="1015">
        <f>L1158/12</f>
        <v>11185</v>
      </c>
      <c r="O1158" s="115">
        <f>L1158-J1158</f>
        <v>5184</v>
      </c>
      <c r="P1158" s="115">
        <f>O1158-M1158</f>
        <v>0</v>
      </c>
      <c r="Q1158" s="116">
        <v>9335</v>
      </c>
      <c r="R1158" s="116">
        <f>Q1158*12</f>
        <v>112020</v>
      </c>
      <c r="S1158" s="145">
        <f>R1158-L1158</f>
        <v>-22200</v>
      </c>
    </row>
    <row r="1159" spans="1:19" s="146" customFormat="1" ht="18" customHeight="1">
      <c r="A1159" s="183"/>
      <c r="B1159" s="1060"/>
      <c r="C1159" s="1060"/>
      <c r="D1159" s="1060"/>
      <c r="E1159" s="154"/>
      <c r="F1159" s="1060"/>
      <c r="G1159" s="140"/>
      <c r="H1159" s="141"/>
      <c r="I1159" s="184"/>
      <c r="J1159" s="149"/>
      <c r="K1159" s="184"/>
      <c r="L1159" s="149"/>
      <c r="M1159" s="144"/>
      <c r="N1159" s="1015"/>
      <c r="O1159" s="115"/>
      <c r="P1159" s="115"/>
      <c r="Q1159" s="116"/>
      <c r="R1159" s="116"/>
      <c r="S1159" s="117"/>
    </row>
    <row r="1160" spans="1:19" s="146" customFormat="1" ht="18" customHeight="1">
      <c r="A1160" s="183">
        <v>13</v>
      </c>
      <c r="B1160" s="1060"/>
      <c r="C1160" s="1060"/>
      <c r="D1160" s="1060"/>
      <c r="E1160" s="154" t="s">
        <v>150</v>
      </c>
      <c r="F1160" s="1060"/>
      <c r="G1160" s="140"/>
      <c r="H1160" s="141" t="s">
        <v>895</v>
      </c>
      <c r="I1160" s="184" t="s">
        <v>151</v>
      </c>
      <c r="J1160" s="143">
        <v>123768</v>
      </c>
      <c r="K1160" s="184" t="s">
        <v>151</v>
      </c>
      <c r="L1160" s="143">
        <v>128736</v>
      </c>
      <c r="M1160" s="144">
        <f>L1160-J1160</f>
        <v>4968</v>
      </c>
      <c r="N1160" s="1015">
        <f>L1160/12</f>
        <v>10728</v>
      </c>
      <c r="O1160" s="115">
        <f>L1160-J1160</f>
        <v>4968</v>
      </c>
      <c r="P1160" s="115">
        <f>O1160-M1160</f>
        <v>0</v>
      </c>
      <c r="Q1160" s="116">
        <v>8934</v>
      </c>
      <c r="R1160" s="116">
        <f>Q1160*12</f>
        <v>107208</v>
      </c>
      <c r="S1160" s="145">
        <f>R1160-L1160</f>
        <v>-21528</v>
      </c>
    </row>
    <row r="1161" spans="1:19" s="146" customFormat="1" ht="18" customHeight="1">
      <c r="A1161" s="183"/>
      <c r="B1161" s="1060"/>
      <c r="C1161" s="1060"/>
      <c r="D1161" s="1060"/>
      <c r="E1161" s="154"/>
      <c r="F1161" s="1060"/>
      <c r="G1161" s="140"/>
      <c r="H1161" s="141"/>
      <c r="I1161" s="184"/>
      <c r="J1161" s="143"/>
      <c r="K1161" s="184"/>
      <c r="L1161" s="143"/>
      <c r="M1161" s="144"/>
      <c r="N1161" s="1015"/>
      <c r="O1161" s="115"/>
      <c r="P1161" s="115"/>
      <c r="Q1161" s="116"/>
      <c r="R1161" s="116"/>
      <c r="S1161" s="117"/>
    </row>
    <row r="1162" spans="1:19" s="146" customFormat="1" ht="18" customHeight="1">
      <c r="A1162" s="183">
        <v>14</v>
      </c>
      <c r="B1162" s="1060"/>
      <c r="C1162" s="1060"/>
      <c r="D1162" s="1060"/>
      <c r="E1162" s="154" t="s">
        <v>150</v>
      </c>
      <c r="F1162" s="1060"/>
      <c r="G1162" s="140"/>
      <c r="H1162" s="141" t="s">
        <v>1465</v>
      </c>
      <c r="I1162" s="184" t="s">
        <v>395</v>
      </c>
      <c r="J1162" s="143">
        <v>127956</v>
      </c>
      <c r="K1162" s="184" t="s">
        <v>395</v>
      </c>
      <c r="L1162" s="143">
        <v>133104</v>
      </c>
      <c r="M1162" s="144">
        <f>L1162-J1162</f>
        <v>5148</v>
      </c>
      <c r="N1162" s="1015">
        <f t="shared" ref="N1162:N1163" si="29">L1162/12</f>
        <v>11092</v>
      </c>
      <c r="O1162" s="115">
        <f>L1162-J1162</f>
        <v>5148</v>
      </c>
      <c r="P1162" s="115">
        <f>O1162-M1162</f>
        <v>0</v>
      </c>
      <c r="Q1162" s="116">
        <v>9171</v>
      </c>
      <c r="R1162" s="116">
        <f>Q1162*12</f>
        <v>110052</v>
      </c>
      <c r="S1162" s="145">
        <f>R1162-L1162</f>
        <v>-23052</v>
      </c>
    </row>
    <row r="1163" spans="1:19" s="146" customFormat="1" ht="18" customHeight="1">
      <c r="A1163" s="183"/>
      <c r="B1163" s="1060"/>
      <c r="C1163" s="1060"/>
      <c r="D1163" s="1060"/>
      <c r="E1163" s="154"/>
      <c r="F1163" s="1060"/>
      <c r="G1163" s="140"/>
      <c r="H1163" s="141"/>
      <c r="I1163" s="184"/>
      <c r="J1163" s="143"/>
      <c r="K1163" s="184"/>
      <c r="L1163" s="143"/>
      <c r="M1163" s="144"/>
      <c r="N1163" s="1015">
        <f t="shared" si="29"/>
        <v>0</v>
      </c>
      <c r="O1163" s="115"/>
      <c r="P1163" s="115"/>
      <c r="Q1163" s="116"/>
      <c r="R1163" s="116"/>
      <c r="S1163" s="145"/>
    </row>
    <row r="1164" spans="1:19" s="146" customFormat="1" ht="18" customHeight="1">
      <c r="A1164" s="183">
        <v>15</v>
      </c>
      <c r="B1164" s="1060"/>
      <c r="C1164" s="1060"/>
      <c r="D1164" s="1060"/>
      <c r="E1164" s="154" t="s">
        <v>150</v>
      </c>
      <c r="F1164" s="1060"/>
      <c r="G1164" s="140"/>
      <c r="H1164" s="141" t="s">
        <v>250</v>
      </c>
      <c r="I1164" s="184" t="s">
        <v>149</v>
      </c>
      <c r="J1164" s="143">
        <v>124812</v>
      </c>
      <c r="K1164" s="184" t="s">
        <v>149</v>
      </c>
      <c r="L1164" s="143">
        <v>129828</v>
      </c>
      <c r="M1164" s="144">
        <f>L1164-J1164</f>
        <v>5016</v>
      </c>
      <c r="N1164" s="1015">
        <f>L1164/12</f>
        <v>10819</v>
      </c>
      <c r="O1164" s="115">
        <f>L1164-J1164</f>
        <v>5016</v>
      </c>
      <c r="P1164" s="115">
        <f>O1164-M1164</f>
        <v>0</v>
      </c>
      <c r="Q1164" s="116">
        <v>9012</v>
      </c>
      <c r="R1164" s="116">
        <f>Q1164*12</f>
        <v>108144</v>
      </c>
      <c r="S1164" s="145">
        <f>R1164-L1164</f>
        <v>-21684</v>
      </c>
    </row>
    <row r="1165" spans="1:19" s="146" customFormat="1" ht="18" customHeight="1">
      <c r="A1165" s="183"/>
      <c r="B1165" s="1060"/>
      <c r="C1165" s="1060"/>
      <c r="D1165" s="1060"/>
      <c r="E1165" s="154"/>
      <c r="F1165" s="1060"/>
      <c r="G1165" s="140"/>
      <c r="H1165" s="141"/>
      <c r="I1165" s="184"/>
      <c r="J1165" s="143"/>
      <c r="K1165" s="184"/>
      <c r="L1165" s="143"/>
      <c r="M1165" s="144"/>
      <c r="N1165" s="1015"/>
      <c r="O1165" s="115"/>
      <c r="P1165" s="115"/>
      <c r="Q1165" s="116"/>
      <c r="R1165" s="116"/>
      <c r="S1165" s="145"/>
    </row>
    <row r="1166" spans="1:19" s="146" customFormat="1" ht="18" customHeight="1">
      <c r="A1166" s="183">
        <v>16</v>
      </c>
      <c r="B1166" s="1060"/>
      <c r="C1166" s="1060"/>
      <c r="D1166" s="1060"/>
      <c r="E1166" s="154" t="s">
        <v>150</v>
      </c>
      <c r="F1166" s="1060"/>
      <c r="G1166" s="140"/>
      <c r="H1166" s="141" t="s">
        <v>444</v>
      </c>
      <c r="I1166" s="184" t="s">
        <v>395</v>
      </c>
      <c r="J1166" s="143">
        <v>127956</v>
      </c>
      <c r="K1166" s="184" t="s">
        <v>395</v>
      </c>
      <c r="L1166" s="143">
        <v>133104</v>
      </c>
      <c r="M1166" s="144">
        <f>L1166-J1166</f>
        <v>5148</v>
      </c>
      <c r="N1166" s="1015">
        <f t="shared" ref="N1166:N1167" si="30">L1166/12</f>
        <v>11092</v>
      </c>
      <c r="O1166" s="115">
        <f>L1166-J1166</f>
        <v>5148</v>
      </c>
      <c r="P1166" s="115">
        <f>O1166-M1166</f>
        <v>0</v>
      </c>
      <c r="Q1166" s="116">
        <v>9171</v>
      </c>
      <c r="R1166" s="116">
        <f>Q1166*12</f>
        <v>110052</v>
      </c>
      <c r="S1166" s="145">
        <f>R1166-L1166</f>
        <v>-23052</v>
      </c>
    </row>
    <row r="1167" spans="1:19" s="146" customFormat="1" ht="18" customHeight="1">
      <c r="A1167" s="183"/>
      <c r="B1167" s="1060"/>
      <c r="C1167" s="1060"/>
      <c r="D1167" s="1060"/>
      <c r="E1167" s="154"/>
      <c r="F1167" s="1060"/>
      <c r="G1167" s="140"/>
      <c r="H1167" s="141"/>
      <c r="I1167" s="184"/>
      <c r="J1167" s="143"/>
      <c r="K1167" s="184"/>
      <c r="L1167" s="143"/>
      <c r="M1167" s="144"/>
      <c r="N1167" s="1015">
        <f t="shared" si="30"/>
        <v>0</v>
      </c>
      <c r="O1167" s="115"/>
      <c r="P1167" s="115"/>
      <c r="Q1167" s="116"/>
      <c r="R1167" s="116"/>
      <c r="S1167" s="145"/>
    </row>
    <row r="1168" spans="1:19" s="146" customFormat="1" ht="18" customHeight="1">
      <c r="A1168" s="183">
        <v>17</v>
      </c>
      <c r="B1168" s="1060"/>
      <c r="C1168" s="1060"/>
      <c r="D1168" s="1060"/>
      <c r="E1168" s="154" t="s">
        <v>150</v>
      </c>
      <c r="F1168" s="1060"/>
      <c r="G1168" s="140"/>
      <c r="H1168" s="141" t="s">
        <v>898</v>
      </c>
      <c r="I1168" s="184" t="s">
        <v>151</v>
      </c>
      <c r="J1168" s="143">
        <v>123768</v>
      </c>
      <c r="K1168" s="184" t="s">
        <v>151</v>
      </c>
      <c r="L1168" s="143">
        <v>128736</v>
      </c>
      <c r="M1168" s="144">
        <f>L1168-J1168</f>
        <v>4968</v>
      </c>
      <c r="N1168" s="1015">
        <f>L1168/12</f>
        <v>10728</v>
      </c>
      <c r="O1168" s="115">
        <f>L1168-J1168</f>
        <v>4968</v>
      </c>
      <c r="P1168" s="115">
        <f>O1168-M1168</f>
        <v>0</v>
      </c>
      <c r="Q1168" s="116">
        <v>8934</v>
      </c>
      <c r="R1168" s="116">
        <f>Q1168*12</f>
        <v>107208</v>
      </c>
      <c r="S1168" s="145">
        <f>R1168-L1168</f>
        <v>-21528</v>
      </c>
    </row>
    <row r="1169" spans="1:19" s="146" customFormat="1" ht="18" customHeight="1">
      <c r="A1169" s="183"/>
      <c r="B1169" s="1060"/>
      <c r="C1169" s="1060"/>
      <c r="D1169" s="1060"/>
      <c r="E1169" s="154"/>
      <c r="F1169" s="1060"/>
      <c r="G1169" s="140"/>
      <c r="H1169" s="141"/>
      <c r="I1169" s="184"/>
      <c r="J1169" s="143"/>
      <c r="K1169" s="184" t="s">
        <v>149</v>
      </c>
      <c r="L1169" s="143">
        <v>129828</v>
      </c>
      <c r="M1169" s="144">
        <v>546</v>
      </c>
      <c r="N1169" s="1015"/>
      <c r="O1169" s="115"/>
      <c r="P1169" s="115"/>
      <c r="Q1169" s="116"/>
      <c r="R1169" s="116"/>
      <c r="S1169" s="145"/>
    </row>
    <row r="1170" spans="1:19" s="146" customFormat="1" ht="18" customHeight="1">
      <c r="A1170" s="183"/>
      <c r="B1170" s="1060"/>
      <c r="C1170" s="1060"/>
      <c r="D1170" s="1060"/>
      <c r="E1170" s="154"/>
      <c r="F1170" s="1060"/>
      <c r="G1170" s="140"/>
      <c r="H1170" s="141"/>
      <c r="I1170" s="184"/>
      <c r="J1170" s="143"/>
      <c r="K1170" s="184"/>
      <c r="L1170" s="149">
        <v>44743</v>
      </c>
      <c r="M1170" s="144"/>
      <c r="N1170" s="1015"/>
      <c r="O1170" s="115"/>
      <c r="P1170" s="115"/>
      <c r="Q1170" s="116"/>
      <c r="R1170" s="116"/>
      <c r="S1170" s="145"/>
    </row>
    <row r="1171" spans="1:19" s="146" customFormat="1" ht="18" customHeight="1">
      <c r="A1171" s="183"/>
      <c r="B1171" s="1060"/>
      <c r="C1171" s="1060"/>
      <c r="D1171" s="1060"/>
      <c r="E1171" s="154"/>
      <c r="F1171" s="1060"/>
      <c r="G1171" s="140"/>
      <c r="H1171" s="141"/>
      <c r="I1171" s="184"/>
      <c r="J1171" s="143"/>
      <c r="K1171" s="184"/>
      <c r="L1171" s="143"/>
      <c r="M1171" s="144"/>
      <c r="N1171" s="1015"/>
      <c r="O1171" s="115"/>
      <c r="P1171" s="115"/>
      <c r="Q1171" s="116"/>
      <c r="R1171" s="116"/>
      <c r="S1171" s="145"/>
    </row>
    <row r="1172" spans="1:19" s="146" customFormat="1" ht="18" customHeight="1">
      <c r="A1172" s="183">
        <v>18</v>
      </c>
      <c r="B1172" s="1060"/>
      <c r="C1172" s="1060"/>
      <c r="D1172" s="1060"/>
      <c r="E1172" s="154" t="s">
        <v>150</v>
      </c>
      <c r="F1172" s="1060"/>
      <c r="G1172" s="140"/>
      <c r="H1172" s="141" t="s">
        <v>55</v>
      </c>
      <c r="I1172" s="184" t="s">
        <v>151</v>
      </c>
      <c r="J1172" s="143">
        <v>123768</v>
      </c>
      <c r="K1172" s="184" t="s">
        <v>151</v>
      </c>
      <c r="L1172" s="143">
        <v>128736</v>
      </c>
      <c r="M1172" s="144">
        <f>L1172-J1172</f>
        <v>4968</v>
      </c>
      <c r="N1172" s="1015">
        <f>L1172/12</f>
        <v>10728</v>
      </c>
      <c r="O1172" s="115">
        <f>L1172-J1172</f>
        <v>4968</v>
      </c>
      <c r="P1172" s="115">
        <f>O1172-M1172</f>
        <v>0</v>
      </c>
      <c r="Q1172" s="116">
        <v>8934</v>
      </c>
      <c r="R1172" s="116">
        <f>Q1172*12</f>
        <v>107208</v>
      </c>
      <c r="S1172" s="145">
        <f>R1172-L1172</f>
        <v>-21528</v>
      </c>
    </row>
    <row r="1173" spans="1:19" s="146" customFormat="1" ht="18" customHeight="1">
      <c r="A1173" s="183"/>
      <c r="B1173" s="1060"/>
      <c r="C1173" s="1060"/>
      <c r="D1173" s="1060"/>
      <c r="E1173" s="154"/>
      <c r="F1173" s="1060"/>
      <c r="G1173" s="140"/>
      <c r="H1173" s="141"/>
      <c r="I1173" s="184"/>
      <c r="J1173" s="149"/>
      <c r="K1173" s="184"/>
      <c r="L1173" s="149"/>
      <c r="M1173" s="144"/>
      <c r="N1173" s="1015"/>
      <c r="O1173" s="115"/>
      <c r="P1173" s="115"/>
      <c r="Q1173" s="116"/>
      <c r="R1173" s="116"/>
      <c r="S1173" s="117"/>
    </row>
    <row r="1174" spans="1:19" s="146" customFormat="1" ht="18" customHeight="1">
      <c r="A1174" s="183">
        <v>19</v>
      </c>
      <c r="B1174" s="1060"/>
      <c r="C1174" s="1060"/>
      <c r="D1174" s="1060"/>
      <c r="E1174" s="154" t="s">
        <v>150</v>
      </c>
      <c r="F1174" s="1060"/>
      <c r="G1174" s="140"/>
      <c r="H1174" s="141" t="s">
        <v>896</v>
      </c>
      <c r="I1174" s="184" t="s">
        <v>151</v>
      </c>
      <c r="J1174" s="143">
        <v>123768</v>
      </c>
      <c r="K1174" s="184" t="s">
        <v>151</v>
      </c>
      <c r="L1174" s="143">
        <v>128736</v>
      </c>
      <c r="M1174" s="144">
        <f>L1174-J1174</f>
        <v>4968</v>
      </c>
      <c r="N1174" s="1015">
        <f>L1174/12</f>
        <v>10728</v>
      </c>
      <c r="O1174" s="115">
        <f>L1174-J1174</f>
        <v>4968</v>
      </c>
      <c r="P1174" s="115">
        <f>O1174-M1174</f>
        <v>0</v>
      </c>
      <c r="Q1174" s="116">
        <v>8934</v>
      </c>
      <c r="R1174" s="116">
        <f>Q1174*12</f>
        <v>107208</v>
      </c>
      <c r="S1174" s="145">
        <f>R1174-L1174</f>
        <v>-21528</v>
      </c>
    </row>
    <row r="1175" spans="1:19" s="146" customFormat="1" ht="18" customHeight="1">
      <c r="A1175" s="183"/>
      <c r="B1175" s="1060"/>
      <c r="C1175" s="1060"/>
      <c r="D1175" s="1060"/>
      <c r="E1175" s="154"/>
      <c r="F1175" s="1060"/>
      <c r="G1175" s="140"/>
      <c r="H1175" s="141"/>
      <c r="I1175" s="184"/>
      <c r="J1175" s="143"/>
      <c r="K1175" s="184"/>
      <c r="L1175" s="143"/>
      <c r="M1175" s="144"/>
      <c r="N1175" s="1015"/>
      <c r="O1175" s="115"/>
      <c r="P1175" s="115"/>
      <c r="Q1175" s="116"/>
      <c r="R1175" s="116"/>
      <c r="S1175" s="117"/>
    </row>
    <row r="1176" spans="1:19" s="146" customFormat="1" ht="18" customHeight="1">
      <c r="A1176" s="183">
        <v>20</v>
      </c>
      <c r="B1176" s="1060"/>
      <c r="C1176" s="1060"/>
      <c r="D1176" s="1060"/>
      <c r="E1176" s="154" t="s">
        <v>150</v>
      </c>
      <c r="F1176" s="1060"/>
      <c r="G1176" s="140"/>
      <c r="H1176" s="141" t="s">
        <v>155</v>
      </c>
      <c r="I1176" s="184" t="s">
        <v>222</v>
      </c>
      <c r="J1176" s="143">
        <v>130116</v>
      </c>
      <c r="K1176" s="184" t="s">
        <v>222</v>
      </c>
      <c r="L1176" s="143">
        <v>135336</v>
      </c>
      <c r="M1176" s="144">
        <f>L1176-J1176</f>
        <v>5220</v>
      </c>
      <c r="N1176" s="1015">
        <f>L1176/12</f>
        <v>11278</v>
      </c>
      <c r="O1176" s="115">
        <f>L1176-J1176</f>
        <v>5220</v>
      </c>
      <c r="P1176" s="115">
        <f>O1176-M1176</f>
        <v>0</v>
      </c>
      <c r="Q1176" s="116">
        <v>9497</v>
      </c>
      <c r="R1176" s="116">
        <f>Q1176*12</f>
        <v>113964</v>
      </c>
      <c r="S1176" s="145">
        <f>R1176-L1176</f>
        <v>-21372</v>
      </c>
    </row>
    <row r="1177" spans="1:19" s="146" customFormat="1" ht="18" customHeight="1">
      <c r="A1177" s="183"/>
      <c r="B1177" s="1060"/>
      <c r="C1177" s="1060"/>
      <c r="D1177" s="1060"/>
      <c r="E1177" s="154"/>
      <c r="F1177" s="1060"/>
      <c r="G1177" s="140"/>
      <c r="H1177" s="141"/>
      <c r="I1177" s="184"/>
      <c r="J1177" s="143"/>
      <c r="K1177" s="184"/>
      <c r="L1177" s="143"/>
      <c r="M1177" s="144"/>
      <c r="N1177" s="1015"/>
      <c r="O1177" s="115"/>
      <c r="P1177" s="115"/>
      <c r="Q1177" s="116"/>
      <c r="R1177" s="116"/>
      <c r="S1177" s="117"/>
    </row>
    <row r="1178" spans="1:19" s="146" customFormat="1" ht="18" customHeight="1">
      <c r="A1178" s="183">
        <v>21</v>
      </c>
      <c r="B1178" s="1060"/>
      <c r="C1178" s="1060"/>
      <c r="D1178" s="1060"/>
      <c r="E1178" s="154" t="s">
        <v>156</v>
      </c>
      <c r="F1178" s="1060"/>
      <c r="G1178" s="140"/>
      <c r="H1178" s="141" t="s">
        <v>157</v>
      </c>
      <c r="I1178" s="184" t="s">
        <v>158</v>
      </c>
      <c r="J1178" s="143">
        <v>137628</v>
      </c>
      <c r="K1178" s="184" t="s">
        <v>158</v>
      </c>
      <c r="L1178" s="143">
        <v>143160</v>
      </c>
      <c r="M1178" s="144">
        <f>L1178-J1178</f>
        <v>5532</v>
      </c>
      <c r="N1178" s="1015">
        <f>L1178/12</f>
        <v>11930</v>
      </c>
      <c r="O1178" s="115">
        <f>L1178-J1178</f>
        <v>5532</v>
      </c>
      <c r="P1178" s="115">
        <f>O1178-M1178</f>
        <v>0</v>
      </c>
      <c r="Q1178" s="116">
        <v>10084</v>
      </c>
      <c r="R1178" s="116">
        <f>Q1178*12</f>
        <v>121008</v>
      </c>
      <c r="S1178" s="145">
        <f>R1178-L1178</f>
        <v>-22152</v>
      </c>
    </row>
    <row r="1179" spans="1:19" s="146" customFormat="1" ht="18" customHeight="1">
      <c r="A1179" s="183"/>
      <c r="B1179" s="1060"/>
      <c r="C1179" s="1060"/>
      <c r="D1179" s="1060"/>
      <c r="E1179" s="1059"/>
      <c r="F1179" s="197"/>
      <c r="G1179" s="140"/>
      <c r="H1179" s="141"/>
      <c r="I1179" s="205"/>
      <c r="J1179" s="244"/>
      <c r="K1179" s="205"/>
      <c r="L1179" s="244"/>
      <c r="M1179" s="144"/>
      <c r="N1179" s="1015"/>
      <c r="O1179" s="115"/>
      <c r="P1179" s="115"/>
      <c r="Q1179" s="116"/>
      <c r="R1179" s="116"/>
      <c r="S1179" s="117"/>
    </row>
    <row r="1180" spans="1:19" s="168" customFormat="1" ht="18" customHeight="1" thickBot="1">
      <c r="A1180" s="161"/>
      <c r="B1180" s="158"/>
      <c r="C1180" s="158"/>
      <c r="D1180" s="158"/>
      <c r="E1180" s="186"/>
      <c r="F1180" s="158"/>
      <c r="G1180" s="160"/>
      <c r="H1180" s="161" t="s">
        <v>159</v>
      </c>
      <c r="I1180" s="187"/>
      <c r="J1180" s="164">
        <f>SUM(J1130:J1179)</f>
        <v>3315852</v>
      </c>
      <c r="K1180" s="187"/>
      <c r="L1180" s="164"/>
      <c r="M1180" s="164">
        <f>SUM(M1130:M1179)</f>
        <v>133423</v>
      </c>
      <c r="N1180" s="171"/>
      <c r="O1180" s="165"/>
      <c r="P1180" s="165"/>
      <c r="Q1180" s="166"/>
      <c r="R1180" s="166"/>
      <c r="S1180" s="167"/>
    </row>
    <row r="1181" spans="1:19" s="168" customFormat="1" ht="18" customHeight="1" thickTop="1">
      <c r="A1181" s="188"/>
      <c r="B1181" s="188"/>
      <c r="C1181" s="188"/>
      <c r="D1181" s="188"/>
      <c r="E1181" s="188"/>
      <c r="F1181" s="188"/>
      <c r="G1181" s="189"/>
      <c r="H1181" s="188"/>
      <c r="I1181" s="188"/>
      <c r="J1181" s="171"/>
      <c r="K1181" s="190"/>
      <c r="L1181" s="171"/>
      <c r="M1181" s="171"/>
      <c r="N1181" s="171"/>
      <c r="O1181" s="165"/>
      <c r="P1181" s="165"/>
      <c r="Q1181" s="166"/>
      <c r="R1181" s="166"/>
      <c r="S1181" s="167"/>
    </row>
    <row r="1182" spans="1:19" s="168" customFormat="1" ht="18" customHeight="1">
      <c r="A1182" s="188"/>
      <c r="B1182" s="188"/>
      <c r="C1182" s="188"/>
      <c r="D1182" s="188"/>
      <c r="E1182" s="188"/>
      <c r="F1182" s="188"/>
      <c r="G1182" s="189"/>
      <c r="H1182" s="188"/>
      <c r="I1182" s="188"/>
      <c r="J1182" s="171"/>
      <c r="K1182" s="190"/>
      <c r="L1182" s="171"/>
      <c r="M1182" s="171"/>
      <c r="N1182" s="171"/>
      <c r="O1182" s="165"/>
      <c r="P1182" s="165"/>
      <c r="Q1182" s="166"/>
      <c r="R1182" s="166"/>
      <c r="S1182" s="167"/>
    </row>
    <row r="1183" spans="1:19" ht="18" customHeight="1">
      <c r="A1183" s="111"/>
      <c r="B1183" s="111"/>
      <c r="C1183" s="1050"/>
      <c r="D1183" s="1050"/>
      <c r="E1183" s="111"/>
      <c r="F1183" s="111"/>
      <c r="G1183" s="111"/>
      <c r="H1183" s="111"/>
      <c r="I1183" s="111"/>
      <c r="J1183" s="111"/>
      <c r="K1183" s="112"/>
      <c r="M1183" s="113"/>
      <c r="N1183" s="113"/>
    </row>
    <row r="1184" spans="1:19" ht="18" customHeight="1">
      <c r="A1184" s="111"/>
      <c r="B1184" s="111"/>
      <c r="C1184" s="1050"/>
      <c r="D1184" s="1050"/>
      <c r="E1184" s="111"/>
      <c r="F1184" s="111"/>
      <c r="G1184" s="111"/>
      <c r="H1184" s="111"/>
      <c r="I1184" s="111"/>
      <c r="J1184" s="111"/>
      <c r="K1184" s="112"/>
      <c r="M1184" s="113"/>
      <c r="N1184" s="113"/>
    </row>
    <row r="1185" spans="1:15" ht="18" customHeight="1">
      <c r="A1185" s="111"/>
      <c r="B1185" s="111"/>
      <c r="C1185" s="1050"/>
      <c r="D1185" s="1050"/>
      <c r="E1185" s="111"/>
      <c r="F1185" s="111"/>
      <c r="G1185" s="111"/>
      <c r="H1185" s="111"/>
      <c r="I1185" s="111"/>
      <c r="J1185" s="111"/>
      <c r="K1185" s="112"/>
      <c r="M1185" s="113"/>
      <c r="N1185" s="113"/>
    </row>
    <row r="1186" spans="1:15" ht="20.100000000000001" customHeight="1">
      <c r="A1186" s="1263" t="s">
        <v>1074</v>
      </c>
      <c r="B1186" s="1263"/>
      <c r="C1186" s="1263"/>
      <c r="D1186" s="1263"/>
      <c r="E1186" s="1263"/>
      <c r="F1186" s="1263"/>
      <c r="G1186" s="1263"/>
      <c r="H1186" s="1263"/>
      <c r="I1186" s="1263"/>
      <c r="J1186" s="1263"/>
      <c r="K1186" s="1263"/>
      <c r="L1186" s="1263"/>
      <c r="M1186" s="1263"/>
      <c r="N1186" s="1058"/>
    </row>
    <row r="1187" spans="1:15" ht="18" customHeight="1">
      <c r="A1187" s="110"/>
      <c r="B1187" s="110"/>
      <c r="C1187" s="1057"/>
      <c r="D1187" s="1057"/>
      <c r="E1187" s="111"/>
      <c r="F1187" s="111"/>
      <c r="G1187" s="111"/>
      <c r="H1187" s="111"/>
      <c r="I1187" s="111"/>
      <c r="J1187" s="111"/>
      <c r="K1187" s="112"/>
      <c r="M1187" s="114"/>
      <c r="N1187" s="114"/>
    </row>
    <row r="1188" spans="1:15" ht="18" customHeight="1">
      <c r="A1188" s="1319" t="s">
        <v>1675</v>
      </c>
      <c r="B1188" s="1319"/>
      <c r="C1188" s="1319"/>
      <c r="D1188" s="1319"/>
      <c r="E1188" s="1319"/>
      <c r="F1188" s="1319"/>
      <c r="G1188" s="1319"/>
      <c r="H1188" s="1319"/>
      <c r="I1188" s="1319"/>
      <c r="J1188" s="1319"/>
      <c r="K1188" s="1319"/>
      <c r="L1188" s="1319"/>
      <c r="M1188" s="1319"/>
      <c r="N1188" s="1048"/>
    </row>
    <row r="1189" spans="1:15" ht="18" customHeight="1">
      <c r="A1189" s="1320" t="s">
        <v>358</v>
      </c>
      <c r="B1189" s="1320"/>
      <c r="C1189" s="1320"/>
      <c r="D1189" s="1320"/>
      <c r="E1189" s="1320"/>
      <c r="F1189" s="1320"/>
      <c r="G1189" s="1320"/>
      <c r="H1189" s="1320"/>
      <c r="I1189" s="1320"/>
      <c r="J1189" s="1320"/>
      <c r="K1189" s="1320"/>
      <c r="L1189" s="1320"/>
      <c r="M1189" s="1320"/>
      <c r="N1189" s="1049"/>
    </row>
    <row r="1190" spans="1:15" ht="18" customHeight="1">
      <c r="A1190" s="1321"/>
      <c r="B1190" s="1321"/>
      <c r="C1190" s="1321"/>
      <c r="D1190" s="1321"/>
      <c r="E1190" s="1321"/>
      <c r="F1190" s="1321"/>
      <c r="G1190" s="1321"/>
      <c r="H1190" s="1321"/>
      <c r="I1190" s="1321"/>
      <c r="J1190" s="1321"/>
      <c r="K1190" s="1321"/>
      <c r="L1190" s="1321"/>
      <c r="M1190" s="1321"/>
      <c r="N1190" s="1050"/>
    </row>
    <row r="1191" spans="1:15" ht="18" customHeight="1">
      <c r="A1191" s="1050"/>
      <c r="B1191" s="1050"/>
      <c r="C1191" s="1050"/>
      <c r="D1191" s="1050"/>
      <c r="E1191" s="1050"/>
      <c r="F1191" s="1050"/>
      <c r="G1191" s="1050"/>
      <c r="H1191" s="1050"/>
      <c r="I1191" s="1050"/>
      <c r="J1191" s="1050"/>
      <c r="K1191" s="1050"/>
      <c r="L1191" s="1050"/>
      <c r="M1191" s="1050"/>
      <c r="N1191" s="1050"/>
    </row>
    <row r="1192" spans="1:15" ht="18" customHeight="1">
      <c r="A1192" s="111" t="s">
        <v>446</v>
      </c>
      <c r="B1192" s="111"/>
      <c r="C1192" s="111" t="s">
        <v>448</v>
      </c>
      <c r="D1192" s="111" t="s">
        <v>477</v>
      </c>
      <c r="E1192" s="111"/>
      <c r="F1192" s="111"/>
      <c r="G1192" s="111"/>
      <c r="H1192" s="111"/>
      <c r="I1192" s="112"/>
      <c r="J1192" s="1050"/>
      <c r="K1192" s="1050"/>
      <c r="L1192" s="1050"/>
      <c r="M1192" s="1050"/>
      <c r="N1192" s="1050"/>
    </row>
    <row r="1193" spans="1:15" ht="18" customHeight="1">
      <c r="A1193" s="111" t="s">
        <v>451</v>
      </c>
      <c r="B1193" s="111"/>
      <c r="C1193" s="111" t="s">
        <v>448</v>
      </c>
      <c r="D1193" s="111" t="s">
        <v>478</v>
      </c>
      <c r="E1193" s="111"/>
      <c r="F1193" s="111"/>
      <c r="G1193" s="111"/>
      <c r="H1193" s="111"/>
      <c r="I1193" s="112"/>
      <c r="J1193" s="1050"/>
      <c r="K1193" s="1050"/>
      <c r="L1193" s="1050"/>
      <c r="M1193" s="1050"/>
      <c r="N1193" s="1050"/>
      <c r="O1193" s="180"/>
    </row>
    <row r="1194" spans="1:15" ht="18" customHeight="1" thickBot="1">
      <c r="A1194" s="111" t="s">
        <v>455</v>
      </c>
      <c r="B1194" s="111"/>
      <c r="C1194" s="111" t="s">
        <v>448</v>
      </c>
      <c r="D1194" s="111" t="s">
        <v>683</v>
      </c>
      <c r="E1194" s="111"/>
      <c r="F1194" s="111"/>
      <c r="G1194" s="111"/>
      <c r="H1194" s="111"/>
      <c r="I1194" s="112"/>
      <c r="J1194" s="1050"/>
      <c r="K1194" s="1050"/>
      <c r="L1194" s="1050"/>
      <c r="M1194" s="1050"/>
      <c r="N1194" s="1050"/>
      <c r="O1194" s="180"/>
    </row>
    <row r="1195" spans="1:15" ht="18" customHeight="1">
      <c r="A1195" s="1322" t="s">
        <v>631</v>
      </c>
      <c r="B1195" s="1323"/>
      <c r="C1195" s="1323"/>
      <c r="D1195" s="1323"/>
      <c r="E1195" s="1324"/>
      <c r="F1195" s="1323"/>
      <c r="G1195" s="1325"/>
      <c r="H1195" s="121"/>
      <c r="I1195" s="1326" t="s">
        <v>635</v>
      </c>
      <c r="J1195" s="1327"/>
      <c r="K1195" s="1326" t="s">
        <v>635</v>
      </c>
      <c r="L1195" s="1327"/>
      <c r="M1195" s="122"/>
      <c r="N1195" s="1012"/>
      <c r="O1195" s="180"/>
    </row>
    <row r="1196" spans="1:15" ht="18" customHeight="1">
      <c r="A1196" s="123" t="s">
        <v>632</v>
      </c>
      <c r="B1196" s="1311" t="s">
        <v>633</v>
      </c>
      <c r="C1196" s="1312"/>
      <c r="D1196" s="1313"/>
      <c r="E1196" s="1314" t="s">
        <v>44</v>
      </c>
      <c r="F1196" s="1315"/>
      <c r="G1196" s="1316"/>
      <c r="H1196" s="1054" t="s">
        <v>45</v>
      </c>
      <c r="I1196" s="1314" t="s">
        <v>1502</v>
      </c>
      <c r="J1196" s="1316"/>
      <c r="K1196" s="1315" t="s">
        <v>1676</v>
      </c>
      <c r="L1196" s="1316"/>
      <c r="M1196" s="124" t="s">
        <v>46</v>
      </c>
      <c r="N1196" s="1013"/>
    </row>
    <row r="1197" spans="1:15" ht="18" customHeight="1">
      <c r="A1197" s="125"/>
      <c r="B1197" s="1054"/>
      <c r="C1197" s="1055"/>
      <c r="D1197" s="1055"/>
      <c r="E1197" s="1054"/>
      <c r="F1197" s="1055"/>
      <c r="G1197" s="1056"/>
      <c r="H1197" s="1054" t="s">
        <v>47</v>
      </c>
      <c r="I1197" s="1317"/>
      <c r="J1197" s="1318"/>
      <c r="K1197" s="1317"/>
      <c r="L1197" s="1318"/>
      <c r="M1197" s="124" t="s">
        <v>48</v>
      </c>
      <c r="N1197" s="1013"/>
    </row>
    <row r="1198" spans="1:15" ht="18" customHeight="1">
      <c r="A1198" s="125"/>
      <c r="B1198" s="1054"/>
      <c r="C1198" s="1055"/>
      <c r="D1198" s="1055"/>
      <c r="E1198" s="1054"/>
      <c r="F1198" s="1055"/>
      <c r="G1198" s="126"/>
      <c r="H1198" s="127"/>
      <c r="I1198" s="128" t="s">
        <v>634</v>
      </c>
      <c r="J1198" s="129" t="s">
        <v>49</v>
      </c>
      <c r="K1198" s="128" t="s">
        <v>634</v>
      </c>
      <c r="L1198" s="129" t="s">
        <v>49</v>
      </c>
      <c r="M1198" s="124"/>
      <c r="N1198" s="120" t="s">
        <v>1628</v>
      </c>
    </row>
    <row r="1199" spans="1:15" ht="18" customHeight="1" thickBot="1">
      <c r="A1199" s="130"/>
      <c r="B1199" s="1307"/>
      <c r="C1199" s="1308"/>
      <c r="D1199" s="1309"/>
      <c r="E1199" s="1307"/>
      <c r="F1199" s="1308"/>
      <c r="G1199" s="1309"/>
      <c r="H1199" s="131"/>
      <c r="I1199" s="131"/>
      <c r="J1199" s="131"/>
      <c r="K1199" s="131"/>
      <c r="L1199" s="131"/>
      <c r="M1199" s="132"/>
      <c r="N1199" s="1019" t="s">
        <v>1629</v>
      </c>
    </row>
    <row r="1200" spans="1:15" ht="18" customHeight="1">
      <c r="A1200" s="181"/>
      <c r="B1200" s="119"/>
      <c r="C1200" s="119"/>
      <c r="D1200" s="119"/>
      <c r="E1200" s="133"/>
      <c r="F1200" s="119"/>
      <c r="G1200" s="217"/>
      <c r="H1200" s="181"/>
      <c r="I1200" s="181"/>
      <c r="J1200" s="181"/>
      <c r="K1200" s="181"/>
      <c r="L1200" s="181"/>
      <c r="M1200" s="181"/>
      <c r="N1200" s="119"/>
    </row>
    <row r="1201" spans="1:19" s="146" customFormat="1" ht="18" customHeight="1">
      <c r="A1201" s="183">
        <v>22</v>
      </c>
      <c r="B1201" s="1060"/>
      <c r="C1201" s="1060"/>
      <c r="D1201" s="1060"/>
      <c r="E1201" s="154" t="s">
        <v>58</v>
      </c>
      <c r="F1201" s="1060"/>
      <c r="G1201" s="140"/>
      <c r="H1201" s="141" t="s">
        <v>162</v>
      </c>
      <c r="I1201" s="184" t="s">
        <v>1512</v>
      </c>
      <c r="J1201" s="143">
        <v>142752</v>
      </c>
      <c r="K1201" s="184" t="s">
        <v>1512</v>
      </c>
      <c r="L1201" s="143">
        <v>148560</v>
      </c>
      <c r="M1201" s="144">
        <f>L1201-J1201</f>
        <v>5808</v>
      </c>
      <c r="N1201" s="1015">
        <f t="shared" ref="N1201:N1202" si="31">L1201/12</f>
        <v>12380</v>
      </c>
      <c r="O1201" s="115">
        <f>L1201-J1201</f>
        <v>5808</v>
      </c>
      <c r="P1201" s="115">
        <f>O1201-M1201</f>
        <v>0</v>
      </c>
      <c r="Q1201" s="116">
        <v>10295</v>
      </c>
      <c r="R1201" s="116">
        <f>Q1201*12</f>
        <v>123540</v>
      </c>
      <c r="S1201" s="145">
        <f>R1201-L1201</f>
        <v>-25020</v>
      </c>
    </row>
    <row r="1202" spans="1:19" s="146" customFormat="1" ht="18" customHeight="1">
      <c r="A1202" s="183"/>
      <c r="B1202" s="1060"/>
      <c r="C1202" s="1060"/>
      <c r="D1202" s="1060"/>
      <c r="E1202" s="154"/>
      <c r="F1202" s="1060"/>
      <c r="G1202" s="140"/>
      <c r="H1202" s="141"/>
      <c r="I1202" s="184"/>
      <c r="J1202" s="143"/>
      <c r="K1202" s="184"/>
      <c r="L1202" s="143"/>
      <c r="M1202" s="144"/>
      <c r="N1202" s="1015">
        <f t="shared" si="31"/>
        <v>0</v>
      </c>
      <c r="O1202" s="115"/>
      <c r="P1202" s="115"/>
      <c r="Q1202" s="116"/>
      <c r="R1202" s="116"/>
      <c r="S1202" s="145"/>
    </row>
    <row r="1203" spans="1:19" s="146" customFormat="1" ht="18" customHeight="1">
      <c r="A1203" s="183"/>
      <c r="B1203" s="1060"/>
      <c r="C1203" s="1060"/>
      <c r="D1203" s="1060"/>
      <c r="E1203" s="154"/>
      <c r="F1203" s="1060"/>
      <c r="G1203" s="140"/>
      <c r="H1203" s="141"/>
      <c r="I1203" s="184"/>
      <c r="J1203" s="143"/>
      <c r="K1203" s="184"/>
      <c r="L1203" s="149"/>
      <c r="M1203" s="144"/>
      <c r="N1203" s="1015"/>
      <c r="O1203" s="115"/>
      <c r="P1203" s="115"/>
      <c r="Q1203" s="116">
        <v>10380</v>
      </c>
      <c r="R1203" s="116">
        <f>Q1203*12</f>
        <v>124560</v>
      </c>
      <c r="S1203" s="145">
        <f>R1203-L1203</f>
        <v>124560</v>
      </c>
    </row>
    <row r="1204" spans="1:19" s="146" customFormat="1" ht="18" customHeight="1">
      <c r="A1204" s="183"/>
      <c r="B1204" s="1060"/>
      <c r="C1204" s="1060"/>
      <c r="D1204" s="1060"/>
      <c r="E1204" s="154"/>
      <c r="F1204" s="1060"/>
      <c r="G1204" s="140"/>
      <c r="H1204" s="141"/>
      <c r="I1204" s="184"/>
      <c r="J1204" s="149"/>
      <c r="K1204" s="184"/>
      <c r="L1204" s="149"/>
      <c r="M1204" s="144"/>
      <c r="N1204" s="1015"/>
      <c r="O1204" s="115"/>
      <c r="P1204" s="115"/>
      <c r="Q1204" s="116"/>
      <c r="R1204" s="116"/>
      <c r="S1204" s="117"/>
    </row>
    <row r="1205" spans="1:19" s="146" customFormat="1" ht="18" customHeight="1">
      <c r="A1205" s="183"/>
      <c r="B1205" s="1060"/>
      <c r="C1205" s="1060"/>
      <c r="D1205" s="1060"/>
      <c r="E1205" s="154"/>
      <c r="F1205" s="1060"/>
      <c r="G1205" s="140"/>
      <c r="H1205" s="141"/>
      <c r="I1205" s="185"/>
      <c r="J1205" s="143"/>
      <c r="K1205" s="185"/>
      <c r="L1205" s="143"/>
      <c r="M1205" s="144"/>
      <c r="N1205" s="1015"/>
      <c r="O1205" s="115"/>
      <c r="P1205" s="115"/>
      <c r="Q1205" s="116"/>
      <c r="R1205" s="116"/>
      <c r="S1205" s="117"/>
    </row>
    <row r="1206" spans="1:19" s="146" customFormat="1" ht="18" customHeight="1">
      <c r="A1206" s="183">
        <v>23</v>
      </c>
      <c r="B1206" s="1060"/>
      <c r="C1206" s="1060"/>
      <c r="D1206" s="1060"/>
      <c r="E1206" s="154" t="s">
        <v>58</v>
      </c>
      <c r="F1206" s="1060"/>
      <c r="G1206" s="140"/>
      <c r="H1206" s="141" t="s">
        <v>163</v>
      </c>
      <c r="I1206" s="184" t="s">
        <v>1512</v>
      </c>
      <c r="J1206" s="143">
        <v>142752</v>
      </c>
      <c r="K1206" s="184" t="s">
        <v>1512</v>
      </c>
      <c r="L1206" s="143">
        <v>148560</v>
      </c>
      <c r="M1206" s="144">
        <f>L1206-J1206</f>
        <v>5808</v>
      </c>
      <c r="N1206" s="1015">
        <f t="shared" ref="N1206:N1207" si="32">L1206/12</f>
        <v>12380</v>
      </c>
      <c r="O1206" s="115">
        <f>L1206-J1206</f>
        <v>5808</v>
      </c>
      <c r="P1206" s="115">
        <f>O1206-M1206</f>
        <v>0</v>
      </c>
      <c r="Q1206" s="116">
        <v>10295</v>
      </c>
      <c r="R1206" s="116">
        <f>Q1206*12</f>
        <v>123540</v>
      </c>
      <c r="S1206" s="145">
        <f>R1206-L1206</f>
        <v>-25020</v>
      </c>
    </row>
    <row r="1207" spans="1:19" s="146" customFormat="1" ht="18" customHeight="1">
      <c r="A1207" s="183"/>
      <c r="B1207" s="1060"/>
      <c r="C1207" s="1060"/>
      <c r="D1207" s="1060"/>
      <c r="E1207" s="154"/>
      <c r="F1207" s="1060"/>
      <c r="G1207" s="140"/>
      <c r="H1207" s="141"/>
      <c r="I1207" s="184"/>
      <c r="J1207" s="143"/>
      <c r="K1207" s="184"/>
      <c r="L1207" s="143"/>
      <c r="M1207" s="144"/>
      <c r="N1207" s="1015">
        <f t="shared" si="32"/>
        <v>0</v>
      </c>
      <c r="O1207" s="115"/>
      <c r="P1207" s="115"/>
      <c r="Q1207" s="116">
        <v>10380</v>
      </c>
      <c r="R1207" s="116">
        <f>Q1207*12</f>
        <v>124560</v>
      </c>
      <c r="S1207" s="145">
        <f>R1207-L1207</f>
        <v>124560</v>
      </c>
    </row>
    <row r="1208" spans="1:19" s="146" customFormat="1" ht="18" customHeight="1">
      <c r="A1208" s="183"/>
      <c r="B1208" s="1060"/>
      <c r="C1208" s="1060"/>
      <c r="D1208" s="1060"/>
      <c r="E1208" s="154"/>
      <c r="F1208" s="1060"/>
      <c r="G1208" s="140"/>
      <c r="H1208" s="141"/>
      <c r="I1208" s="185"/>
      <c r="J1208" s="149"/>
      <c r="K1208" s="185"/>
      <c r="L1208" s="149"/>
      <c r="M1208" s="143"/>
      <c r="N1208" s="170"/>
      <c r="O1208" s="115"/>
      <c r="P1208" s="115"/>
      <c r="Q1208" s="116"/>
      <c r="R1208" s="116"/>
      <c r="S1208" s="117"/>
    </row>
    <row r="1209" spans="1:19" s="146" customFormat="1" ht="18" customHeight="1">
      <c r="A1209" s="183"/>
      <c r="B1209" s="1060"/>
      <c r="C1209" s="1060"/>
      <c r="D1209" s="1060"/>
      <c r="E1209" s="1059"/>
      <c r="F1209" s="1060"/>
      <c r="G1209" s="140"/>
      <c r="H1209" s="141"/>
      <c r="I1209" s="205"/>
      <c r="J1209" s="143"/>
      <c r="K1209" s="205"/>
      <c r="L1209" s="143"/>
      <c r="M1209" s="144"/>
      <c r="N1209" s="1015"/>
      <c r="O1209" s="115"/>
      <c r="P1209" s="115"/>
      <c r="Q1209" s="116"/>
      <c r="R1209" s="116"/>
      <c r="S1209" s="117"/>
    </row>
    <row r="1210" spans="1:19" s="146" customFormat="1" ht="18" customHeight="1">
      <c r="A1210" s="183"/>
      <c r="B1210" s="1060"/>
      <c r="C1210" s="1060"/>
      <c r="D1210" s="1060"/>
      <c r="E1210" s="1059"/>
      <c r="F1210" s="1060"/>
      <c r="G1210" s="140"/>
      <c r="H1210" s="141"/>
      <c r="I1210" s="205"/>
      <c r="J1210" s="143"/>
      <c r="K1210" s="205"/>
      <c r="L1210" s="143"/>
      <c r="M1210" s="144"/>
      <c r="N1210" s="1015"/>
      <c r="O1210" s="115"/>
      <c r="P1210" s="115"/>
      <c r="Q1210" s="116"/>
      <c r="R1210" s="116"/>
      <c r="S1210" s="117"/>
    </row>
    <row r="1211" spans="1:19" s="146" customFormat="1" ht="18" customHeight="1">
      <c r="A1211" s="183">
        <v>24</v>
      </c>
      <c r="B1211" s="1328"/>
      <c r="C1211" s="1329"/>
      <c r="D1211" s="1330"/>
      <c r="E1211" s="154" t="s">
        <v>1572</v>
      </c>
      <c r="F1211" s="1060"/>
      <c r="G1211" s="140"/>
      <c r="H1211" s="141" t="s">
        <v>283</v>
      </c>
      <c r="I1211" s="184" t="s">
        <v>164</v>
      </c>
      <c r="J1211" s="143">
        <v>186156</v>
      </c>
      <c r="K1211" s="184" t="s">
        <v>164</v>
      </c>
      <c r="L1211" s="143">
        <v>193776</v>
      </c>
      <c r="M1211" s="144">
        <f>L1211-J1211</f>
        <v>7620</v>
      </c>
      <c r="N1211" s="1015">
        <f>L1211/12</f>
        <v>16148</v>
      </c>
      <c r="O1211" s="115"/>
      <c r="P1211" s="115"/>
      <c r="Q1211" s="116"/>
      <c r="R1211" s="116"/>
      <c r="S1211" s="117"/>
    </row>
    <row r="1212" spans="1:19" s="146" customFormat="1" ht="18" customHeight="1">
      <c r="A1212" s="183"/>
      <c r="B1212" s="1060"/>
      <c r="C1212" s="1060"/>
      <c r="D1212" s="1060"/>
      <c r="E1212" s="1059"/>
      <c r="F1212" s="1060"/>
      <c r="G1212" s="140"/>
      <c r="H1212" s="141"/>
      <c r="I1212" s="205"/>
      <c r="J1212" s="143"/>
      <c r="K1212" s="205"/>
      <c r="L1212" s="143"/>
      <c r="M1212" s="144"/>
      <c r="N1212" s="1015"/>
      <c r="O1212" s="115"/>
      <c r="P1212" s="115"/>
      <c r="Q1212" s="116"/>
      <c r="R1212" s="116"/>
      <c r="S1212" s="117"/>
    </row>
    <row r="1213" spans="1:19" s="146" customFormat="1" ht="18" customHeight="1">
      <c r="A1213" s="183"/>
      <c r="B1213" s="1060"/>
      <c r="C1213" s="1060"/>
      <c r="D1213" s="1060"/>
      <c r="E1213" s="1059"/>
      <c r="F1213" s="1060"/>
      <c r="G1213" s="140"/>
      <c r="H1213" s="141"/>
      <c r="I1213" s="205"/>
      <c r="J1213" s="143"/>
      <c r="K1213" s="205"/>
      <c r="L1213" s="143"/>
      <c r="M1213" s="144"/>
      <c r="N1213" s="1015"/>
      <c r="O1213" s="115"/>
      <c r="P1213" s="115"/>
      <c r="Q1213" s="116"/>
      <c r="R1213" s="116"/>
      <c r="S1213" s="117"/>
    </row>
    <row r="1214" spans="1:19" s="146" customFormat="1" ht="18" customHeight="1">
      <c r="A1214" s="183"/>
      <c r="B1214" s="1060"/>
      <c r="C1214" s="1060"/>
      <c r="D1214" s="1060"/>
      <c r="E1214" s="1059"/>
      <c r="F1214" s="1060"/>
      <c r="G1214" s="140"/>
      <c r="H1214" s="141"/>
      <c r="I1214" s="205"/>
      <c r="J1214" s="143"/>
      <c r="K1214" s="205"/>
      <c r="L1214" s="143"/>
      <c r="M1214" s="144"/>
      <c r="N1214" s="1015"/>
      <c r="O1214" s="115"/>
      <c r="P1214" s="115"/>
      <c r="Q1214" s="116"/>
      <c r="R1214" s="116"/>
      <c r="S1214" s="117"/>
    </row>
    <row r="1215" spans="1:19" s="146" customFormat="1" ht="18" customHeight="1">
      <c r="A1215" s="183"/>
      <c r="B1215" s="1060"/>
      <c r="C1215" s="1060"/>
      <c r="D1215" s="1060"/>
      <c r="E1215" s="1059"/>
      <c r="F1215" s="1060"/>
      <c r="G1215" s="140"/>
      <c r="H1215" s="141"/>
      <c r="I1215" s="205"/>
      <c r="J1215" s="143"/>
      <c r="K1215" s="205"/>
      <c r="L1215" s="143"/>
      <c r="M1215" s="144"/>
      <c r="N1215" s="1015"/>
      <c r="O1215" s="115"/>
      <c r="P1215" s="115"/>
      <c r="Q1215" s="116"/>
      <c r="R1215" s="116"/>
      <c r="S1215" s="117"/>
    </row>
    <row r="1216" spans="1:19" s="146" customFormat="1" ht="18" customHeight="1">
      <c r="A1216" s="183"/>
      <c r="B1216" s="1060"/>
      <c r="C1216" s="1060"/>
      <c r="D1216" s="1060"/>
      <c r="E1216" s="1059"/>
      <c r="F1216" s="1060"/>
      <c r="G1216" s="140"/>
      <c r="H1216" s="141"/>
      <c r="I1216" s="205"/>
      <c r="J1216" s="143"/>
      <c r="K1216" s="205"/>
      <c r="L1216" s="143"/>
      <c r="M1216" s="144"/>
      <c r="N1216" s="1015"/>
      <c r="O1216" s="115"/>
      <c r="P1216" s="115"/>
      <c r="Q1216" s="116"/>
      <c r="R1216" s="116"/>
      <c r="S1216" s="117"/>
    </row>
    <row r="1217" spans="1:19" s="146" customFormat="1" ht="18" customHeight="1">
      <c r="A1217" s="183"/>
      <c r="B1217" s="1060"/>
      <c r="C1217" s="1060"/>
      <c r="D1217" s="1060"/>
      <c r="E1217" s="1059"/>
      <c r="F1217" s="1060"/>
      <c r="G1217" s="140"/>
      <c r="H1217" s="141"/>
      <c r="I1217" s="205"/>
      <c r="J1217" s="143"/>
      <c r="K1217" s="205"/>
      <c r="L1217" s="143"/>
      <c r="M1217" s="144"/>
      <c r="N1217" s="1015"/>
      <c r="O1217" s="115"/>
      <c r="P1217" s="115"/>
      <c r="Q1217" s="116"/>
      <c r="R1217" s="116"/>
      <c r="S1217" s="117"/>
    </row>
    <row r="1218" spans="1:19" s="146" customFormat="1" ht="18" customHeight="1">
      <c r="A1218" s="183"/>
      <c r="B1218" s="1060"/>
      <c r="C1218" s="1060"/>
      <c r="D1218" s="1060"/>
      <c r="E1218" s="1059"/>
      <c r="F1218" s="1060"/>
      <c r="G1218" s="140"/>
      <c r="H1218" s="141"/>
      <c r="I1218" s="205"/>
      <c r="J1218" s="143"/>
      <c r="K1218" s="205"/>
      <c r="L1218" s="143"/>
      <c r="M1218" s="144"/>
      <c r="N1218" s="1015"/>
      <c r="O1218" s="115"/>
      <c r="P1218" s="115"/>
      <c r="Q1218" s="116"/>
      <c r="R1218" s="116"/>
      <c r="S1218" s="117"/>
    </row>
    <row r="1219" spans="1:19" s="146" customFormat="1" ht="18" customHeight="1">
      <c r="A1219" s="183"/>
      <c r="B1219" s="1060"/>
      <c r="C1219" s="1060"/>
      <c r="D1219" s="1060"/>
      <c r="E1219" s="1059"/>
      <c r="F1219" s="1060"/>
      <c r="G1219" s="140"/>
      <c r="H1219" s="141"/>
      <c r="I1219" s="205"/>
      <c r="J1219" s="143"/>
      <c r="K1219" s="205"/>
      <c r="L1219" s="143"/>
      <c r="M1219" s="144"/>
      <c r="N1219" s="1015"/>
      <c r="O1219" s="115"/>
      <c r="P1219" s="115"/>
      <c r="Q1219" s="116"/>
      <c r="R1219" s="116"/>
      <c r="S1219" s="117"/>
    </row>
    <row r="1220" spans="1:19" s="146" customFormat="1" ht="18" customHeight="1">
      <c r="A1220" s="183"/>
      <c r="B1220" s="1060"/>
      <c r="C1220" s="1060"/>
      <c r="D1220" s="1060"/>
      <c r="E1220" s="1059"/>
      <c r="F1220" s="1060"/>
      <c r="G1220" s="140"/>
      <c r="H1220" s="141"/>
      <c r="I1220" s="205"/>
      <c r="J1220" s="143"/>
      <c r="K1220" s="205"/>
      <c r="L1220" s="143"/>
      <c r="M1220" s="144"/>
      <c r="N1220" s="1015"/>
      <c r="O1220" s="115"/>
      <c r="P1220" s="115"/>
      <c r="Q1220" s="116"/>
      <c r="R1220" s="116"/>
      <c r="S1220" s="117"/>
    </row>
    <row r="1221" spans="1:19" s="146" customFormat="1" ht="18" customHeight="1">
      <c r="A1221" s="183"/>
      <c r="B1221" s="1060"/>
      <c r="C1221" s="1060"/>
      <c r="D1221" s="1060"/>
      <c r="E1221" s="1059"/>
      <c r="F1221" s="1060"/>
      <c r="G1221" s="140"/>
      <c r="H1221" s="141"/>
      <c r="I1221" s="205"/>
      <c r="J1221" s="143"/>
      <c r="K1221" s="205"/>
      <c r="L1221" s="143"/>
      <c r="M1221" s="143"/>
      <c r="N1221" s="170"/>
      <c r="O1221" s="115"/>
      <c r="P1221" s="115"/>
      <c r="Q1221" s="116"/>
      <c r="R1221" s="116"/>
      <c r="S1221" s="117"/>
    </row>
    <row r="1222" spans="1:19" s="146" customFormat="1" ht="18" customHeight="1">
      <c r="A1222" s="183"/>
      <c r="B1222" s="1060"/>
      <c r="C1222" s="1060"/>
      <c r="D1222" s="1060"/>
      <c r="E1222" s="1059"/>
      <c r="F1222" s="1060"/>
      <c r="G1222" s="140"/>
      <c r="H1222" s="141"/>
      <c r="I1222" s="205"/>
      <c r="J1222" s="143"/>
      <c r="K1222" s="205"/>
      <c r="L1222" s="143"/>
      <c r="M1222" s="144"/>
      <c r="N1222" s="1015"/>
      <c r="O1222" s="115"/>
      <c r="P1222" s="115"/>
      <c r="Q1222" s="116"/>
      <c r="R1222" s="116"/>
      <c r="S1222" s="117"/>
    </row>
    <row r="1223" spans="1:19" s="146" customFormat="1" ht="18" customHeight="1">
      <c r="A1223" s="183"/>
      <c r="B1223" s="1060"/>
      <c r="C1223" s="1060"/>
      <c r="D1223" s="1060"/>
      <c r="E1223" s="1059"/>
      <c r="F1223" s="1060"/>
      <c r="G1223" s="140"/>
      <c r="H1223" s="141"/>
      <c r="I1223" s="205"/>
      <c r="J1223" s="143"/>
      <c r="K1223" s="205"/>
      <c r="L1223" s="143"/>
      <c r="M1223" s="144"/>
      <c r="N1223" s="1015"/>
      <c r="O1223" s="115"/>
      <c r="P1223" s="115"/>
      <c r="Q1223" s="116"/>
      <c r="R1223" s="116"/>
      <c r="S1223" s="117"/>
    </row>
    <row r="1224" spans="1:19" s="146" customFormat="1" ht="18" customHeight="1">
      <c r="A1224" s="183"/>
      <c r="B1224" s="1060"/>
      <c r="C1224" s="1060"/>
      <c r="D1224" s="1060"/>
      <c r="E1224" s="1059"/>
      <c r="F1224" s="1060"/>
      <c r="G1224" s="140"/>
      <c r="H1224" s="141"/>
      <c r="I1224" s="205"/>
      <c r="J1224" s="244"/>
      <c r="K1224" s="205"/>
      <c r="L1224" s="244"/>
      <c r="M1224" s="144"/>
      <c r="N1224" s="1015"/>
      <c r="O1224" s="115"/>
      <c r="P1224" s="115"/>
      <c r="Q1224" s="116"/>
      <c r="R1224" s="116"/>
      <c r="S1224" s="117"/>
    </row>
    <row r="1225" spans="1:19" s="146" customFormat="1" ht="18" customHeight="1">
      <c r="A1225" s="183"/>
      <c r="B1225" s="1060"/>
      <c r="C1225" s="1060"/>
      <c r="D1225" s="1060"/>
      <c r="E1225" s="1059"/>
      <c r="F1225" s="1060"/>
      <c r="G1225" s="140"/>
      <c r="H1225" s="141"/>
      <c r="I1225" s="142"/>
      <c r="J1225" s="143"/>
      <c r="K1225" s="142"/>
      <c r="L1225" s="143"/>
      <c r="M1225" s="143"/>
      <c r="N1225" s="170"/>
      <c r="O1225" s="115"/>
      <c r="P1225" s="115"/>
      <c r="Q1225" s="116"/>
      <c r="R1225" s="116"/>
      <c r="S1225" s="117"/>
    </row>
    <row r="1226" spans="1:19" s="146" customFormat="1" ht="18" customHeight="1">
      <c r="A1226" s="183"/>
      <c r="B1226" s="1060"/>
      <c r="C1226" s="1060"/>
      <c r="D1226" s="1060"/>
      <c r="E1226" s="1059"/>
      <c r="F1226" s="1060"/>
      <c r="G1226" s="140"/>
      <c r="H1226" s="141"/>
      <c r="I1226" s="205"/>
      <c r="J1226" s="143"/>
      <c r="K1226" s="205"/>
      <c r="L1226" s="143"/>
      <c r="M1226" s="144"/>
      <c r="N1226" s="1015"/>
      <c r="O1226" s="115"/>
      <c r="P1226" s="115"/>
      <c r="Q1226" s="116"/>
      <c r="R1226" s="116"/>
      <c r="S1226" s="117"/>
    </row>
    <row r="1227" spans="1:19" s="146" customFormat="1" ht="18" customHeight="1">
      <c r="A1227" s="183"/>
      <c r="B1227" s="1060"/>
      <c r="C1227" s="1060"/>
      <c r="D1227" s="1060"/>
      <c r="E1227" s="1059"/>
      <c r="F1227" s="1060"/>
      <c r="G1227" s="140"/>
      <c r="H1227" s="141"/>
      <c r="I1227" s="205"/>
      <c r="J1227" s="143"/>
      <c r="K1227" s="205"/>
      <c r="L1227" s="143"/>
      <c r="M1227" s="144"/>
      <c r="N1227" s="1015"/>
      <c r="O1227" s="115"/>
      <c r="P1227" s="115"/>
      <c r="Q1227" s="116"/>
      <c r="R1227" s="116"/>
      <c r="S1227" s="117"/>
    </row>
    <row r="1228" spans="1:19" s="146" customFormat="1" ht="18" customHeight="1">
      <c r="A1228" s="183"/>
      <c r="B1228" s="1060"/>
      <c r="C1228" s="1060"/>
      <c r="D1228" s="1060"/>
      <c r="E1228" s="1059"/>
      <c r="F1228" s="1060"/>
      <c r="G1228" s="140"/>
      <c r="H1228" s="141"/>
      <c r="I1228" s="205"/>
      <c r="J1228" s="143"/>
      <c r="K1228" s="205"/>
      <c r="L1228" s="143"/>
      <c r="M1228" s="143"/>
      <c r="N1228" s="170"/>
      <c r="O1228" s="115"/>
      <c r="P1228" s="115"/>
      <c r="Q1228" s="116"/>
      <c r="R1228" s="116"/>
      <c r="S1228" s="117"/>
    </row>
    <row r="1229" spans="1:19" s="146" customFormat="1" ht="18" customHeight="1">
      <c r="A1229" s="183"/>
      <c r="B1229" s="1060"/>
      <c r="C1229" s="1060"/>
      <c r="D1229" s="1060"/>
      <c r="E1229" s="1059"/>
      <c r="F1229" s="1060"/>
      <c r="G1229" s="140"/>
      <c r="H1229" s="141"/>
      <c r="I1229" s="205"/>
      <c r="J1229" s="143"/>
      <c r="K1229" s="205"/>
      <c r="L1229" s="143"/>
      <c r="M1229" s="144"/>
      <c r="N1229" s="1015"/>
      <c r="O1229" s="115"/>
      <c r="P1229" s="115"/>
      <c r="Q1229" s="116"/>
      <c r="R1229" s="116"/>
      <c r="S1229" s="117"/>
    </row>
    <row r="1230" spans="1:19" s="146" customFormat="1" ht="18" customHeight="1">
      <c r="A1230" s="183"/>
      <c r="B1230" s="1060"/>
      <c r="C1230" s="1060"/>
      <c r="D1230" s="1060"/>
      <c r="E1230" s="1059"/>
      <c r="F1230" s="1060"/>
      <c r="G1230" s="140"/>
      <c r="H1230" s="141"/>
      <c r="I1230" s="205"/>
      <c r="J1230" s="143"/>
      <c r="K1230" s="205"/>
      <c r="L1230" s="143"/>
      <c r="M1230" s="143"/>
      <c r="N1230" s="170"/>
      <c r="O1230" s="115"/>
      <c r="P1230" s="115"/>
      <c r="Q1230" s="116"/>
      <c r="R1230" s="116"/>
      <c r="S1230" s="117"/>
    </row>
    <row r="1231" spans="1:19" s="146" customFormat="1" ht="18" customHeight="1">
      <c r="A1231" s="196"/>
      <c r="B1231" s="1060"/>
      <c r="C1231" s="1060"/>
      <c r="D1231" s="1060"/>
      <c r="E1231" s="1059"/>
      <c r="F1231" s="1060"/>
      <c r="G1231" s="140"/>
      <c r="H1231" s="141"/>
      <c r="I1231" s="205"/>
      <c r="J1231" s="143"/>
      <c r="K1231" s="205"/>
      <c r="L1231" s="143"/>
      <c r="M1231" s="144"/>
      <c r="N1231" s="1015"/>
      <c r="O1231" s="115"/>
      <c r="P1231" s="115"/>
      <c r="Q1231" s="116"/>
      <c r="R1231" s="116"/>
      <c r="S1231" s="117"/>
    </row>
    <row r="1232" spans="1:19" s="146" customFormat="1" ht="18" customHeight="1">
      <c r="A1232" s="204"/>
      <c r="B1232" s="245"/>
      <c r="C1232" s="245"/>
      <c r="D1232" s="245"/>
      <c r="E1232" s="246"/>
      <c r="F1232" s="245"/>
      <c r="G1232" s="247"/>
      <c r="H1232" s="204" t="s">
        <v>165</v>
      </c>
      <c r="I1232" s="249"/>
      <c r="J1232" s="248">
        <f>SUM(J1201:J1231)</f>
        <v>471660</v>
      </c>
      <c r="K1232" s="249"/>
      <c r="L1232" s="248"/>
      <c r="M1232" s="248">
        <f>SUM(M1201:M1231)</f>
        <v>19236</v>
      </c>
      <c r="N1232" s="171"/>
      <c r="O1232" s="115"/>
      <c r="P1232" s="115"/>
      <c r="Q1232" s="116"/>
      <c r="R1232" s="116"/>
      <c r="S1232" s="117"/>
    </row>
    <row r="1233" spans="1:19" s="146" customFormat="1" ht="18" customHeight="1">
      <c r="A1233" s="183"/>
      <c r="B1233" s="1060"/>
      <c r="C1233" s="1060"/>
      <c r="D1233" s="1060"/>
      <c r="E1233" s="1059"/>
      <c r="F1233" s="1060"/>
      <c r="G1233" s="140"/>
      <c r="H1233" s="141"/>
      <c r="I1233" s="205"/>
      <c r="J1233" s="244"/>
      <c r="K1233" s="205"/>
      <c r="L1233" s="244"/>
      <c r="M1233" s="144"/>
      <c r="N1233" s="1015"/>
      <c r="O1233" s="115"/>
      <c r="P1233" s="115"/>
      <c r="Q1233" s="116"/>
      <c r="R1233" s="116"/>
      <c r="S1233" s="117"/>
    </row>
    <row r="1234" spans="1:19" s="146" customFormat="1" ht="18" customHeight="1">
      <c r="A1234" s="183"/>
      <c r="B1234" s="1060"/>
      <c r="C1234" s="1060"/>
      <c r="D1234" s="1060"/>
      <c r="E1234" s="1059"/>
      <c r="F1234" s="1060"/>
      <c r="G1234" s="140"/>
      <c r="H1234" s="141"/>
      <c r="I1234" s="142"/>
      <c r="J1234" s="244"/>
      <c r="K1234" s="142"/>
      <c r="L1234" s="244"/>
      <c r="M1234" s="143"/>
      <c r="N1234" s="170"/>
      <c r="O1234" s="115"/>
      <c r="P1234" s="115"/>
      <c r="Q1234" s="116"/>
      <c r="R1234" s="116"/>
      <c r="S1234" s="117"/>
    </row>
    <row r="1235" spans="1:19" s="146" customFormat="1" ht="18" customHeight="1">
      <c r="A1235" s="250"/>
      <c r="B1235" s="251"/>
      <c r="C1235" s="251"/>
      <c r="D1235" s="251"/>
      <c r="E1235" s="252"/>
      <c r="F1235" s="251"/>
      <c r="G1235" s="253"/>
      <c r="H1235" s="204" t="s">
        <v>42</v>
      </c>
      <c r="I1235" s="254"/>
      <c r="J1235" s="248">
        <f>J1232+J1180</f>
        <v>3787512</v>
      </c>
      <c r="K1235" s="254"/>
      <c r="L1235" s="248"/>
      <c r="M1235" s="248">
        <f>M1232+M1180</f>
        <v>152659</v>
      </c>
      <c r="N1235" s="171"/>
      <c r="O1235" s="115"/>
      <c r="P1235" s="115"/>
      <c r="Q1235" s="116"/>
      <c r="R1235" s="116"/>
      <c r="S1235" s="117"/>
    </row>
    <row r="1236" spans="1:19" s="146" customFormat="1" ht="18" customHeight="1">
      <c r="A1236" s="1060"/>
      <c r="B1236" s="1060"/>
      <c r="C1236" s="1060"/>
      <c r="D1236" s="1060"/>
      <c r="E1236" s="1060"/>
      <c r="F1236" s="1060"/>
      <c r="G1236" s="155"/>
      <c r="H1236" s="188"/>
      <c r="I1236" s="1060"/>
      <c r="J1236" s="171"/>
      <c r="K1236" s="152"/>
      <c r="L1236" s="170"/>
      <c r="M1236" s="171"/>
      <c r="N1236" s="171"/>
      <c r="O1236" s="115"/>
      <c r="P1236" s="115"/>
      <c r="Q1236" s="116"/>
      <c r="R1236" s="116"/>
      <c r="S1236" s="117"/>
    </row>
    <row r="1237" spans="1:19" s="146" customFormat="1" ht="18" customHeight="1">
      <c r="A1237" s="1060"/>
      <c r="B1237" s="1060"/>
      <c r="C1237" s="1060"/>
      <c r="D1237" s="1060"/>
      <c r="E1237" s="1060"/>
      <c r="F1237" s="1060"/>
      <c r="G1237" s="155"/>
      <c r="H1237" s="188"/>
      <c r="I1237" s="1060"/>
      <c r="J1237" s="171"/>
      <c r="K1237" s="152"/>
      <c r="L1237" s="170"/>
      <c r="M1237" s="171"/>
      <c r="N1237" s="171"/>
      <c r="O1237" s="115"/>
      <c r="P1237" s="115"/>
      <c r="Q1237" s="116"/>
      <c r="R1237" s="116"/>
      <c r="S1237" s="117"/>
    </row>
    <row r="1238" spans="1:19" s="146" customFormat="1" ht="18" customHeight="1">
      <c r="A1238" s="1060"/>
      <c r="B1238" s="1060"/>
      <c r="C1238" s="1060"/>
      <c r="D1238" s="1060"/>
      <c r="E1238" s="1060"/>
      <c r="F1238" s="1060"/>
      <c r="G1238" s="155"/>
      <c r="H1238" s="188"/>
      <c r="I1238" s="1060"/>
      <c r="J1238" s="171"/>
      <c r="K1238" s="152"/>
      <c r="L1238" s="170"/>
      <c r="M1238" s="171"/>
      <c r="N1238" s="171"/>
      <c r="O1238" s="115"/>
      <c r="P1238" s="115"/>
      <c r="Q1238" s="116"/>
      <c r="R1238" s="116"/>
      <c r="S1238" s="117"/>
    </row>
    <row r="1239" spans="1:19" s="146" customFormat="1" ht="18" customHeight="1">
      <c r="A1239" s="173" t="s">
        <v>626</v>
      </c>
      <c r="B1239" s="173"/>
      <c r="C1239" s="1052"/>
      <c r="D1239" s="1052"/>
      <c r="E1239" s="174"/>
      <c r="F1239" s="174"/>
      <c r="G1239" s="174"/>
      <c r="H1239" s="173" t="s">
        <v>627</v>
      </c>
      <c r="I1239" s="174"/>
      <c r="K1239" s="173" t="s">
        <v>258</v>
      </c>
      <c r="L1239" s="175"/>
      <c r="M1239" s="175"/>
      <c r="N1239" s="175"/>
      <c r="O1239" s="115"/>
      <c r="P1239" s="115"/>
      <c r="Q1239" s="116"/>
      <c r="R1239" s="116"/>
      <c r="S1239" s="117"/>
    </row>
    <row r="1240" spans="1:19" s="146" customFormat="1" ht="18" customHeight="1">
      <c r="A1240" s="174"/>
      <c r="B1240" s="174"/>
      <c r="C1240" s="1053"/>
      <c r="D1240" s="1053"/>
      <c r="E1240" s="174"/>
      <c r="F1240" s="174"/>
      <c r="G1240" s="174"/>
      <c r="H1240" s="174"/>
      <c r="I1240" s="174"/>
      <c r="J1240" s="174"/>
      <c r="K1240" s="176"/>
      <c r="L1240" s="175"/>
      <c r="M1240" s="175"/>
      <c r="N1240" s="175"/>
      <c r="O1240" s="115"/>
      <c r="P1240" s="115"/>
      <c r="Q1240" s="116"/>
      <c r="R1240" s="116"/>
      <c r="S1240" s="117"/>
    </row>
    <row r="1241" spans="1:19" s="146" customFormat="1" ht="18" customHeight="1">
      <c r="A1241" s="1310" t="s">
        <v>65</v>
      </c>
      <c r="B1241" s="1310"/>
      <c r="C1241" s="1310"/>
      <c r="D1241" s="1310"/>
      <c r="E1241" s="1310"/>
      <c r="F1241" s="1310"/>
      <c r="G1241" s="174"/>
      <c r="H1241" s="1310" t="s">
        <v>17</v>
      </c>
      <c r="I1241" s="1310"/>
      <c r="J1241" s="174"/>
      <c r="K1241" s="1310" t="s">
        <v>1454</v>
      </c>
      <c r="L1241" s="1310"/>
      <c r="M1241" s="1310"/>
      <c r="N1241" s="1052"/>
      <c r="O1241" s="115"/>
      <c r="P1241" s="115"/>
      <c r="Q1241" s="116"/>
      <c r="R1241" s="116"/>
      <c r="S1241" s="117"/>
    </row>
    <row r="1242" spans="1:19" s="146" customFormat="1" ht="18" customHeight="1">
      <c r="A1242" s="1294" t="s">
        <v>430</v>
      </c>
      <c r="B1242" s="1294"/>
      <c r="C1242" s="1294"/>
      <c r="D1242" s="1294"/>
      <c r="E1242" s="1294"/>
      <c r="F1242" s="1294"/>
      <c r="G1242" s="177"/>
      <c r="H1242" s="1294" t="s">
        <v>18</v>
      </c>
      <c r="I1242" s="1294"/>
      <c r="J1242" s="1052"/>
      <c r="K1242" s="1294" t="s">
        <v>14</v>
      </c>
      <c r="L1242" s="1294"/>
      <c r="M1242" s="1294"/>
      <c r="N1242" s="1053"/>
      <c r="O1242" s="115"/>
      <c r="P1242" s="115"/>
      <c r="Q1242" s="116"/>
      <c r="R1242" s="116"/>
      <c r="S1242" s="117"/>
    </row>
    <row r="1243" spans="1:19" ht="18" customHeight="1">
      <c r="A1243" s="111"/>
      <c r="B1243" s="111"/>
      <c r="C1243" s="1050"/>
      <c r="D1243" s="1050"/>
      <c r="E1243" s="1321"/>
      <c r="F1243" s="1321"/>
      <c r="G1243" s="1321"/>
      <c r="H1243" s="1050"/>
      <c r="I1243" s="1050"/>
      <c r="J1243" s="1050"/>
      <c r="K1243" s="1321"/>
      <c r="L1243" s="1321"/>
      <c r="M1243" s="1321"/>
      <c r="N1243" s="1050"/>
    </row>
    <row r="1244" spans="1:19" ht="18" customHeight="1">
      <c r="A1244" s="111"/>
      <c r="B1244" s="111"/>
      <c r="C1244" s="1050"/>
      <c r="D1244" s="1050"/>
      <c r="E1244" s="1050"/>
      <c r="F1244" s="1050"/>
      <c r="G1244" s="1050"/>
      <c r="H1244" s="1050"/>
      <c r="I1244" s="1050"/>
      <c r="J1244" s="1050"/>
      <c r="K1244" s="1050"/>
      <c r="L1244" s="1050"/>
      <c r="M1244" s="1050"/>
      <c r="N1244" s="1050"/>
    </row>
    <row r="1245" spans="1:19" ht="18" customHeight="1">
      <c r="A1245" s="111"/>
      <c r="B1245" s="111"/>
      <c r="C1245" s="1050"/>
      <c r="D1245" s="1050"/>
      <c r="E1245" s="1050"/>
      <c r="F1245" s="1050"/>
      <c r="G1245" s="1050"/>
      <c r="H1245" s="1050"/>
      <c r="I1245" s="1050"/>
      <c r="J1245" s="1050"/>
      <c r="K1245" s="1050"/>
      <c r="L1245" s="1050"/>
      <c r="M1245" s="1050"/>
      <c r="N1245" s="1050"/>
    </row>
    <row r="1246" spans="1:19" ht="18" customHeight="1">
      <c r="A1246" s="111"/>
      <c r="B1246" s="111"/>
      <c r="C1246" s="1050"/>
      <c r="D1246" s="1050"/>
      <c r="E1246" s="1050"/>
      <c r="F1246" s="1050"/>
      <c r="G1246" s="1050"/>
      <c r="H1246" s="1050"/>
      <c r="I1246" s="1050"/>
      <c r="J1246" s="1050"/>
      <c r="K1246" s="1050"/>
      <c r="L1246" s="1050"/>
      <c r="M1246" s="1050"/>
      <c r="N1246" s="1050"/>
    </row>
    <row r="1247" spans="1:19" ht="18" customHeight="1">
      <c r="A1247" s="111"/>
      <c r="B1247" s="111"/>
      <c r="C1247" s="1050"/>
      <c r="D1247" s="1050"/>
      <c r="E1247" s="1050"/>
      <c r="F1247" s="1050"/>
      <c r="G1247" s="1050"/>
      <c r="H1247" s="1050"/>
      <c r="I1247" s="1050"/>
      <c r="J1247" s="1050"/>
      <c r="K1247" s="1050"/>
      <c r="L1247" s="1050"/>
      <c r="M1247" s="1050"/>
      <c r="N1247" s="1050"/>
    </row>
    <row r="1248" spans="1:19" ht="18" customHeight="1">
      <c r="A1248" s="111"/>
      <c r="B1248" s="111"/>
      <c r="C1248" s="1050"/>
      <c r="D1248" s="1050"/>
      <c r="E1248" s="1050"/>
      <c r="F1248" s="1050"/>
      <c r="G1248" s="1050"/>
      <c r="H1248" s="1050"/>
      <c r="I1248" s="1050"/>
      <c r="J1248" s="1050"/>
      <c r="K1248" s="1050"/>
      <c r="L1248" s="1050"/>
      <c r="M1248" s="1050"/>
      <c r="N1248" s="1050"/>
    </row>
    <row r="1249" spans="1:14" ht="18" customHeight="1">
      <c r="A1249" s="111"/>
      <c r="B1249" s="111"/>
      <c r="C1249" s="1050"/>
      <c r="D1249" s="1050"/>
      <c r="E1249" s="1050"/>
      <c r="F1249" s="1050"/>
      <c r="G1249" s="1050"/>
      <c r="H1249" s="1050"/>
      <c r="I1249" s="1050"/>
      <c r="J1249" s="1050"/>
      <c r="K1249" s="1050"/>
      <c r="L1249" s="1050"/>
      <c r="M1249" s="1050"/>
      <c r="N1249" s="1050"/>
    </row>
    <row r="1250" spans="1:14" ht="18" customHeight="1">
      <c r="A1250" s="111"/>
      <c r="B1250" s="111"/>
      <c r="C1250" s="1050"/>
      <c r="D1250" s="1050"/>
      <c r="E1250" s="1050"/>
      <c r="F1250" s="1050"/>
      <c r="G1250" s="1050"/>
      <c r="H1250" s="1050"/>
      <c r="I1250" s="1050"/>
      <c r="J1250" s="1050"/>
      <c r="K1250" s="1050"/>
      <c r="L1250" s="1050"/>
      <c r="M1250" s="1050"/>
      <c r="N1250" s="1050"/>
    </row>
    <row r="1251" spans="1:14" ht="18" customHeight="1">
      <c r="A1251" s="111"/>
      <c r="B1251" s="111"/>
      <c r="C1251" s="1050"/>
      <c r="D1251" s="1050"/>
      <c r="E1251" s="1050"/>
      <c r="F1251" s="1050"/>
      <c r="G1251" s="1050"/>
      <c r="H1251" s="1050"/>
      <c r="I1251" s="1050"/>
      <c r="J1251" s="1050"/>
      <c r="K1251" s="1050"/>
      <c r="L1251" s="1050"/>
      <c r="M1251" s="1050"/>
      <c r="N1251" s="1050"/>
    </row>
    <row r="1252" spans="1:14" ht="18" customHeight="1">
      <c r="A1252" s="111"/>
      <c r="B1252" s="111"/>
      <c r="C1252" s="1050"/>
      <c r="D1252" s="1050"/>
      <c r="E1252" s="1050"/>
      <c r="F1252" s="1050"/>
      <c r="G1252" s="1050"/>
      <c r="H1252" s="1050"/>
      <c r="I1252" s="1050"/>
      <c r="J1252" s="1050"/>
      <c r="K1252" s="1050"/>
      <c r="L1252" s="1050"/>
      <c r="M1252" s="1050"/>
      <c r="N1252" s="1050"/>
    </row>
    <row r="1253" spans="1:14" ht="18" customHeight="1">
      <c r="A1253" s="111"/>
      <c r="B1253" s="111"/>
      <c r="C1253" s="1050"/>
      <c r="D1253" s="1050"/>
      <c r="E1253" s="1050"/>
      <c r="F1253" s="1050"/>
      <c r="G1253" s="1050"/>
      <c r="H1253" s="1050"/>
      <c r="I1253" s="1050"/>
      <c r="J1253" s="1050"/>
      <c r="K1253" s="1050"/>
      <c r="L1253" s="1050"/>
      <c r="M1253" s="1050"/>
      <c r="N1253" s="1050"/>
    </row>
    <row r="1254" spans="1:14" ht="18" customHeight="1">
      <c r="A1254" s="111"/>
      <c r="B1254" s="111"/>
      <c r="C1254" s="1050"/>
      <c r="D1254" s="1050"/>
      <c r="E1254" s="1050"/>
      <c r="F1254" s="1050"/>
      <c r="G1254" s="1050"/>
      <c r="H1254" s="1050"/>
      <c r="I1254" s="1050"/>
      <c r="J1254" s="1050"/>
      <c r="K1254" s="1050"/>
      <c r="L1254" s="1050"/>
      <c r="M1254" s="1050"/>
      <c r="N1254" s="1050"/>
    </row>
    <row r="1255" spans="1:14" ht="18" customHeight="1">
      <c r="A1255" s="111"/>
      <c r="B1255" s="111"/>
      <c r="C1255" s="1050"/>
      <c r="D1255" s="1050"/>
      <c r="E1255" s="1050"/>
      <c r="F1255" s="1050"/>
      <c r="G1255" s="1050"/>
      <c r="H1255" s="1050"/>
      <c r="I1255" s="1050"/>
      <c r="J1255" s="1050"/>
      <c r="K1255" s="1050"/>
      <c r="L1255" s="1050"/>
      <c r="M1255" s="1050"/>
      <c r="N1255" s="1050"/>
    </row>
    <row r="1256" spans="1:14" ht="18" customHeight="1">
      <c r="A1256" s="111"/>
      <c r="B1256" s="111"/>
      <c r="C1256" s="1050"/>
      <c r="D1256" s="1050"/>
      <c r="E1256" s="1050"/>
      <c r="F1256" s="1050"/>
      <c r="G1256" s="1050"/>
      <c r="H1256" s="1050"/>
      <c r="I1256" s="1050"/>
      <c r="J1256" s="1050"/>
      <c r="K1256" s="1050"/>
      <c r="L1256" s="1050"/>
      <c r="M1256" s="1050"/>
      <c r="N1256" s="1050"/>
    </row>
    <row r="1257" spans="1:14" ht="18" customHeight="1">
      <c r="A1257" s="111"/>
      <c r="B1257" s="111"/>
      <c r="C1257" s="1050"/>
      <c r="D1257" s="1050"/>
      <c r="E1257" s="1050"/>
      <c r="F1257" s="1050"/>
      <c r="G1257" s="1050"/>
      <c r="H1257" s="1050"/>
      <c r="I1257" s="1050"/>
      <c r="J1257" s="1050"/>
      <c r="K1257" s="1050"/>
      <c r="L1257" s="1050"/>
      <c r="M1257" s="1050"/>
      <c r="N1257" s="1050"/>
    </row>
    <row r="1258" spans="1:14" ht="18" customHeight="1">
      <c r="A1258" s="111"/>
      <c r="B1258" s="111"/>
      <c r="C1258" s="1050"/>
      <c r="D1258" s="1050"/>
      <c r="E1258" s="1050"/>
      <c r="F1258" s="1050"/>
      <c r="G1258" s="1050"/>
      <c r="H1258" s="1050"/>
      <c r="I1258" s="1050"/>
      <c r="J1258" s="1050"/>
      <c r="K1258" s="1050"/>
      <c r="L1258" s="1050"/>
      <c r="M1258" s="1050"/>
      <c r="N1258" s="1050"/>
    </row>
    <row r="1259" spans="1:14" ht="20.100000000000001" customHeight="1">
      <c r="A1259" s="1263" t="s">
        <v>1001</v>
      </c>
      <c r="B1259" s="1263"/>
      <c r="C1259" s="1263"/>
      <c r="D1259" s="1263"/>
      <c r="E1259" s="1263"/>
      <c r="F1259" s="1263"/>
      <c r="G1259" s="1263"/>
      <c r="H1259" s="1263"/>
      <c r="I1259" s="1263"/>
      <c r="J1259" s="1263"/>
      <c r="K1259" s="1263"/>
      <c r="L1259" s="1263"/>
      <c r="M1259" s="1263"/>
      <c r="N1259" s="1058"/>
    </row>
    <row r="1260" spans="1:14" ht="18" customHeight="1">
      <c r="A1260" s="111"/>
      <c r="B1260" s="111"/>
      <c r="C1260" s="1050"/>
      <c r="D1260" s="1050"/>
      <c r="E1260" s="1050"/>
      <c r="F1260" s="1050"/>
      <c r="G1260" s="1050"/>
      <c r="H1260" s="1050"/>
      <c r="I1260" s="1050"/>
      <c r="J1260" s="1050"/>
      <c r="K1260" s="1050"/>
      <c r="L1260" s="1050"/>
      <c r="M1260" s="1050"/>
      <c r="N1260" s="1050"/>
    </row>
    <row r="1261" spans="1:14" ht="18" customHeight="1">
      <c r="A1261" s="111"/>
      <c r="B1261" s="111"/>
      <c r="C1261" s="1050"/>
      <c r="D1261" s="1050"/>
      <c r="E1261" s="1050"/>
      <c r="F1261" s="1050"/>
      <c r="G1261" s="1050"/>
      <c r="H1261" s="1050"/>
      <c r="I1261" s="1050"/>
      <c r="J1261" s="1050"/>
      <c r="K1261" s="1050"/>
      <c r="L1261" s="1050"/>
      <c r="M1261" s="1050"/>
      <c r="N1261" s="1050"/>
    </row>
    <row r="1262" spans="1:14" ht="18" customHeight="1">
      <c r="A1262" s="111"/>
      <c r="B1262" s="111"/>
      <c r="C1262" s="1050"/>
      <c r="D1262" s="1050"/>
      <c r="E1262" s="1050"/>
      <c r="F1262" s="1050"/>
      <c r="G1262" s="1050"/>
      <c r="H1262" s="1050"/>
      <c r="I1262" s="1050"/>
      <c r="J1262" s="1050"/>
      <c r="K1262" s="1050"/>
      <c r="L1262" s="1050"/>
      <c r="M1262" s="1050"/>
      <c r="N1262" s="1050"/>
    </row>
    <row r="1263" spans="1:14" ht="18" customHeight="1"/>
    <row r="1264" spans="1:14" ht="18" customHeight="1"/>
    <row r="1265" spans="1:23" ht="18" customHeight="1">
      <c r="A1265" s="1306"/>
      <c r="B1265" s="1306"/>
      <c r="C1265" s="1306"/>
      <c r="D1265" s="1306"/>
      <c r="E1265" s="1306"/>
      <c r="F1265" s="1306"/>
      <c r="G1265" s="1306"/>
      <c r="H1265" s="1306"/>
      <c r="I1265" s="1306"/>
      <c r="J1265" s="1306"/>
      <c r="K1265" s="1306"/>
      <c r="L1265" s="1306"/>
      <c r="M1265" s="1306"/>
      <c r="N1265" s="1062"/>
    </row>
    <row r="1266" spans="1:23" ht="18" customHeight="1">
      <c r="A1266" s="110"/>
      <c r="B1266" s="110"/>
      <c r="C1266" s="1057"/>
      <c r="D1266" s="1057"/>
      <c r="E1266" s="111"/>
      <c r="F1266" s="111"/>
      <c r="G1266" s="111"/>
      <c r="H1266" s="111"/>
      <c r="I1266" s="111"/>
      <c r="J1266" s="111"/>
      <c r="K1266" s="112"/>
      <c r="M1266" s="114"/>
      <c r="N1266" s="114"/>
    </row>
    <row r="1267" spans="1:23" ht="18" customHeight="1">
      <c r="A1267" s="1319" t="s">
        <v>1675</v>
      </c>
      <c r="B1267" s="1319"/>
      <c r="C1267" s="1319"/>
      <c r="D1267" s="1319"/>
      <c r="E1267" s="1319"/>
      <c r="F1267" s="1319"/>
      <c r="G1267" s="1319"/>
      <c r="H1267" s="1319"/>
      <c r="I1267" s="1319"/>
      <c r="J1267" s="1319"/>
      <c r="K1267" s="1319"/>
      <c r="L1267" s="1319"/>
      <c r="M1267" s="1319"/>
      <c r="N1267" s="1048"/>
    </row>
    <row r="1268" spans="1:23" ht="18" customHeight="1">
      <c r="A1268" s="1320" t="s">
        <v>358</v>
      </c>
      <c r="B1268" s="1320"/>
      <c r="C1268" s="1320"/>
      <c r="D1268" s="1320"/>
      <c r="E1268" s="1320"/>
      <c r="F1268" s="1320"/>
      <c r="G1268" s="1320"/>
      <c r="H1268" s="1320"/>
      <c r="I1268" s="1320"/>
      <c r="J1268" s="1320"/>
      <c r="K1268" s="1320"/>
      <c r="L1268" s="1320"/>
      <c r="M1268" s="1320"/>
      <c r="N1268" s="1049"/>
    </row>
    <row r="1269" spans="1:23" ht="18" customHeight="1">
      <c r="A1269" s="1321"/>
      <c r="B1269" s="1321"/>
      <c r="C1269" s="1321"/>
      <c r="D1269" s="1321"/>
      <c r="E1269" s="1321"/>
      <c r="F1269" s="1321"/>
      <c r="G1269" s="1321"/>
      <c r="H1269" s="1321"/>
      <c r="I1269" s="1321"/>
      <c r="J1269" s="1321"/>
      <c r="K1269" s="1321"/>
      <c r="L1269" s="1321"/>
      <c r="M1269" s="1321"/>
      <c r="N1269" s="1050"/>
    </row>
    <row r="1270" spans="1:23" ht="18" customHeight="1">
      <c r="A1270" s="1050"/>
      <c r="B1270" s="1050"/>
      <c r="C1270" s="1050"/>
      <c r="D1270" s="1050"/>
      <c r="E1270" s="1050"/>
      <c r="F1270" s="1050"/>
      <c r="G1270" s="1050"/>
      <c r="H1270" s="1050"/>
      <c r="I1270" s="1050"/>
      <c r="J1270" s="1050"/>
      <c r="K1270" s="1050"/>
      <c r="L1270" s="1050"/>
      <c r="M1270" s="1050"/>
      <c r="N1270" s="1050"/>
    </row>
    <row r="1271" spans="1:23" ht="18" customHeight="1">
      <c r="A1271" s="111" t="s">
        <v>463</v>
      </c>
      <c r="B1271" s="111"/>
      <c r="C1271" s="111" t="s">
        <v>448</v>
      </c>
      <c r="D1271" s="111" t="s">
        <v>480</v>
      </c>
      <c r="E1271" s="111"/>
      <c r="F1271" s="111"/>
      <c r="G1271" s="111"/>
      <c r="H1271" s="111"/>
      <c r="I1271" s="112"/>
      <c r="J1271" s="113"/>
      <c r="K1271" s="113"/>
      <c r="L1271" s="1050"/>
      <c r="M1271" s="1050"/>
      <c r="N1271" s="1050"/>
    </row>
    <row r="1272" spans="1:23" ht="18" customHeight="1">
      <c r="A1272" s="111" t="s">
        <v>458</v>
      </c>
      <c r="B1272" s="111"/>
      <c r="C1272" s="111" t="s">
        <v>448</v>
      </c>
      <c r="D1272" s="111" t="s">
        <v>481</v>
      </c>
      <c r="E1272" s="111"/>
      <c r="F1272" s="111"/>
      <c r="I1272" s="136"/>
      <c r="J1272" s="113"/>
      <c r="K1272" s="178"/>
      <c r="L1272" s="1050"/>
      <c r="M1272" s="1050"/>
      <c r="N1272" s="1050"/>
      <c r="O1272" s="180"/>
      <c r="P1272" s="180"/>
      <c r="Q1272" s="108"/>
      <c r="R1272" s="108"/>
      <c r="S1272" s="255"/>
      <c r="T1272" s="111"/>
      <c r="U1272" s="111"/>
      <c r="V1272" s="112"/>
      <c r="W1272" s="113"/>
    </row>
    <row r="1273" spans="1:23" ht="18" customHeight="1">
      <c r="A1273" s="111" t="s">
        <v>479</v>
      </c>
      <c r="B1273" s="111"/>
      <c r="C1273" s="111" t="s">
        <v>448</v>
      </c>
      <c r="D1273" s="111" t="s">
        <v>482</v>
      </c>
      <c r="E1273" s="111"/>
      <c r="F1273" s="111"/>
      <c r="G1273" s="111"/>
      <c r="H1273" s="111"/>
      <c r="I1273" s="112"/>
      <c r="J1273" s="113"/>
      <c r="K1273" s="113"/>
      <c r="L1273" s="1050"/>
      <c r="M1273" s="1050"/>
      <c r="N1273" s="1050"/>
      <c r="O1273" s="180"/>
      <c r="P1273" s="180"/>
      <c r="Q1273" s="108"/>
      <c r="R1273" s="108"/>
      <c r="S1273" s="255"/>
      <c r="V1273" s="136"/>
      <c r="W1273" s="113"/>
    </row>
    <row r="1274" spans="1:23" ht="18" customHeight="1" thickBot="1">
      <c r="A1274" s="111"/>
      <c r="B1274" s="111"/>
      <c r="C1274" s="111"/>
      <c r="D1274" s="111" t="s">
        <v>684</v>
      </c>
      <c r="E1274" s="111"/>
      <c r="F1274" s="111"/>
      <c r="G1274" s="111"/>
      <c r="H1274" s="111"/>
      <c r="I1274" s="112"/>
      <c r="J1274" s="113"/>
      <c r="K1274" s="113"/>
      <c r="L1274" s="1050"/>
      <c r="M1274" s="1050"/>
      <c r="N1274" s="1050"/>
      <c r="O1274" s="180"/>
      <c r="P1274" s="180"/>
      <c r="Q1274" s="108"/>
      <c r="R1274" s="108"/>
      <c r="S1274" s="255"/>
      <c r="V1274" s="136"/>
      <c r="W1274" s="113"/>
    </row>
    <row r="1275" spans="1:23" ht="18" customHeight="1">
      <c r="A1275" s="1322" t="s">
        <v>631</v>
      </c>
      <c r="B1275" s="1323"/>
      <c r="C1275" s="1323"/>
      <c r="D1275" s="1323"/>
      <c r="E1275" s="1324"/>
      <c r="F1275" s="1323"/>
      <c r="G1275" s="1325"/>
      <c r="H1275" s="121"/>
      <c r="I1275" s="1326" t="s">
        <v>635</v>
      </c>
      <c r="J1275" s="1327"/>
      <c r="K1275" s="1326" t="s">
        <v>635</v>
      </c>
      <c r="L1275" s="1327"/>
      <c r="M1275" s="122"/>
      <c r="N1275" s="1012"/>
      <c r="O1275" s="180"/>
      <c r="P1275" s="180"/>
      <c r="Q1275" s="108"/>
      <c r="R1275" s="108"/>
      <c r="S1275" s="255"/>
      <c r="T1275" s="111"/>
      <c r="U1275" s="111"/>
      <c r="V1275" s="112"/>
      <c r="W1275" s="113"/>
    </row>
    <row r="1276" spans="1:23" ht="18" customHeight="1">
      <c r="A1276" s="123" t="s">
        <v>632</v>
      </c>
      <c r="B1276" s="1311" t="s">
        <v>633</v>
      </c>
      <c r="C1276" s="1312"/>
      <c r="D1276" s="1313"/>
      <c r="E1276" s="1314" t="s">
        <v>44</v>
      </c>
      <c r="F1276" s="1315"/>
      <c r="G1276" s="1316"/>
      <c r="H1276" s="1054" t="s">
        <v>45</v>
      </c>
      <c r="I1276" s="1314" t="s">
        <v>1502</v>
      </c>
      <c r="J1276" s="1316"/>
      <c r="K1276" s="1315" t="s">
        <v>1676</v>
      </c>
      <c r="L1276" s="1316"/>
      <c r="M1276" s="124" t="s">
        <v>46</v>
      </c>
      <c r="N1276" s="1013"/>
      <c r="O1276" s="180"/>
      <c r="P1276" s="180"/>
      <c r="Q1276" s="108"/>
      <c r="R1276" s="108"/>
      <c r="S1276" s="255"/>
      <c r="T1276" s="111"/>
      <c r="U1276" s="111"/>
      <c r="V1276" s="112"/>
      <c r="W1276" s="113"/>
    </row>
    <row r="1277" spans="1:23" ht="18" customHeight="1">
      <c r="A1277" s="125"/>
      <c r="B1277" s="1054"/>
      <c r="C1277" s="1055"/>
      <c r="D1277" s="1055"/>
      <c r="E1277" s="1054"/>
      <c r="F1277" s="1055"/>
      <c r="G1277" s="1056"/>
      <c r="H1277" s="1054" t="s">
        <v>47</v>
      </c>
      <c r="I1277" s="1317" t="s">
        <v>1503</v>
      </c>
      <c r="J1277" s="1318"/>
      <c r="K1277" s="1317"/>
      <c r="L1277" s="1318"/>
      <c r="M1277" s="124" t="s">
        <v>48</v>
      </c>
      <c r="N1277" s="1013"/>
      <c r="O1277" s="180"/>
      <c r="P1277" s="180"/>
      <c r="Q1277" s="108"/>
      <c r="R1277" s="108"/>
      <c r="S1277" s="255"/>
      <c r="T1277" s="111"/>
      <c r="U1277" s="111"/>
      <c r="V1277" s="112"/>
      <c r="W1277" s="113"/>
    </row>
    <row r="1278" spans="1:23" ht="18" customHeight="1">
      <c r="A1278" s="125"/>
      <c r="B1278" s="1054"/>
      <c r="C1278" s="1055"/>
      <c r="D1278" s="1055"/>
      <c r="E1278" s="1054"/>
      <c r="F1278" s="1055"/>
      <c r="G1278" s="126"/>
      <c r="H1278" s="127"/>
      <c r="I1278" s="128" t="s">
        <v>634</v>
      </c>
      <c r="J1278" s="129" t="s">
        <v>49</v>
      </c>
      <c r="K1278" s="128" t="s">
        <v>634</v>
      </c>
      <c r="L1278" s="129" t="s">
        <v>49</v>
      </c>
      <c r="M1278" s="124"/>
      <c r="N1278" s="120" t="s">
        <v>1628</v>
      </c>
    </row>
    <row r="1279" spans="1:23" ht="18" customHeight="1" thickBot="1">
      <c r="A1279" s="130"/>
      <c r="B1279" s="1307"/>
      <c r="C1279" s="1308"/>
      <c r="D1279" s="1309"/>
      <c r="E1279" s="1307"/>
      <c r="F1279" s="1308"/>
      <c r="G1279" s="1309"/>
      <c r="H1279" s="131"/>
      <c r="I1279" s="131"/>
      <c r="J1279" s="131"/>
      <c r="K1279" s="131"/>
      <c r="L1279" s="131"/>
      <c r="M1279" s="132"/>
      <c r="N1279" s="1019" t="s">
        <v>1629</v>
      </c>
    </row>
    <row r="1280" spans="1:23" ht="18" customHeight="1">
      <c r="A1280" s="256"/>
      <c r="B1280" s="119"/>
      <c r="C1280" s="119"/>
      <c r="D1280" s="119"/>
      <c r="E1280" s="133"/>
      <c r="F1280" s="119"/>
      <c r="G1280" s="134"/>
      <c r="H1280" s="135"/>
      <c r="I1280" s="182"/>
      <c r="J1280" s="137"/>
      <c r="K1280" s="182"/>
      <c r="L1280" s="137"/>
      <c r="M1280" s="137"/>
      <c r="N1280" s="1016"/>
    </row>
    <row r="1281" spans="1:19" s="146" customFormat="1" ht="18" customHeight="1">
      <c r="A1281" s="183">
        <v>1</v>
      </c>
      <c r="B1281" s="1060"/>
      <c r="C1281" s="1060"/>
      <c r="D1281" s="1060"/>
      <c r="E1281" s="154" t="s">
        <v>252</v>
      </c>
      <c r="F1281" s="1060"/>
      <c r="G1281" s="140"/>
      <c r="H1281" s="141" t="s">
        <v>897</v>
      </c>
      <c r="I1281" s="184" t="s">
        <v>948</v>
      </c>
      <c r="J1281" s="143">
        <v>450672</v>
      </c>
      <c r="K1281" s="184" t="s">
        <v>948</v>
      </c>
      <c r="L1281" s="143">
        <v>466200</v>
      </c>
      <c r="M1281" s="144">
        <f>L1281-J1281</f>
        <v>15528</v>
      </c>
      <c r="N1281" s="1015">
        <f>L1281/12</f>
        <v>38850</v>
      </c>
      <c r="O1281" s="115">
        <f>L1281-J1281</f>
        <v>15528</v>
      </c>
      <c r="P1281" s="115">
        <f>O1281-M1281</f>
        <v>0</v>
      </c>
      <c r="Q1281" s="116">
        <v>32372</v>
      </c>
      <c r="R1281" s="116">
        <f>Q1281*12</f>
        <v>388464</v>
      </c>
      <c r="S1281" s="145">
        <f>R1281-L1281</f>
        <v>-77736</v>
      </c>
    </row>
    <row r="1282" spans="1:19" s="146" customFormat="1" ht="18" customHeight="1">
      <c r="A1282" s="183"/>
      <c r="B1282" s="1060"/>
      <c r="C1282" s="1060"/>
      <c r="D1282" s="1060"/>
      <c r="E1282" s="154" t="s">
        <v>253</v>
      </c>
      <c r="F1282" s="1060"/>
      <c r="G1282" s="140"/>
      <c r="H1282" s="141"/>
      <c r="I1282" s="184"/>
      <c r="J1282" s="143"/>
      <c r="K1282" s="184" t="s">
        <v>1718</v>
      </c>
      <c r="L1282" s="143">
        <v>471408</v>
      </c>
      <c r="M1282" s="143">
        <v>434</v>
      </c>
      <c r="N1282" s="170"/>
      <c r="O1282" s="115"/>
      <c r="P1282" s="115"/>
      <c r="Q1282" s="116"/>
      <c r="R1282" s="116"/>
      <c r="S1282" s="117"/>
    </row>
    <row r="1283" spans="1:19" s="146" customFormat="1" ht="18" customHeight="1">
      <c r="A1283" s="183"/>
      <c r="B1283" s="1060"/>
      <c r="C1283" s="1060"/>
      <c r="D1283" s="1060"/>
      <c r="E1283" s="154"/>
      <c r="F1283" s="1060"/>
      <c r="G1283" s="140"/>
      <c r="H1283" s="141"/>
      <c r="I1283" s="184"/>
      <c r="J1283" s="143"/>
      <c r="K1283" s="184"/>
      <c r="L1283" s="149">
        <v>44896</v>
      </c>
      <c r="M1283" s="143"/>
      <c r="N1283" s="170"/>
      <c r="O1283" s="115"/>
      <c r="P1283" s="115"/>
      <c r="Q1283" s="116"/>
      <c r="R1283" s="116"/>
      <c r="S1283" s="117"/>
    </row>
    <row r="1284" spans="1:19" s="146" customFormat="1" ht="18" customHeight="1">
      <c r="A1284" s="183"/>
      <c r="B1284" s="1060"/>
      <c r="C1284" s="1060"/>
      <c r="D1284" s="1060"/>
      <c r="E1284" s="154"/>
      <c r="F1284" s="1060"/>
      <c r="G1284" s="140"/>
      <c r="H1284" s="141"/>
      <c r="I1284" s="184"/>
      <c r="J1284" s="143"/>
      <c r="K1284" s="184"/>
      <c r="L1284" s="143"/>
      <c r="M1284" s="143"/>
      <c r="N1284" s="170"/>
      <c r="O1284" s="115"/>
      <c r="P1284" s="115"/>
      <c r="Q1284" s="116"/>
      <c r="R1284" s="116"/>
      <c r="S1284" s="117"/>
    </row>
    <row r="1285" spans="1:19" s="146" customFormat="1" ht="18" customHeight="1">
      <c r="A1285" s="183"/>
      <c r="B1285" s="1060"/>
      <c r="C1285" s="1060"/>
      <c r="D1285" s="1060"/>
      <c r="E1285" s="1059"/>
      <c r="F1285" s="1060"/>
      <c r="G1285" s="140"/>
      <c r="H1285" s="141"/>
      <c r="I1285" s="142"/>
      <c r="J1285" s="257"/>
      <c r="K1285" s="142"/>
      <c r="L1285" s="257"/>
      <c r="M1285" s="143"/>
      <c r="N1285" s="170"/>
      <c r="O1285" s="115"/>
      <c r="P1285" s="115"/>
      <c r="Q1285" s="116"/>
      <c r="R1285" s="116"/>
      <c r="S1285" s="117"/>
    </row>
    <row r="1286" spans="1:19" s="146" customFormat="1" ht="18" customHeight="1">
      <c r="A1286" s="183"/>
      <c r="B1286" s="1060"/>
      <c r="C1286" s="1060"/>
      <c r="D1286" s="1060"/>
      <c r="E1286" s="1059"/>
      <c r="F1286" s="1060"/>
      <c r="G1286" s="140"/>
      <c r="H1286" s="141"/>
      <c r="I1286" s="142"/>
      <c r="J1286" s="143"/>
      <c r="K1286" s="142"/>
      <c r="L1286" s="143"/>
      <c r="M1286" s="144"/>
      <c r="N1286" s="1015"/>
      <c r="O1286" s="115"/>
      <c r="P1286" s="115"/>
      <c r="Q1286" s="116"/>
      <c r="R1286" s="116"/>
      <c r="S1286" s="117"/>
    </row>
    <row r="1287" spans="1:19" s="146" customFormat="1" ht="18" customHeight="1">
      <c r="A1287" s="183">
        <v>2</v>
      </c>
      <c r="B1287" s="1060"/>
      <c r="C1287" s="1060"/>
      <c r="D1287" s="1060"/>
      <c r="E1287" s="154" t="s">
        <v>252</v>
      </c>
      <c r="F1287" s="1060"/>
      <c r="G1287" s="140"/>
      <c r="H1287" s="141" t="s">
        <v>91</v>
      </c>
      <c r="I1287" s="142" t="s">
        <v>392</v>
      </c>
      <c r="J1287" s="143">
        <v>243540</v>
      </c>
      <c r="K1287" s="142" t="s">
        <v>392</v>
      </c>
      <c r="L1287" s="143">
        <v>259476</v>
      </c>
      <c r="M1287" s="144">
        <f>L1287-J1287</f>
        <v>15936</v>
      </c>
      <c r="N1287" s="1015">
        <f>L1287/12</f>
        <v>21623</v>
      </c>
      <c r="O1287" s="115">
        <f>L1287-J1287</f>
        <v>15936</v>
      </c>
      <c r="P1287" s="115">
        <f>O1287-M1287</f>
        <v>0</v>
      </c>
      <c r="Q1287" s="116"/>
      <c r="R1287" s="116"/>
      <c r="S1287" s="117"/>
    </row>
    <row r="1288" spans="1:19" s="146" customFormat="1" ht="18" customHeight="1">
      <c r="A1288" s="183"/>
      <c r="B1288" s="1060"/>
      <c r="C1288" s="1060"/>
      <c r="D1288" s="1060"/>
      <c r="E1288" s="154" t="s">
        <v>1495</v>
      </c>
      <c r="F1288" s="1060"/>
      <c r="G1288" s="140"/>
      <c r="H1288" s="141"/>
      <c r="I1288" s="142"/>
      <c r="J1288" s="143"/>
      <c r="K1288" s="142"/>
      <c r="L1288" s="143"/>
      <c r="M1288" s="143"/>
      <c r="N1288" s="170"/>
      <c r="O1288" s="115"/>
      <c r="P1288" s="115"/>
      <c r="Q1288" s="116"/>
      <c r="R1288" s="116"/>
      <c r="S1288" s="117"/>
    </row>
    <row r="1289" spans="1:19" s="146" customFormat="1" ht="18" customHeight="1">
      <c r="A1289" s="183"/>
      <c r="B1289" s="1060"/>
      <c r="C1289" s="1060"/>
      <c r="D1289" s="1060"/>
      <c r="E1289" s="1059"/>
      <c r="F1289" s="1060"/>
      <c r="G1289" s="140"/>
      <c r="H1289" s="141"/>
      <c r="I1289" s="142"/>
      <c r="J1289" s="143"/>
      <c r="K1289" s="142"/>
      <c r="L1289" s="143"/>
      <c r="M1289" s="143"/>
      <c r="N1289" s="170"/>
      <c r="O1289" s="115"/>
      <c r="P1289" s="115"/>
      <c r="Q1289" s="116"/>
      <c r="R1289" s="116"/>
      <c r="S1289" s="117"/>
    </row>
    <row r="1290" spans="1:19" s="146" customFormat="1" ht="18" customHeight="1">
      <c r="A1290" s="183"/>
      <c r="B1290" s="1060"/>
      <c r="C1290" s="1060"/>
      <c r="D1290" s="1060"/>
      <c r="E1290" s="1059"/>
      <c r="F1290" s="1060"/>
      <c r="G1290" s="140"/>
      <c r="H1290" s="141"/>
      <c r="I1290" s="142"/>
      <c r="J1290" s="143"/>
      <c r="K1290" s="142"/>
      <c r="L1290" s="143"/>
      <c r="M1290" s="143"/>
      <c r="N1290" s="170"/>
      <c r="O1290" s="115"/>
      <c r="P1290" s="115"/>
      <c r="Q1290" s="116"/>
      <c r="R1290" s="116"/>
      <c r="S1290" s="117"/>
    </row>
    <row r="1291" spans="1:19" s="146" customFormat="1" ht="18" customHeight="1">
      <c r="A1291" s="183"/>
      <c r="B1291" s="1060"/>
      <c r="C1291" s="1060"/>
      <c r="D1291" s="1060"/>
      <c r="E1291" s="1059"/>
      <c r="F1291" s="1060"/>
      <c r="G1291" s="140"/>
      <c r="H1291" s="141"/>
      <c r="I1291" s="142"/>
      <c r="J1291" s="143"/>
      <c r="K1291" s="142"/>
      <c r="L1291" s="143"/>
      <c r="M1291" s="143"/>
      <c r="N1291" s="170"/>
      <c r="O1291" s="115"/>
      <c r="P1291" s="115"/>
      <c r="Q1291" s="116"/>
      <c r="R1291" s="116"/>
      <c r="S1291" s="117"/>
    </row>
    <row r="1292" spans="1:19" s="146" customFormat="1" ht="18" customHeight="1">
      <c r="A1292" s="183"/>
      <c r="B1292" s="1060"/>
      <c r="C1292" s="1060"/>
      <c r="D1292" s="1060"/>
      <c r="E1292" s="1059"/>
      <c r="F1292" s="1060"/>
      <c r="G1292" s="140"/>
      <c r="H1292" s="141"/>
      <c r="I1292" s="142"/>
      <c r="J1292" s="143"/>
      <c r="K1292" s="142"/>
      <c r="L1292" s="143"/>
      <c r="M1292" s="143"/>
      <c r="N1292" s="170"/>
      <c r="O1292" s="115"/>
      <c r="P1292" s="115"/>
      <c r="Q1292" s="116"/>
      <c r="R1292" s="116"/>
      <c r="S1292" s="117"/>
    </row>
    <row r="1293" spans="1:19" s="146" customFormat="1" ht="18" customHeight="1">
      <c r="A1293" s="183"/>
      <c r="B1293" s="1060"/>
      <c r="C1293" s="1060"/>
      <c r="D1293" s="1060"/>
      <c r="E1293" s="1059"/>
      <c r="F1293" s="1060"/>
      <c r="G1293" s="140"/>
      <c r="H1293" s="141"/>
      <c r="I1293" s="142"/>
      <c r="J1293" s="143"/>
      <c r="K1293" s="142"/>
      <c r="L1293" s="143"/>
      <c r="M1293" s="143"/>
      <c r="N1293" s="170"/>
      <c r="O1293" s="115"/>
      <c r="P1293" s="115"/>
      <c r="Q1293" s="116"/>
      <c r="R1293" s="116"/>
      <c r="S1293" s="117"/>
    </row>
    <row r="1294" spans="1:19" s="146" customFormat="1" ht="18" customHeight="1">
      <c r="A1294" s="183"/>
      <c r="B1294" s="1060"/>
      <c r="C1294" s="1060"/>
      <c r="D1294" s="1060"/>
      <c r="E1294" s="1059"/>
      <c r="F1294" s="1060"/>
      <c r="G1294" s="140"/>
      <c r="H1294" s="141"/>
      <c r="I1294" s="142"/>
      <c r="J1294" s="143"/>
      <c r="K1294" s="142"/>
      <c r="L1294" s="143"/>
      <c r="M1294" s="143"/>
      <c r="N1294" s="170"/>
      <c r="O1294" s="115"/>
      <c r="P1294" s="115"/>
      <c r="Q1294" s="116"/>
      <c r="R1294" s="116"/>
      <c r="S1294" s="117"/>
    </row>
    <row r="1295" spans="1:19" s="146" customFormat="1" ht="18" customHeight="1">
      <c r="A1295" s="183"/>
      <c r="B1295" s="1060"/>
      <c r="C1295" s="1060"/>
      <c r="D1295" s="1060"/>
      <c r="E1295" s="1059"/>
      <c r="F1295" s="1060"/>
      <c r="G1295" s="140"/>
      <c r="H1295" s="141"/>
      <c r="I1295" s="142"/>
      <c r="J1295" s="143"/>
      <c r="K1295" s="142"/>
      <c r="L1295" s="143"/>
      <c r="M1295" s="143"/>
      <c r="N1295" s="170"/>
      <c r="O1295" s="115"/>
      <c r="P1295" s="115"/>
      <c r="Q1295" s="116"/>
      <c r="R1295" s="116"/>
      <c r="S1295" s="117"/>
    </row>
    <row r="1296" spans="1:19" s="146" customFormat="1" ht="18" customHeight="1">
      <c r="A1296" s="183"/>
      <c r="B1296" s="1060"/>
      <c r="C1296" s="1060"/>
      <c r="D1296" s="1060"/>
      <c r="E1296" s="1059"/>
      <c r="F1296" s="1060"/>
      <c r="G1296" s="140"/>
      <c r="H1296" s="141"/>
      <c r="I1296" s="142"/>
      <c r="J1296" s="143"/>
      <c r="K1296" s="142"/>
      <c r="L1296" s="143"/>
      <c r="M1296" s="143"/>
      <c r="N1296" s="170"/>
      <c r="O1296" s="115"/>
      <c r="P1296" s="115"/>
      <c r="Q1296" s="116"/>
      <c r="R1296" s="116"/>
      <c r="S1296" s="117"/>
    </row>
    <row r="1297" spans="1:19" s="146" customFormat="1" ht="18" customHeight="1">
      <c r="A1297" s="183"/>
      <c r="B1297" s="1060"/>
      <c r="C1297" s="1060"/>
      <c r="D1297" s="1060"/>
      <c r="E1297" s="1059"/>
      <c r="F1297" s="1060"/>
      <c r="G1297" s="140"/>
      <c r="H1297" s="141"/>
      <c r="I1297" s="142"/>
      <c r="J1297" s="143"/>
      <c r="K1297" s="142"/>
      <c r="L1297" s="143"/>
      <c r="M1297" s="143"/>
      <c r="N1297" s="170"/>
      <c r="O1297" s="115"/>
      <c r="P1297" s="115"/>
      <c r="Q1297" s="116"/>
      <c r="R1297" s="116"/>
      <c r="S1297" s="117"/>
    </row>
    <row r="1298" spans="1:19" s="146" customFormat="1" ht="18" customHeight="1">
      <c r="A1298" s="183"/>
      <c r="B1298" s="1060"/>
      <c r="C1298" s="1060"/>
      <c r="D1298" s="1060"/>
      <c r="E1298" s="1059"/>
      <c r="F1298" s="1060"/>
      <c r="G1298" s="140"/>
      <c r="H1298" s="141"/>
      <c r="I1298" s="142"/>
      <c r="J1298" s="143"/>
      <c r="K1298" s="142"/>
      <c r="L1298" s="143"/>
      <c r="M1298" s="143"/>
      <c r="N1298" s="170"/>
      <c r="O1298" s="115"/>
      <c r="P1298" s="115"/>
      <c r="Q1298" s="116"/>
      <c r="R1298" s="116"/>
      <c r="S1298" s="117"/>
    </row>
    <row r="1299" spans="1:19" s="146" customFormat="1" ht="18" customHeight="1">
      <c r="A1299" s="183"/>
      <c r="B1299" s="1060"/>
      <c r="C1299" s="1060"/>
      <c r="D1299" s="1060"/>
      <c r="E1299" s="1059"/>
      <c r="F1299" s="1060"/>
      <c r="G1299" s="140"/>
      <c r="H1299" s="141"/>
      <c r="I1299" s="142"/>
      <c r="J1299" s="143"/>
      <c r="K1299" s="142"/>
      <c r="L1299" s="143"/>
      <c r="M1299" s="144"/>
      <c r="N1299" s="1015"/>
      <c r="O1299" s="115"/>
      <c r="P1299" s="115"/>
      <c r="Q1299" s="116"/>
      <c r="R1299" s="116"/>
      <c r="S1299" s="117"/>
    </row>
    <row r="1300" spans="1:19" s="146" customFormat="1" ht="18" customHeight="1">
      <c r="A1300" s="183"/>
      <c r="B1300" s="1060"/>
      <c r="C1300" s="1060"/>
      <c r="D1300" s="1060"/>
      <c r="E1300" s="1059"/>
      <c r="F1300" s="1060"/>
      <c r="G1300" s="140"/>
      <c r="H1300" s="141"/>
      <c r="I1300" s="142"/>
      <c r="J1300" s="143"/>
      <c r="K1300" s="142"/>
      <c r="L1300" s="143"/>
      <c r="M1300" s="143"/>
      <c r="N1300" s="170"/>
      <c r="O1300" s="115"/>
      <c r="P1300" s="115"/>
      <c r="Q1300" s="116"/>
      <c r="R1300" s="116"/>
      <c r="S1300" s="117"/>
    </row>
    <row r="1301" spans="1:19" s="146" customFormat="1" ht="18" customHeight="1">
      <c r="A1301" s="141"/>
      <c r="B1301" s="155"/>
      <c r="C1301" s="1060"/>
      <c r="D1301" s="1060"/>
      <c r="E1301" s="154"/>
      <c r="F1301" s="155"/>
      <c r="G1301" s="140"/>
      <c r="H1301" s="141"/>
      <c r="I1301" s="210"/>
      <c r="J1301" s="143"/>
      <c r="K1301" s="210"/>
      <c r="L1301" s="143"/>
      <c r="M1301" s="143"/>
      <c r="N1301" s="170"/>
      <c r="O1301" s="115"/>
      <c r="P1301" s="115"/>
      <c r="Q1301" s="116"/>
      <c r="R1301" s="116"/>
      <c r="S1301" s="117"/>
    </row>
    <row r="1302" spans="1:19" s="146" customFormat="1" ht="18" customHeight="1">
      <c r="A1302" s="141"/>
      <c r="B1302" s="155"/>
      <c r="C1302" s="1060"/>
      <c r="D1302" s="1060"/>
      <c r="E1302" s="154"/>
      <c r="F1302" s="155"/>
      <c r="G1302" s="140"/>
      <c r="H1302" s="141"/>
      <c r="I1302" s="210"/>
      <c r="J1302" s="143"/>
      <c r="K1302" s="210"/>
      <c r="L1302" s="143"/>
      <c r="M1302" s="143"/>
      <c r="N1302" s="170"/>
      <c r="O1302" s="115"/>
      <c r="P1302" s="115"/>
      <c r="Q1302" s="116"/>
      <c r="R1302" s="116"/>
      <c r="S1302" s="117"/>
    </row>
    <row r="1303" spans="1:19" s="146" customFormat="1" ht="18" customHeight="1">
      <c r="A1303" s="141"/>
      <c r="B1303" s="155"/>
      <c r="C1303" s="1060"/>
      <c r="D1303" s="1060"/>
      <c r="E1303" s="154"/>
      <c r="F1303" s="155"/>
      <c r="G1303" s="140"/>
      <c r="H1303" s="141"/>
      <c r="I1303" s="210"/>
      <c r="J1303" s="143"/>
      <c r="K1303" s="210"/>
      <c r="L1303" s="143"/>
      <c r="M1303" s="143"/>
      <c r="N1303" s="170"/>
      <c r="O1303" s="115"/>
      <c r="P1303" s="115"/>
      <c r="Q1303" s="116"/>
      <c r="R1303" s="116"/>
      <c r="S1303" s="117"/>
    </row>
    <row r="1304" spans="1:19" s="146" customFormat="1" ht="18" customHeight="1">
      <c r="A1304" s="141"/>
      <c r="B1304" s="155"/>
      <c r="C1304" s="1060"/>
      <c r="D1304" s="1060"/>
      <c r="E1304" s="154"/>
      <c r="F1304" s="155"/>
      <c r="G1304" s="140"/>
      <c r="H1304" s="141"/>
      <c r="I1304" s="210"/>
      <c r="J1304" s="143"/>
      <c r="K1304" s="210"/>
      <c r="L1304" s="143"/>
      <c r="M1304" s="143"/>
      <c r="N1304" s="170"/>
      <c r="O1304" s="115"/>
      <c r="P1304" s="115"/>
      <c r="Q1304" s="116"/>
      <c r="R1304" s="116"/>
      <c r="S1304" s="117"/>
    </row>
    <row r="1305" spans="1:19" s="146" customFormat="1" ht="18" customHeight="1">
      <c r="A1305" s="141"/>
      <c r="B1305" s="155"/>
      <c r="C1305" s="1060"/>
      <c r="D1305" s="1060"/>
      <c r="E1305" s="154"/>
      <c r="F1305" s="155"/>
      <c r="G1305" s="140"/>
      <c r="H1305" s="141"/>
      <c r="I1305" s="210"/>
      <c r="J1305" s="143"/>
      <c r="K1305" s="210"/>
      <c r="L1305" s="143"/>
      <c r="M1305" s="143"/>
      <c r="N1305" s="170"/>
      <c r="O1305" s="115"/>
      <c r="P1305" s="115"/>
      <c r="Q1305" s="116"/>
      <c r="R1305" s="116"/>
      <c r="S1305" s="117"/>
    </row>
    <row r="1306" spans="1:19" s="146" customFormat="1" ht="18" customHeight="1">
      <c r="A1306" s="141"/>
      <c r="B1306" s="155"/>
      <c r="C1306" s="1060"/>
      <c r="D1306" s="1060"/>
      <c r="E1306" s="154"/>
      <c r="F1306" s="155"/>
      <c r="G1306" s="140"/>
      <c r="H1306" s="141"/>
      <c r="I1306" s="210"/>
      <c r="J1306" s="143"/>
      <c r="K1306" s="210"/>
      <c r="L1306" s="143"/>
      <c r="M1306" s="143"/>
      <c r="N1306" s="170"/>
      <c r="O1306" s="115"/>
      <c r="P1306" s="115"/>
      <c r="Q1306" s="116"/>
      <c r="R1306" s="116"/>
      <c r="S1306" s="117"/>
    </row>
    <row r="1307" spans="1:19" s="146" customFormat="1" ht="18" customHeight="1">
      <c r="A1307" s="141"/>
      <c r="B1307" s="155"/>
      <c r="C1307" s="1060"/>
      <c r="D1307" s="1060"/>
      <c r="E1307" s="154"/>
      <c r="F1307" s="155"/>
      <c r="G1307" s="140"/>
      <c r="H1307" s="141"/>
      <c r="I1307" s="210"/>
      <c r="J1307" s="143"/>
      <c r="K1307" s="210"/>
      <c r="L1307" s="143"/>
      <c r="M1307" s="143"/>
      <c r="N1307" s="170"/>
      <c r="O1307" s="115"/>
      <c r="P1307" s="115"/>
      <c r="Q1307" s="116"/>
      <c r="R1307" s="116"/>
      <c r="S1307" s="117"/>
    </row>
    <row r="1308" spans="1:19" s="146" customFormat="1" ht="18" customHeight="1">
      <c r="A1308" s="141"/>
      <c r="B1308" s="155"/>
      <c r="C1308" s="1060"/>
      <c r="D1308" s="1060"/>
      <c r="E1308" s="154"/>
      <c r="F1308" s="155"/>
      <c r="G1308" s="140"/>
      <c r="H1308" s="141"/>
      <c r="I1308" s="210"/>
      <c r="J1308" s="143"/>
      <c r="K1308" s="210"/>
      <c r="L1308" s="143"/>
      <c r="M1308" s="143"/>
      <c r="N1308" s="170"/>
      <c r="O1308" s="115"/>
      <c r="P1308" s="115"/>
      <c r="Q1308" s="116"/>
      <c r="R1308" s="116"/>
      <c r="S1308" s="117"/>
    </row>
    <row r="1309" spans="1:19" s="146" customFormat="1" ht="18" customHeight="1">
      <c r="A1309" s="141"/>
      <c r="B1309" s="155"/>
      <c r="C1309" s="1060"/>
      <c r="D1309" s="1060"/>
      <c r="E1309" s="154"/>
      <c r="F1309" s="155"/>
      <c r="G1309" s="140"/>
      <c r="H1309" s="141"/>
      <c r="I1309" s="210"/>
      <c r="J1309" s="143"/>
      <c r="K1309" s="210"/>
      <c r="L1309" s="143"/>
      <c r="M1309" s="143"/>
      <c r="N1309" s="170"/>
      <c r="O1309" s="115"/>
      <c r="P1309" s="115"/>
      <c r="Q1309" s="116"/>
      <c r="R1309" s="116"/>
      <c r="S1309" s="117"/>
    </row>
    <row r="1310" spans="1:19" s="146" customFormat="1" ht="18" customHeight="1">
      <c r="A1310" s="141"/>
      <c r="B1310" s="155"/>
      <c r="C1310" s="1060"/>
      <c r="D1310" s="1060"/>
      <c r="E1310" s="154"/>
      <c r="F1310" s="155"/>
      <c r="G1310" s="140"/>
      <c r="H1310" s="141"/>
      <c r="I1310" s="210"/>
      <c r="J1310" s="143"/>
      <c r="K1310" s="210"/>
      <c r="L1310" s="143"/>
      <c r="M1310" s="143"/>
      <c r="N1310" s="170"/>
      <c r="O1310" s="115"/>
      <c r="P1310" s="115"/>
      <c r="Q1310" s="116"/>
      <c r="R1310" s="116"/>
      <c r="S1310" s="117"/>
    </row>
    <row r="1311" spans="1:19" s="146" customFormat="1" ht="18" customHeight="1">
      <c r="A1311" s="141"/>
      <c r="B1311" s="155"/>
      <c r="C1311" s="1060"/>
      <c r="D1311" s="1060"/>
      <c r="E1311" s="154"/>
      <c r="F1311" s="155"/>
      <c r="G1311" s="140"/>
      <c r="H1311" s="141"/>
      <c r="I1311" s="210"/>
      <c r="J1311" s="143"/>
      <c r="K1311" s="210"/>
      <c r="L1311" s="143"/>
      <c r="M1311" s="143"/>
      <c r="N1311" s="170"/>
      <c r="O1311" s="115"/>
      <c r="P1311" s="115"/>
      <c r="Q1311" s="116"/>
      <c r="R1311" s="116"/>
      <c r="S1311" s="117"/>
    </row>
    <row r="1312" spans="1:19" s="146" customFormat="1" ht="18" customHeight="1">
      <c r="A1312" s="141"/>
      <c r="B1312" s="155"/>
      <c r="C1312" s="1060"/>
      <c r="D1312" s="1060"/>
      <c r="E1312" s="154"/>
      <c r="F1312" s="155"/>
      <c r="G1312" s="140"/>
      <c r="H1312" s="141"/>
      <c r="I1312" s="210"/>
      <c r="J1312" s="143"/>
      <c r="K1312" s="210"/>
      <c r="L1312" s="143"/>
      <c r="M1312" s="143"/>
      <c r="N1312" s="170"/>
      <c r="O1312" s="115"/>
      <c r="P1312" s="115"/>
      <c r="Q1312" s="116"/>
      <c r="R1312" s="116"/>
      <c r="S1312" s="117"/>
    </row>
    <row r="1313" spans="1:19" s="146" customFormat="1" ht="18" customHeight="1">
      <c r="A1313" s="141"/>
      <c r="B1313" s="155"/>
      <c r="C1313" s="1060"/>
      <c r="D1313" s="1060"/>
      <c r="E1313" s="154"/>
      <c r="F1313" s="155"/>
      <c r="G1313" s="140"/>
      <c r="H1313" s="141"/>
      <c r="I1313" s="210"/>
      <c r="J1313" s="143"/>
      <c r="K1313" s="210"/>
      <c r="L1313" s="143"/>
      <c r="M1313" s="143"/>
      <c r="N1313" s="170"/>
      <c r="O1313" s="115"/>
      <c r="P1313" s="115"/>
      <c r="Q1313" s="116"/>
      <c r="R1313" s="116"/>
      <c r="S1313" s="117"/>
    </row>
    <row r="1314" spans="1:19" s="146" customFormat="1" ht="18" customHeight="1">
      <c r="A1314" s="141"/>
      <c r="B1314" s="155"/>
      <c r="C1314" s="1060"/>
      <c r="D1314" s="1060"/>
      <c r="E1314" s="154"/>
      <c r="F1314" s="155"/>
      <c r="G1314" s="140"/>
      <c r="H1314" s="141"/>
      <c r="I1314" s="210"/>
      <c r="J1314" s="143"/>
      <c r="K1314" s="210"/>
      <c r="L1314" s="143"/>
      <c r="M1314" s="143"/>
      <c r="N1314" s="170"/>
      <c r="O1314" s="115"/>
      <c r="P1314" s="115"/>
      <c r="Q1314" s="116"/>
      <c r="R1314" s="116"/>
      <c r="S1314" s="117"/>
    </row>
    <row r="1315" spans="1:19" s="146" customFormat="1" ht="18" customHeight="1">
      <c r="A1315" s="141"/>
      <c r="B1315" s="155"/>
      <c r="C1315" s="1060"/>
      <c r="D1315" s="1060"/>
      <c r="E1315" s="154"/>
      <c r="F1315" s="155"/>
      <c r="G1315" s="140"/>
      <c r="H1315" s="141"/>
      <c r="I1315" s="210"/>
      <c r="J1315" s="143"/>
      <c r="K1315" s="210"/>
      <c r="L1315" s="143"/>
      <c r="M1315" s="143"/>
      <c r="N1315" s="170"/>
      <c r="O1315" s="115"/>
      <c r="P1315" s="115"/>
      <c r="Q1315" s="116"/>
      <c r="R1315" s="116"/>
      <c r="S1315" s="117"/>
    </row>
    <row r="1316" spans="1:19" s="146" customFormat="1" ht="18" customHeight="1">
      <c r="A1316" s="141"/>
      <c r="B1316" s="155"/>
      <c r="C1316" s="1060"/>
      <c r="D1316" s="1060"/>
      <c r="E1316" s="154"/>
      <c r="F1316" s="155"/>
      <c r="G1316" s="140"/>
      <c r="H1316" s="141"/>
      <c r="I1316" s="210"/>
      <c r="J1316" s="143"/>
      <c r="K1316" s="210"/>
      <c r="L1316" s="143"/>
      <c r="M1316" s="143"/>
      <c r="N1316" s="170"/>
      <c r="O1316" s="115"/>
      <c r="P1316" s="115"/>
      <c r="Q1316" s="116"/>
      <c r="R1316" s="116"/>
      <c r="S1316" s="117"/>
    </row>
    <row r="1317" spans="1:19" s="146" customFormat="1" ht="18" customHeight="1">
      <c r="A1317" s="141"/>
      <c r="B1317" s="155"/>
      <c r="C1317" s="1060"/>
      <c r="D1317" s="1060"/>
      <c r="E1317" s="154"/>
      <c r="F1317" s="155"/>
      <c r="G1317" s="140"/>
      <c r="H1317" s="141"/>
      <c r="I1317" s="210"/>
      <c r="J1317" s="143"/>
      <c r="K1317" s="210"/>
      <c r="L1317" s="143"/>
      <c r="M1317" s="143"/>
      <c r="N1317" s="170"/>
      <c r="O1317" s="115"/>
      <c r="P1317" s="115"/>
      <c r="Q1317" s="116"/>
      <c r="R1317" s="116"/>
      <c r="S1317" s="117"/>
    </row>
    <row r="1318" spans="1:19" s="146" customFormat="1" ht="18" customHeight="1">
      <c r="A1318" s="141"/>
      <c r="B1318" s="155"/>
      <c r="C1318" s="1060"/>
      <c r="D1318" s="1060"/>
      <c r="E1318" s="154"/>
      <c r="F1318" s="155"/>
      <c r="G1318" s="140"/>
      <c r="H1318" s="141"/>
      <c r="I1318" s="210"/>
      <c r="J1318" s="143"/>
      <c r="K1318" s="210"/>
      <c r="L1318" s="143"/>
      <c r="M1318" s="143"/>
      <c r="N1318" s="170"/>
      <c r="O1318" s="115"/>
      <c r="P1318" s="115"/>
      <c r="Q1318" s="116"/>
      <c r="R1318" s="116"/>
      <c r="S1318" s="117"/>
    </row>
    <row r="1319" spans="1:19" s="146" customFormat="1" ht="18" customHeight="1">
      <c r="A1319" s="200"/>
      <c r="B1319" s="155"/>
      <c r="C1319" s="1060"/>
      <c r="D1319" s="1060"/>
      <c r="E1319" s="154"/>
      <c r="F1319" s="155"/>
      <c r="G1319" s="140"/>
      <c r="H1319" s="141"/>
      <c r="I1319" s="210"/>
      <c r="J1319" s="143"/>
      <c r="K1319" s="210"/>
      <c r="L1319" s="143"/>
      <c r="M1319" s="143"/>
      <c r="N1319" s="170"/>
      <c r="O1319" s="115"/>
      <c r="P1319" s="115"/>
      <c r="Q1319" s="116"/>
      <c r="R1319" s="116"/>
      <c r="S1319" s="117"/>
    </row>
    <row r="1320" spans="1:19" s="146" customFormat="1" ht="18" customHeight="1" thickBot="1">
      <c r="A1320" s="258"/>
      <c r="B1320" s="259"/>
      <c r="C1320" s="260"/>
      <c r="D1320" s="260"/>
      <c r="E1320" s="261"/>
      <c r="F1320" s="259"/>
      <c r="G1320" s="262"/>
      <c r="H1320" s="263" t="s">
        <v>15</v>
      </c>
      <c r="I1320" s="163"/>
      <c r="J1320" s="163">
        <f>SUM(J1281:J1319)</f>
        <v>694212</v>
      </c>
      <c r="K1320" s="163"/>
      <c r="L1320" s="163"/>
      <c r="M1320" s="163">
        <f>SUM(M1281:M1319)</f>
        <v>31898</v>
      </c>
      <c r="N1320" s="169"/>
      <c r="O1320" s="115"/>
      <c r="P1320" s="115"/>
      <c r="Q1320" s="116"/>
      <c r="R1320" s="116"/>
      <c r="S1320" s="117"/>
    </row>
    <row r="1321" spans="1:19" s="146" customFormat="1" ht="18" customHeight="1" thickTop="1">
      <c r="A1321" s="155"/>
      <c r="B1321" s="155"/>
      <c r="C1321" s="1060"/>
      <c r="D1321" s="1060"/>
      <c r="E1321" s="155"/>
      <c r="F1321" s="155"/>
      <c r="G1321" s="155"/>
      <c r="H1321" s="1060"/>
      <c r="I1321" s="155"/>
      <c r="J1321" s="169"/>
      <c r="K1321" s="172"/>
      <c r="L1321" s="171"/>
      <c r="M1321" s="171"/>
      <c r="N1321" s="171"/>
      <c r="O1321" s="115"/>
      <c r="P1321" s="115"/>
      <c r="Q1321" s="116"/>
      <c r="R1321" s="116"/>
      <c r="S1321" s="117"/>
    </row>
    <row r="1322" spans="1:19" s="146" customFormat="1" ht="18" customHeight="1">
      <c r="A1322" s="155"/>
      <c r="B1322" s="155"/>
      <c r="C1322" s="1060"/>
      <c r="D1322" s="1060"/>
      <c r="E1322" s="155"/>
      <c r="F1322" s="155"/>
      <c r="G1322" s="155"/>
      <c r="H1322" s="155"/>
      <c r="I1322" s="155"/>
      <c r="J1322" s="155"/>
      <c r="K1322" s="172"/>
      <c r="L1322" s="170"/>
      <c r="M1322" s="170"/>
      <c r="N1322" s="170"/>
      <c r="O1322" s="115"/>
      <c r="P1322" s="115"/>
      <c r="Q1322" s="116"/>
      <c r="R1322" s="116"/>
      <c r="S1322" s="117"/>
    </row>
    <row r="1323" spans="1:19" s="146" customFormat="1" ht="18" customHeight="1">
      <c r="A1323" s="155"/>
      <c r="B1323" s="155"/>
      <c r="C1323" s="1060"/>
      <c r="D1323" s="1060"/>
      <c r="E1323" s="155"/>
      <c r="F1323" s="155"/>
      <c r="G1323" s="155"/>
      <c r="H1323" s="155"/>
      <c r="I1323" s="155"/>
      <c r="J1323" s="155"/>
      <c r="K1323" s="172"/>
      <c r="L1323" s="170"/>
      <c r="M1323" s="170"/>
      <c r="N1323" s="170"/>
      <c r="O1323" s="115"/>
      <c r="P1323" s="115"/>
      <c r="Q1323" s="116"/>
      <c r="R1323" s="116"/>
      <c r="S1323" s="117"/>
    </row>
    <row r="1324" spans="1:19" s="146" customFormat="1" ht="18" customHeight="1">
      <c r="A1324" s="173" t="s">
        <v>626</v>
      </c>
      <c r="B1324" s="173"/>
      <c r="C1324" s="1052"/>
      <c r="D1324" s="1052"/>
      <c r="E1324" s="174"/>
      <c r="F1324" s="174"/>
      <c r="G1324" s="174"/>
      <c r="H1324" s="173" t="s">
        <v>627</v>
      </c>
      <c r="I1324" s="174"/>
      <c r="K1324" s="173" t="s">
        <v>258</v>
      </c>
      <c r="L1324" s="175"/>
      <c r="M1324" s="175"/>
      <c r="N1324" s="175"/>
      <c r="O1324" s="115"/>
      <c r="P1324" s="115"/>
      <c r="Q1324" s="116"/>
      <c r="R1324" s="116"/>
      <c r="S1324" s="117"/>
    </row>
    <row r="1325" spans="1:19" s="146" customFormat="1" ht="18" customHeight="1">
      <c r="A1325" s="174"/>
      <c r="B1325" s="174"/>
      <c r="C1325" s="1053"/>
      <c r="D1325" s="1053"/>
      <c r="E1325" s="174"/>
      <c r="F1325" s="174"/>
      <c r="G1325" s="174"/>
      <c r="H1325" s="174"/>
      <c r="I1325" s="174"/>
      <c r="J1325" s="174"/>
      <c r="K1325" s="176"/>
      <c r="L1325" s="175"/>
      <c r="M1325" s="175"/>
      <c r="N1325" s="175"/>
      <c r="O1325" s="115"/>
      <c r="P1325" s="115"/>
      <c r="Q1325" s="116"/>
      <c r="R1325" s="116"/>
      <c r="S1325" s="117"/>
    </row>
    <row r="1326" spans="1:19" s="146" customFormat="1" ht="18" customHeight="1">
      <c r="A1326" s="1310" t="s">
        <v>65</v>
      </c>
      <c r="B1326" s="1310"/>
      <c r="C1326" s="1310"/>
      <c r="D1326" s="1310"/>
      <c r="E1326" s="1310"/>
      <c r="F1326" s="1310"/>
      <c r="G1326" s="174"/>
      <c r="H1326" s="1310" t="s">
        <v>17</v>
      </c>
      <c r="I1326" s="1310"/>
      <c r="J1326" s="174"/>
      <c r="K1326" s="1310" t="s">
        <v>1454</v>
      </c>
      <c r="L1326" s="1310"/>
      <c r="M1326" s="1310"/>
      <c r="N1326" s="1052"/>
      <c r="O1326" s="115"/>
      <c r="P1326" s="115"/>
      <c r="Q1326" s="116"/>
      <c r="R1326" s="116"/>
      <c r="S1326" s="117"/>
    </row>
    <row r="1327" spans="1:19" s="146" customFormat="1" ht="18" customHeight="1">
      <c r="A1327" s="1294" t="s">
        <v>430</v>
      </c>
      <c r="B1327" s="1294"/>
      <c r="C1327" s="1294"/>
      <c r="D1327" s="1294"/>
      <c r="E1327" s="1294"/>
      <c r="F1327" s="1294"/>
      <c r="G1327" s="177"/>
      <c r="H1327" s="1294" t="s">
        <v>18</v>
      </c>
      <c r="I1327" s="1294"/>
      <c r="J1327" s="1052"/>
      <c r="K1327" s="1294" t="s">
        <v>14</v>
      </c>
      <c r="L1327" s="1294"/>
      <c r="M1327" s="1294"/>
      <c r="N1327" s="1053"/>
      <c r="O1327" s="115"/>
      <c r="P1327" s="115"/>
      <c r="Q1327" s="116"/>
      <c r="R1327" s="116"/>
      <c r="S1327" s="117"/>
    </row>
    <row r="1328" spans="1:19" s="146" customFormat="1" ht="18" customHeight="1">
      <c r="A1328" s="1053"/>
      <c r="B1328" s="1053"/>
      <c r="C1328" s="1053"/>
      <c r="D1328" s="1053"/>
      <c r="E1328" s="1053"/>
      <c r="F1328" s="1053"/>
      <c r="G1328" s="177"/>
      <c r="H1328" s="1053"/>
      <c r="I1328" s="1053"/>
      <c r="J1328" s="1052"/>
      <c r="K1328" s="1053"/>
      <c r="L1328" s="1053"/>
      <c r="M1328" s="1053"/>
      <c r="N1328" s="1053"/>
      <c r="O1328" s="115"/>
      <c r="P1328" s="115"/>
      <c r="Q1328" s="116"/>
      <c r="R1328" s="116"/>
      <c r="S1328" s="117"/>
    </row>
    <row r="1329" spans="1:19" s="146" customFormat="1" ht="18" customHeight="1">
      <c r="A1329" s="1053"/>
      <c r="B1329" s="1053"/>
      <c r="C1329" s="1053"/>
      <c r="D1329" s="1053"/>
      <c r="E1329" s="1053"/>
      <c r="F1329" s="1053"/>
      <c r="G1329" s="177"/>
      <c r="H1329" s="1053"/>
      <c r="I1329" s="1053"/>
      <c r="J1329" s="1052"/>
      <c r="K1329" s="1053"/>
      <c r="L1329" s="1053"/>
      <c r="M1329" s="1053"/>
      <c r="N1329" s="1053"/>
      <c r="O1329" s="115"/>
      <c r="P1329" s="115"/>
      <c r="Q1329" s="116"/>
      <c r="R1329" s="116"/>
      <c r="S1329" s="117"/>
    </row>
    <row r="1330" spans="1:19" s="146" customFormat="1" ht="18" customHeight="1">
      <c r="A1330" s="1053"/>
      <c r="B1330" s="1053"/>
      <c r="C1330" s="1053"/>
      <c r="D1330" s="1053"/>
      <c r="E1330" s="1053"/>
      <c r="F1330" s="1053"/>
      <c r="G1330" s="177"/>
      <c r="H1330" s="1053"/>
      <c r="I1330" s="1053"/>
      <c r="J1330" s="1052"/>
      <c r="K1330" s="1053"/>
      <c r="L1330" s="1053"/>
      <c r="M1330" s="1053"/>
      <c r="N1330" s="1053"/>
      <c r="O1330" s="115"/>
      <c r="P1330" s="115"/>
      <c r="Q1330" s="116"/>
      <c r="R1330" s="116"/>
      <c r="S1330" s="117"/>
    </row>
    <row r="1331" spans="1:19" s="146" customFormat="1" ht="18" customHeight="1">
      <c r="A1331" s="1053"/>
      <c r="B1331" s="1053"/>
      <c r="C1331" s="1053"/>
      <c r="D1331" s="1053"/>
      <c r="E1331" s="1053"/>
      <c r="F1331" s="1053"/>
      <c r="G1331" s="177"/>
      <c r="H1331" s="1053"/>
      <c r="I1331" s="1053"/>
      <c r="J1331" s="1052"/>
      <c r="K1331" s="1053"/>
      <c r="L1331" s="1053"/>
      <c r="M1331" s="1053"/>
      <c r="N1331" s="1053"/>
      <c r="O1331" s="115"/>
      <c r="P1331" s="115"/>
      <c r="Q1331" s="116"/>
      <c r="R1331" s="116"/>
      <c r="S1331" s="117"/>
    </row>
    <row r="1332" spans="1:19" s="146" customFormat="1" ht="18" customHeight="1">
      <c r="A1332" s="1053"/>
      <c r="B1332" s="1053"/>
      <c r="C1332" s="1053"/>
      <c r="D1332" s="1053"/>
      <c r="E1332" s="1053"/>
      <c r="F1332" s="1053"/>
      <c r="G1332" s="177"/>
      <c r="H1332" s="1053"/>
      <c r="I1332" s="1053"/>
      <c r="J1332" s="1052"/>
      <c r="K1332" s="1053"/>
      <c r="L1332" s="1053"/>
      <c r="M1332" s="1053"/>
      <c r="N1332" s="1053"/>
      <c r="O1332" s="115"/>
      <c r="P1332" s="115"/>
      <c r="Q1332" s="116"/>
      <c r="R1332" s="116"/>
      <c r="S1332" s="117"/>
    </row>
    <row r="1333" spans="1:19" s="146" customFormat="1" ht="18" customHeight="1">
      <c r="A1333" s="1053"/>
      <c r="B1333" s="1053"/>
      <c r="C1333" s="1053"/>
      <c r="D1333" s="1053"/>
      <c r="E1333" s="1053"/>
      <c r="F1333" s="1053"/>
      <c r="G1333" s="177"/>
      <c r="H1333" s="1053"/>
      <c r="I1333" s="1053"/>
      <c r="J1333" s="1052"/>
      <c r="K1333" s="1053"/>
      <c r="L1333" s="1053"/>
      <c r="M1333" s="1053"/>
      <c r="N1333" s="1053"/>
      <c r="O1333" s="115"/>
      <c r="P1333" s="115"/>
      <c r="Q1333" s="116"/>
      <c r="R1333" s="116"/>
      <c r="S1333" s="117"/>
    </row>
    <row r="1334" spans="1:19" s="146" customFormat="1" ht="18" customHeight="1">
      <c r="A1334" s="1053"/>
      <c r="B1334" s="1053"/>
      <c r="C1334" s="1053"/>
      <c r="D1334" s="1053"/>
      <c r="E1334" s="1053"/>
      <c r="F1334" s="1053"/>
      <c r="G1334" s="177"/>
      <c r="H1334" s="1053"/>
      <c r="I1334" s="1053"/>
      <c r="J1334" s="1052"/>
      <c r="K1334" s="1053"/>
      <c r="L1334" s="1053"/>
      <c r="M1334" s="1053"/>
      <c r="N1334" s="1053"/>
      <c r="O1334" s="115"/>
      <c r="P1334" s="115"/>
      <c r="Q1334" s="116"/>
      <c r="R1334" s="116"/>
      <c r="S1334" s="117"/>
    </row>
    <row r="1335" spans="1:19" s="146" customFormat="1" ht="18" customHeight="1">
      <c r="A1335" s="1053"/>
      <c r="B1335" s="1053"/>
      <c r="C1335" s="1053"/>
      <c r="D1335" s="1053"/>
      <c r="E1335" s="1053"/>
      <c r="F1335" s="1053"/>
      <c r="G1335" s="177"/>
      <c r="H1335" s="1053"/>
      <c r="I1335" s="1053"/>
      <c r="J1335" s="1052"/>
      <c r="K1335" s="1053"/>
      <c r="L1335" s="1053"/>
      <c r="M1335" s="1053"/>
      <c r="N1335" s="1053"/>
      <c r="O1335" s="115"/>
      <c r="P1335" s="115"/>
      <c r="Q1335" s="116"/>
      <c r="R1335" s="116"/>
      <c r="S1335" s="117"/>
    </row>
    <row r="1336" spans="1:19" s="146" customFormat="1" ht="18" customHeight="1">
      <c r="A1336" s="1053"/>
      <c r="B1336" s="1053"/>
      <c r="C1336" s="1053"/>
      <c r="D1336" s="1053"/>
      <c r="E1336" s="1053"/>
      <c r="F1336" s="1053"/>
      <c r="G1336" s="177"/>
      <c r="H1336" s="1053"/>
      <c r="I1336" s="1053"/>
      <c r="J1336" s="1052"/>
      <c r="K1336" s="1053"/>
      <c r="L1336" s="1053"/>
      <c r="M1336" s="1053"/>
      <c r="N1336" s="1053"/>
      <c r="O1336" s="115"/>
      <c r="P1336" s="115"/>
      <c r="Q1336" s="116"/>
      <c r="R1336" s="116"/>
      <c r="S1336" s="117"/>
    </row>
    <row r="1337" spans="1:19" s="146" customFormat="1" ht="18" customHeight="1">
      <c r="A1337" s="1053"/>
      <c r="B1337" s="1053"/>
      <c r="C1337" s="1053"/>
      <c r="D1337" s="1053"/>
      <c r="E1337" s="1053"/>
      <c r="F1337" s="1053"/>
      <c r="G1337" s="177"/>
      <c r="H1337" s="1053"/>
      <c r="I1337" s="1053"/>
      <c r="J1337" s="1052"/>
      <c r="K1337" s="1053"/>
      <c r="L1337" s="1053"/>
      <c r="M1337" s="1053"/>
      <c r="N1337" s="1053"/>
      <c r="O1337" s="115"/>
      <c r="P1337" s="115"/>
      <c r="Q1337" s="116"/>
      <c r="R1337" s="116"/>
      <c r="S1337" s="117"/>
    </row>
    <row r="1338" spans="1:19" s="146" customFormat="1" ht="18" customHeight="1">
      <c r="A1338" s="1053"/>
      <c r="B1338" s="1053"/>
      <c r="C1338" s="1053"/>
      <c r="D1338" s="1053"/>
      <c r="E1338" s="1053"/>
      <c r="F1338" s="1053"/>
      <c r="G1338" s="177"/>
      <c r="H1338" s="1053"/>
      <c r="I1338" s="1053"/>
      <c r="J1338" s="1052"/>
      <c r="K1338" s="1053"/>
      <c r="L1338" s="1053"/>
      <c r="M1338" s="1053"/>
      <c r="N1338" s="1053"/>
      <c r="O1338" s="115"/>
      <c r="P1338" s="115"/>
      <c r="Q1338" s="116"/>
      <c r="R1338" s="116"/>
      <c r="S1338" s="117"/>
    </row>
    <row r="1339" spans="1:19" s="146" customFormat="1" ht="18" customHeight="1">
      <c r="A1339" s="1053"/>
      <c r="B1339" s="1053"/>
      <c r="C1339" s="1053"/>
      <c r="D1339" s="1053"/>
      <c r="E1339" s="1053"/>
      <c r="F1339" s="1053"/>
      <c r="G1339" s="177"/>
      <c r="H1339" s="1053"/>
      <c r="I1339" s="1053"/>
      <c r="J1339" s="1052"/>
      <c r="K1339" s="1053"/>
      <c r="L1339" s="1053"/>
      <c r="M1339" s="1053"/>
      <c r="N1339" s="1053"/>
      <c r="O1339" s="115"/>
      <c r="P1339" s="115"/>
      <c r="Q1339" s="116"/>
      <c r="R1339" s="116"/>
      <c r="S1339" s="117"/>
    </row>
    <row r="1340" spans="1:19" s="146" customFormat="1" ht="18" customHeight="1">
      <c r="A1340" s="1053"/>
      <c r="B1340" s="1053"/>
      <c r="C1340" s="1053"/>
      <c r="D1340" s="1053"/>
      <c r="E1340" s="1053"/>
      <c r="F1340" s="1053"/>
      <c r="G1340" s="177"/>
      <c r="H1340" s="1053"/>
      <c r="I1340" s="1053"/>
      <c r="J1340" s="1052"/>
      <c r="K1340" s="1053"/>
      <c r="L1340" s="1053"/>
      <c r="M1340" s="1053"/>
      <c r="N1340" s="1053"/>
      <c r="O1340" s="115"/>
      <c r="P1340" s="115"/>
      <c r="Q1340" s="116"/>
      <c r="R1340" s="116"/>
      <c r="S1340" s="117"/>
    </row>
    <row r="1341" spans="1:19" s="146" customFormat="1" ht="18" customHeight="1">
      <c r="A1341" s="1053"/>
      <c r="B1341" s="1053"/>
      <c r="C1341" s="1053"/>
      <c r="D1341" s="1053"/>
      <c r="E1341" s="1053"/>
      <c r="F1341" s="1053"/>
      <c r="G1341" s="177"/>
      <c r="H1341" s="1053"/>
      <c r="I1341" s="1053"/>
      <c r="J1341" s="1052"/>
      <c r="K1341" s="1053"/>
      <c r="L1341" s="1053"/>
      <c r="M1341" s="1053"/>
      <c r="N1341" s="1053"/>
      <c r="O1341" s="115"/>
      <c r="P1341" s="115"/>
      <c r="Q1341" s="116"/>
      <c r="R1341" s="116"/>
      <c r="S1341" s="117"/>
    </row>
    <row r="1342" spans="1:19" s="146" customFormat="1" ht="18" customHeight="1">
      <c r="A1342" s="1053"/>
      <c r="B1342" s="1053"/>
      <c r="C1342" s="1053"/>
      <c r="D1342" s="1053"/>
      <c r="E1342" s="1053"/>
      <c r="F1342" s="1053"/>
      <c r="G1342" s="177"/>
      <c r="H1342" s="1053"/>
      <c r="I1342" s="1053"/>
      <c r="J1342" s="1052"/>
      <c r="K1342" s="1053"/>
      <c r="L1342" s="1053"/>
      <c r="M1342" s="1053"/>
      <c r="N1342" s="1053"/>
      <c r="O1342" s="115"/>
      <c r="P1342" s="115"/>
      <c r="Q1342" s="116"/>
      <c r="R1342" s="116"/>
      <c r="S1342" s="117"/>
    </row>
    <row r="1343" spans="1:19" s="146" customFormat="1" ht="18" customHeight="1">
      <c r="A1343" s="1053"/>
      <c r="B1343" s="1053"/>
      <c r="C1343" s="1053"/>
      <c r="D1343" s="1053"/>
      <c r="E1343" s="1053"/>
      <c r="F1343" s="1053"/>
      <c r="G1343" s="177"/>
      <c r="H1343" s="1053"/>
      <c r="I1343" s="1053"/>
      <c r="J1343" s="1052"/>
      <c r="K1343" s="1053"/>
      <c r="L1343" s="1053"/>
      <c r="M1343" s="1053"/>
      <c r="N1343" s="1053"/>
      <c r="O1343" s="115"/>
      <c r="P1343" s="115"/>
      <c r="Q1343" s="116"/>
      <c r="R1343" s="116"/>
      <c r="S1343" s="117"/>
    </row>
    <row r="1344" spans="1:19" ht="18" customHeight="1">
      <c r="A1344" s="1306" t="s">
        <v>1074</v>
      </c>
      <c r="B1344" s="1306"/>
      <c r="C1344" s="1306"/>
      <c r="D1344" s="1306"/>
      <c r="E1344" s="1306"/>
      <c r="F1344" s="1306"/>
      <c r="G1344" s="1306"/>
      <c r="H1344" s="1306"/>
      <c r="I1344" s="1306"/>
      <c r="J1344" s="1306"/>
      <c r="K1344" s="1306"/>
      <c r="L1344" s="1306"/>
      <c r="M1344" s="1306"/>
      <c r="N1344" s="1062"/>
    </row>
    <row r="1345" spans="3:19" ht="18" customHeight="1"/>
    <row r="1346" spans="3:19" ht="18" customHeight="1">
      <c r="J1346" s="264">
        <f>SUM(J1320+J1235+J1097+J1027+J946+J874+J803+J728+J661+J587+J514+J443+J368+J280+J125)</f>
        <v>39885984</v>
      </c>
      <c r="L1346" s="265"/>
      <c r="M1346" s="264">
        <f>SUM(M1320+M1235+M1097+M1027+M946+M874+M803+M728+M661+M587+M514+M443+M368+M280+M125)</f>
        <v>5300601</v>
      </c>
      <c r="N1346" s="264"/>
    </row>
    <row r="1347" spans="3:19" ht="18" customHeight="1">
      <c r="J1347" s="266">
        <f>J1346-'[2]LBP NO. 3'!J481</f>
        <v>7336716</v>
      </c>
      <c r="M1347" s="178">
        <f>M1346-'[2]LBP NO. 3'!M481</f>
        <v>2107808</v>
      </c>
    </row>
    <row r="1348" spans="3:19" ht="18" customHeight="1"/>
    <row r="1349" spans="3:19" ht="18" customHeight="1"/>
    <row r="1350" spans="3:19" ht="18" customHeight="1"/>
    <row r="1351" spans="3:19" ht="18" customHeight="1"/>
    <row r="1352" spans="3:19" ht="18" customHeight="1"/>
    <row r="1353" spans="3:19" ht="18" customHeight="1"/>
    <row r="1354" spans="3:19" ht="18" customHeight="1">
      <c r="C1354" s="118"/>
      <c r="D1354" s="118"/>
      <c r="K1354" s="118"/>
      <c r="L1354" s="118"/>
      <c r="M1354" s="118"/>
      <c r="N1354" s="118"/>
      <c r="O1354" s="118"/>
      <c r="P1354" s="118"/>
      <c r="Q1354" s="118"/>
      <c r="R1354" s="118"/>
      <c r="S1354" s="118"/>
    </row>
    <row r="1355" spans="3:19" ht="18" customHeight="1">
      <c r="C1355" s="118"/>
      <c r="D1355" s="118"/>
      <c r="K1355" s="118"/>
      <c r="L1355" s="118"/>
      <c r="M1355" s="118"/>
      <c r="N1355" s="118"/>
      <c r="O1355" s="118"/>
      <c r="P1355" s="118"/>
      <c r="Q1355" s="118"/>
      <c r="R1355" s="118"/>
      <c r="S1355" s="118"/>
    </row>
    <row r="1356" spans="3:19" ht="18" customHeight="1">
      <c r="C1356" s="118"/>
      <c r="D1356" s="118"/>
      <c r="K1356" s="118"/>
      <c r="L1356" s="118"/>
      <c r="M1356" s="118"/>
      <c r="N1356" s="118"/>
      <c r="O1356" s="118"/>
      <c r="P1356" s="118"/>
      <c r="Q1356" s="118"/>
      <c r="R1356" s="118"/>
      <c r="S1356" s="118"/>
    </row>
    <row r="1357" spans="3:19" ht="18" customHeight="1">
      <c r="C1357" s="118"/>
      <c r="D1357" s="118"/>
      <c r="K1357" s="118"/>
      <c r="L1357" s="118"/>
      <c r="M1357" s="118"/>
      <c r="N1357" s="118"/>
      <c r="O1357" s="118"/>
      <c r="P1357" s="118"/>
      <c r="Q1357" s="118"/>
      <c r="R1357" s="118"/>
      <c r="S1357" s="118"/>
    </row>
    <row r="1358" spans="3:19" ht="18" customHeight="1">
      <c r="C1358" s="118"/>
      <c r="D1358" s="118"/>
      <c r="K1358" s="118"/>
      <c r="L1358" s="118"/>
      <c r="M1358" s="118"/>
      <c r="N1358" s="118"/>
      <c r="O1358" s="118"/>
      <c r="P1358" s="118"/>
      <c r="Q1358" s="118"/>
      <c r="R1358" s="118"/>
      <c r="S1358" s="118"/>
    </row>
    <row r="1359" spans="3:19" ht="18" customHeight="1">
      <c r="C1359" s="118"/>
      <c r="D1359" s="118"/>
      <c r="K1359" s="118"/>
      <c r="L1359" s="118"/>
      <c r="M1359" s="118"/>
      <c r="N1359" s="118"/>
      <c r="O1359" s="118"/>
      <c r="P1359" s="118"/>
      <c r="Q1359" s="118"/>
      <c r="R1359" s="118"/>
      <c r="S1359" s="118"/>
    </row>
    <row r="1360" spans="3:19" ht="18" customHeight="1">
      <c r="C1360" s="118"/>
      <c r="D1360" s="118"/>
      <c r="K1360" s="118"/>
      <c r="L1360" s="118"/>
      <c r="M1360" s="118"/>
      <c r="N1360" s="118"/>
      <c r="O1360" s="118"/>
      <c r="P1360" s="118"/>
      <c r="Q1360" s="118"/>
      <c r="R1360" s="118"/>
      <c r="S1360" s="118"/>
    </row>
    <row r="1361" spans="3:19" ht="18" customHeight="1">
      <c r="C1361" s="118"/>
      <c r="D1361" s="118"/>
      <c r="K1361" s="118"/>
      <c r="L1361" s="118"/>
      <c r="M1361" s="118"/>
      <c r="N1361" s="118"/>
      <c r="O1361" s="118"/>
      <c r="P1361" s="118"/>
      <c r="Q1361" s="118"/>
      <c r="R1361" s="118"/>
      <c r="S1361" s="118"/>
    </row>
    <row r="1362" spans="3:19" ht="18" customHeight="1">
      <c r="C1362" s="118"/>
      <c r="D1362" s="118"/>
      <c r="K1362" s="118"/>
      <c r="L1362" s="118"/>
      <c r="M1362" s="118"/>
      <c r="N1362" s="118"/>
      <c r="O1362" s="118"/>
      <c r="P1362" s="118"/>
      <c r="Q1362" s="118"/>
      <c r="R1362" s="118"/>
      <c r="S1362" s="118"/>
    </row>
    <row r="1363" spans="3:19" ht="18" customHeight="1">
      <c r="C1363" s="118"/>
      <c r="D1363" s="118"/>
      <c r="K1363" s="118"/>
      <c r="L1363" s="118"/>
      <c r="M1363" s="118"/>
      <c r="N1363" s="118"/>
      <c r="O1363" s="118"/>
      <c r="P1363" s="118"/>
      <c r="Q1363" s="118"/>
      <c r="R1363" s="118"/>
      <c r="S1363" s="118"/>
    </row>
    <row r="1364" spans="3:19" ht="18" customHeight="1">
      <c r="C1364" s="118"/>
      <c r="D1364" s="118"/>
      <c r="K1364" s="118"/>
      <c r="L1364" s="118"/>
      <c r="M1364" s="118"/>
      <c r="N1364" s="118"/>
      <c r="O1364" s="118"/>
      <c r="P1364" s="118"/>
      <c r="Q1364" s="118"/>
      <c r="R1364" s="118"/>
      <c r="S1364" s="118"/>
    </row>
    <row r="1365" spans="3:19" ht="18" customHeight="1">
      <c r="C1365" s="118"/>
      <c r="D1365" s="118"/>
      <c r="K1365" s="118"/>
      <c r="L1365" s="118"/>
      <c r="M1365" s="118"/>
      <c r="N1365" s="118"/>
      <c r="O1365" s="118"/>
      <c r="P1365" s="118"/>
      <c r="Q1365" s="118"/>
      <c r="R1365" s="118"/>
      <c r="S1365" s="118"/>
    </row>
    <row r="1366" spans="3:19" ht="18" customHeight="1">
      <c r="C1366" s="118"/>
      <c r="D1366" s="118"/>
      <c r="K1366" s="118"/>
      <c r="L1366" s="118"/>
      <c r="M1366" s="118"/>
      <c r="N1366" s="118"/>
      <c r="O1366" s="118"/>
      <c r="P1366" s="118"/>
      <c r="Q1366" s="118"/>
      <c r="R1366" s="118"/>
      <c r="S1366" s="118"/>
    </row>
    <row r="1367" spans="3:19" ht="18" customHeight="1">
      <c r="C1367" s="118"/>
      <c r="D1367" s="118"/>
      <c r="K1367" s="118"/>
      <c r="L1367" s="118"/>
      <c r="M1367" s="118"/>
      <c r="N1367" s="118"/>
      <c r="O1367" s="118"/>
      <c r="P1367" s="118"/>
      <c r="Q1367" s="118"/>
      <c r="R1367" s="118"/>
      <c r="S1367" s="118"/>
    </row>
    <row r="1368" spans="3:19" ht="18" customHeight="1">
      <c r="C1368" s="118"/>
      <c r="D1368" s="118"/>
      <c r="K1368" s="118"/>
      <c r="L1368" s="118"/>
      <c r="M1368" s="118"/>
      <c r="N1368" s="118"/>
      <c r="O1368" s="118"/>
      <c r="P1368" s="118"/>
      <c r="Q1368" s="118"/>
      <c r="R1368" s="118"/>
      <c r="S1368" s="118"/>
    </row>
    <row r="1369" spans="3:19" ht="18" customHeight="1">
      <c r="C1369" s="118"/>
      <c r="D1369" s="118"/>
      <c r="K1369" s="118"/>
      <c r="L1369" s="118"/>
      <c r="M1369" s="118"/>
      <c r="N1369" s="118"/>
      <c r="O1369" s="118"/>
      <c r="P1369" s="118"/>
      <c r="Q1369" s="118"/>
      <c r="R1369" s="118"/>
      <c r="S1369" s="118"/>
    </row>
    <row r="1370" spans="3:19" ht="18" customHeight="1">
      <c r="C1370" s="118"/>
      <c r="D1370" s="118"/>
      <c r="K1370" s="118"/>
      <c r="L1370" s="118"/>
      <c r="M1370" s="118"/>
      <c r="N1370" s="118"/>
      <c r="O1370" s="118"/>
      <c r="P1370" s="118"/>
      <c r="Q1370" s="118"/>
      <c r="R1370" s="118"/>
      <c r="S1370" s="118"/>
    </row>
    <row r="1371" spans="3:19" ht="18" customHeight="1">
      <c r="C1371" s="118"/>
      <c r="D1371" s="118"/>
      <c r="K1371" s="118"/>
      <c r="L1371" s="118"/>
      <c r="M1371" s="118"/>
      <c r="N1371" s="118"/>
      <c r="O1371" s="118"/>
      <c r="P1371" s="118"/>
      <c r="Q1371" s="118"/>
      <c r="R1371" s="118"/>
      <c r="S1371" s="118"/>
    </row>
    <row r="1372" spans="3:19" ht="18" customHeight="1">
      <c r="C1372" s="118"/>
      <c r="D1372" s="118"/>
      <c r="K1372" s="118"/>
      <c r="L1372" s="118"/>
      <c r="M1372" s="118"/>
      <c r="N1372" s="118"/>
      <c r="O1372" s="118"/>
      <c r="P1372" s="118"/>
      <c r="Q1372" s="118"/>
      <c r="R1372" s="118"/>
      <c r="S1372" s="118"/>
    </row>
    <row r="1373" spans="3:19" ht="18" customHeight="1">
      <c r="C1373" s="118"/>
      <c r="D1373" s="118"/>
      <c r="K1373" s="118"/>
      <c r="L1373" s="118"/>
      <c r="M1373" s="118"/>
      <c r="N1373" s="118"/>
      <c r="O1373" s="118"/>
      <c r="P1373" s="118"/>
      <c r="Q1373" s="118"/>
      <c r="R1373" s="118"/>
      <c r="S1373" s="118"/>
    </row>
    <row r="1374" spans="3:19" ht="18" customHeight="1">
      <c r="C1374" s="118"/>
      <c r="D1374" s="118"/>
      <c r="K1374" s="118"/>
      <c r="L1374" s="118"/>
      <c r="M1374" s="118"/>
      <c r="N1374" s="118"/>
      <c r="O1374" s="118"/>
      <c r="P1374" s="118"/>
      <c r="Q1374" s="118"/>
      <c r="R1374" s="118"/>
      <c r="S1374" s="118"/>
    </row>
    <row r="1375" spans="3:19" ht="18" customHeight="1">
      <c r="C1375" s="118"/>
      <c r="D1375" s="118"/>
      <c r="K1375" s="118"/>
      <c r="L1375" s="118"/>
      <c r="M1375" s="118"/>
      <c r="N1375" s="118"/>
      <c r="O1375" s="118"/>
      <c r="P1375" s="118"/>
      <c r="Q1375" s="118"/>
      <c r="R1375" s="118"/>
      <c r="S1375" s="118"/>
    </row>
    <row r="1376" spans="3:19" ht="18" customHeight="1">
      <c r="C1376" s="118"/>
      <c r="D1376" s="118"/>
      <c r="K1376" s="118"/>
      <c r="L1376" s="118"/>
      <c r="M1376" s="118"/>
      <c r="N1376" s="118"/>
      <c r="O1376" s="118"/>
      <c r="P1376" s="118"/>
      <c r="Q1376" s="118"/>
      <c r="R1376" s="118"/>
      <c r="S1376" s="118"/>
    </row>
    <row r="1377" spans="3:19" ht="18" customHeight="1">
      <c r="C1377" s="118"/>
      <c r="D1377" s="118"/>
      <c r="K1377" s="118"/>
      <c r="L1377" s="118"/>
      <c r="M1377" s="118"/>
      <c r="N1377" s="118"/>
      <c r="O1377" s="118"/>
      <c r="P1377" s="118"/>
      <c r="Q1377" s="118"/>
      <c r="R1377" s="118"/>
      <c r="S1377" s="118"/>
    </row>
    <row r="1378" spans="3:19" ht="18" customHeight="1">
      <c r="C1378" s="118"/>
      <c r="D1378" s="118"/>
      <c r="K1378" s="118"/>
      <c r="L1378" s="118"/>
      <c r="M1378" s="118"/>
      <c r="N1378" s="118"/>
      <c r="O1378" s="118"/>
      <c r="P1378" s="118"/>
      <c r="Q1378" s="118"/>
      <c r="R1378" s="118"/>
      <c r="S1378" s="118"/>
    </row>
    <row r="1379" spans="3:19" ht="18" customHeight="1">
      <c r="C1379" s="118"/>
      <c r="D1379" s="118"/>
      <c r="K1379" s="118"/>
      <c r="L1379" s="118"/>
      <c r="M1379" s="118"/>
      <c r="N1379" s="118"/>
      <c r="O1379" s="118"/>
      <c r="P1379" s="118"/>
      <c r="Q1379" s="118"/>
      <c r="R1379" s="118"/>
      <c r="S1379" s="118"/>
    </row>
    <row r="1380" spans="3:19" ht="18" customHeight="1">
      <c r="C1380" s="118"/>
      <c r="D1380" s="118"/>
      <c r="K1380" s="118"/>
      <c r="L1380" s="118"/>
      <c r="M1380" s="118"/>
      <c r="N1380" s="118"/>
      <c r="O1380" s="118"/>
      <c r="P1380" s="118"/>
      <c r="Q1380" s="118"/>
      <c r="R1380" s="118"/>
      <c r="S1380" s="118"/>
    </row>
    <row r="1381" spans="3:19" ht="18" customHeight="1">
      <c r="C1381" s="118"/>
      <c r="D1381" s="118"/>
      <c r="K1381" s="118"/>
      <c r="L1381" s="118"/>
      <c r="M1381" s="118"/>
      <c r="N1381" s="118"/>
      <c r="O1381" s="118"/>
      <c r="P1381" s="118"/>
      <c r="Q1381" s="118"/>
      <c r="R1381" s="118"/>
      <c r="S1381" s="118"/>
    </row>
    <row r="1382" spans="3:19" ht="18" customHeight="1">
      <c r="C1382" s="118"/>
      <c r="D1382" s="118"/>
      <c r="K1382" s="118"/>
      <c r="L1382" s="118"/>
      <c r="M1382" s="118"/>
      <c r="N1382" s="118"/>
      <c r="O1382" s="118"/>
      <c r="P1382" s="118"/>
      <c r="Q1382" s="118"/>
      <c r="R1382" s="118"/>
      <c r="S1382" s="118"/>
    </row>
    <row r="1383" spans="3:19" ht="18" customHeight="1">
      <c r="C1383" s="118"/>
      <c r="D1383" s="118"/>
      <c r="K1383" s="118"/>
      <c r="L1383" s="118"/>
      <c r="M1383" s="118"/>
      <c r="N1383" s="118"/>
      <c r="O1383" s="118"/>
      <c r="P1383" s="118"/>
      <c r="Q1383" s="118"/>
      <c r="R1383" s="118"/>
      <c r="S1383" s="118"/>
    </row>
    <row r="1384" spans="3:19" ht="18" customHeight="1">
      <c r="C1384" s="118"/>
      <c r="D1384" s="118"/>
      <c r="K1384" s="118"/>
      <c r="L1384" s="118"/>
      <c r="M1384" s="118"/>
      <c r="N1384" s="118"/>
      <c r="O1384" s="118"/>
      <c r="P1384" s="118"/>
      <c r="Q1384" s="118"/>
      <c r="R1384" s="118"/>
      <c r="S1384" s="118"/>
    </row>
    <row r="1385" spans="3:19" ht="18" customHeight="1">
      <c r="C1385" s="118"/>
      <c r="D1385" s="118"/>
      <c r="K1385" s="118"/>
      <c r="L1385" s="118"/>
      <c r="M1385" s="118"/>
      <c r="N1385" s="118"/>
      <c r="O1385" s="118"/>
      <c r="P1385" s="118"/>
      <c r="Q1385" s="118"/>
      <c r="R1385" s="118"/>
      <c r="S1385" s="118"/>
    </row>
    <row r="1386" spans="3:19" ht="18" customHeight="1">
      <c r="C1386" s="118"/>
      <c r="D1386" s="118"/>
      <c r="K1386" s="118"/>
      <c r="L1386" s="118"/>
      <c r="M1386" s="118"/>
      <c r="N1386" s="118"/>
      <c r="O1386" s="118"/>
      <c r="P1386" s="118"/>
      <c r="Q1386" s="118"/>
      <c r="R1386" s="118"/>
      <c r="S1386" s="118"/>
    </row>
    <row r="1387" spans="3:19" ht="18" customHeight="1">
      <c r="C1387" s="118"/>
      <c r="D1387" s="118"/>
      <c r="K1387" s="118"/>
      <c r="L1387" s="118"/>
      <c r="M1387" s="118"/>
      <c r="N1387" s="118"/>
      <c r="O1387" s="118"/>
      <c r="P1387" s="118"/>
      <c r="Q1387" s="118"/>
      <c r="R1387" s="118"/>
      <c r="S1387" s="118"/>
    </row>
    <row r="1388" spans="3:19" ht="18" customHeight="1">
      <c r="C1388" s="118"/>
      <c r="D1388" s="118"/>
      <c r="K1388" s="118"/>
      <c r="L1388" s="118"/>
      <c r="M1388" s="118"/>
      <c r="N1388" s="118"/>
      <c r="O1388" s="118"/>
      <c r="P1388" s="118"/>
      <c r="Q1388" s="118"/>
      <c r="R1388" s="118"/>
      <c r="S1388" s="118"/>
    </row>
    <row r="1389" spans="3:19" ht="18" customHeight="1">
      <c r="C1389" s="118"/>
      <c r="D1389" s="118"/>
      <c r="K1389" s="118"/>
      <c r="L1389" s="118"/>
      <c r="M1389" s="118"/>
      <c r="N1389" s="118"/>
      <c r="O1389" s="118"/>
      <c r="P1389" s="118"/>
      <c r="Q1389" s="118"/>
      <c r="R1389" s="118"/>
      <c r="S1389" s="118"/>
    </row>
    <row r="1390" spans="3:19" ht="18" customHeight="1">
      <c r="C1390" s="118"/>
      <c r="D1390" s="118"/>
      <c r="K1390" s="118"/>
      <c r="L1390" s="118"/>
      <c r="M1390" s="118"/>
      <c r="N1390" s="118"/>
      <c r="O1390" s="118"/>
      <c r="P1390" s="118"/>
      <c r="Q1390" s="118"/>
      <c r="R1390" s="118"/>
      <c r="S1390" s="118"/>
    </row>
    <row r="1391" spans="3:19" ht="18" customHeight="1">
      <c r="C1391" s="118"/>
      <c r="D1391" s="118"/>
      <c r="K1391" s="118"/>
      <c r="L1391" s="118"/>
      <c r="M1391" s="118"/>
      <c r="N1391" s="118"/>
      <c r="O1391" s="118"/>
      <c r="P1391" s="118"/>
      <c r="Q1391" s="118"/>
      <c r="R1391" s="118"/>
      <c r="S1391" s="118"/>
    </row>
    <row r="1392" spans="3:19" ht="18" customHeight="1">
      <c r="C1392" s="118"/>
      <c r="D1392" s="118"/>
      <c r="K1392" s="118"/>
      <c r="L1392" s="118"/>
      <c r="M1392" s="118"/>
      <c r="N1392" s="118"/>
      <c r="O1392" s="118"/>
      <c r="P1392" s="118"/>
      <c r="Q1392" s="118"/>
      <c r="R1392" s="118"/>
      <c r="S1392" s="118"/>
    </row>
    <row r="1393" spans="3:19" ht="18" customHeight="1">
      <c r="C1393" s="118"/>
      <c r="D1393" s="118"/>
      <c r="K1393" s="118"/>
      <c r="L1393" s="118"/>
      <c r="M1393" s="118"/>
      <c r="N1393" s="118"/>
      <c r="O1393" s="118"/>
      <c r="P1393" s="118"/>
      <c r="Q1393" s="118"/>
      <c r="R1393" s="118"/>
      <c r="S1393" s="118"/>
    </row>
    <row r="1394" spans="3:19" ht="18" customHeight="1">
      <c r="C1394" s="118"/>
      <c r="D1394" s="118"/>
      <c r="K1394" s="118"/>
      <c r="L1394" s="118"/>
      <c r="M1394" s="118"/>
      <c r="N1394" s="118"/>
      <c r="O1394" s="118"/>
      <c r="P1394" s="118"/>
      <c r="Q1394" s="118"/>
      <c r="R1394" s="118"/>
      <c r="S1394" s="118"/>
    </row>
    <row r="1395" spans="3:19" ht="18" customHeight="1">
      <c r="C1395" s="118"/>
      <c r="D1395" s="118"/>
      <c r="K1395" s="118"/>
      <c r="L1395" s="118"/>
      <c r="M1395" s="118"/>
      <c r="N1395" s="118"/>
      <c r="O1395" s="118"/>
      <c r="P1395" s="118"/>
      <c r="Q1395" s="118"/>
      <c r="R1395" s="118"/>
      <c r="S1395" s="118"/>
    </row>
    <row r="1396" spans="3:19" ht="18" customHeight="1">
      <c r="C1396" s="118"/>
      <c r="D1396" s="118"/>
      <c r="K1396" s="118"/>
      <c r="L1396" s="118"/>
      <c r="M1396" s="118"/>
      <c r="N1396" s="118"/>
      <c r="O1396" s="118"/>
      <c r="P1396" s="118"/>
      <c r="Q1396" s="118"/>
      <c r="R1396" s="118"/>
      <c r="S1396" s="118"/>
    </row>
    <row r="1397" spans="3:19" ht="18" customHeight="1">
      <c r="C1397" s="118"/>
      <c r="D1397" s="118"/>
      <c r="K1397" s="118"/>
      <c r="L1397" s="118"/>
      <c r="M1397" s="118"/>
      <c r="N1397" s="118"/>
      <c r="O1397" s="118"/>
      <c r="P1397" s="118"/>
      <c r="Q1397" s="118"/>
      <c r="R1397" s="118"/>
      <c r="S1397" s="118"/>
    </row>
    <row r="1398" spans="3:19" ht="18" customHeight="1">
      <c r="C1398" s="118"/>
      <c r="D1398" s="118"/>
      <c r="K1398" s="118"/>
      <c r="L1398" s="118"/>
      <c r="M1398" s="118"/>
      <c r="N1398" s="118"/>
      <c r="O1398" s="118"/>
      <c r="P1398" s="118"/>
      <c r="Q1398" s="118"/>
      <c r="R1398" s="118"/>
      <c r="S1398" s="118"/>
    </row>
    <row r="1399" spans="3:19" ht="18" customHeight="1">
      <c r="C1399" s="118"/>
      <c r="D1399" s="118"/>
      <c r="K1399" s="118"/>
      <c r="L1399" s="118"/>
      <c r="M1399" s="118"/>
      <c r="N1399" s="118"/>
      <c r="O1399" s="118"/>
      <c r="P1399" s="118"/>
      <c r="Q1399" s="118"/>
      <c r="R1399" s="118"/>
      <c r="S1399" s="118"/>
    </row>
    <row r="1400" spans="3:19" ht="18" customHeight="1">
      <c r="C1400" s="118"/>
      <c r="D1400" s="118"/>
      <c r="K1400" s="118"/>
      <c r="L1400" s="118"/>
      <c r="M1400" s="118"/>
      <c r="N1400" s="118"/>
      <c r="O1400" s="118"/>
      <c r="P1400" s="118"/>
      <c r="Q1400" s="118"/>
      <c r="R1400" s="118"/>
      <c r="S1400" s="118"/>
    </row>
    <row r="1401" spans="3:19" ht="18" customHeight="1">
      <c r="C1401" s="118"/>
      <c r="D1401" s="118"/>
      <c r="K1401" s="118"/>
      <c r="L1401" s="118"/>
      <c r="M1401" s="118"/>
      <c r="N1401" s="118"/>
      <c r="O1401" s="118"/>
      <c r="P1401" s="118"/>
      <c r="Q1401" s="118"/>
      <c r="R1401" s="118"/>
      <c r="S1401" s="118"/>
    </row>
    <row r="1402" spans="3:19" ht="18" customHeight="1">
      <c r="C1402" s="118"/>
      <c r="D1402" s="118"/>
      <c r="K1402" s="118"/>
      <c r="L1402" s="118"/>
      <c r="M1402" s="118"/>
      <c r="N1402" s="118"/>
      <c r="O1402" s="118"/>
      <c r="P1402" s="118"/>
      <c r="Q1402" s="118"/>
      <c r="R1402" s="118"/>
      <c r="S1402" s="118"/>
    </row>
    <row r="1403" spans="3:19" ht="18" customHeight="1">
      <c r="C1403" s="118"/>
      <c r="D1403" s="118"/>
      <c r="K1403" s="118"/>
      <c r="L1403" s="118"/>
      <c r="M1403" s="118"/>
      <c r="N1403" s="118"/>
      <c r="O1403" s="118"/>
      <c r="P1403" s="118"/>
      <c r="Q1403" s="118"/>
      <c r="R1403" s="118"/>
      <c r="S1403" s="118"/>
    </row>
    <row r="1404" spans="3:19" ht="18" customHeight="1">
      <c r="C1404" s="118"/>
      <c r="D1404" s="118"/>
      <c r="K1404" s="118"/>
      <c r="L1404" s="118"/>
      <c r="M1404" s="118"/>
      <c r="N1404" s="118"/>
      <c r="O1404" s="118"/>
      <c r="P1404" s="118"/>
      <c r="Q1404" s="118"/>
      <c r="R1404" s="118"/>
      <c r="S1404" s="118"/>
    </row>
    <row r="1405" spans="3:19" ht="18" customHeight="1">
      <c r="C1405" s="118"/>
      <c r="D1405" s="118"/>
      <c r="K1405" s="118"/>
      <c r="L1405" s="118"/>
      <c r="M1405" s="118"/>
      <c r="N1405" s="118"/>
      <c r="O1405" s="118"/>
      <c r="P1405" s="118"/>
      <c r="Q1405" s="118"/>
      <c r="R1405" s="118"/>
      <c r="S1405" s="118"/>
    </row>
    <row r="1406" spans="3:19" ht="18" customHeight="1">
      <c r="C1406" s="118"/>
      <c r="D1406" s="118"/>
      <c r="K1406" s="118"/>
      <c r="L1406" s="118"/>
      <c r="M1406" s="118"/>
      <c r="N1406" s="118"/>
      <c r="O1406" s="118"/>
      <c r="P1406" s="118"/>
      <c r="Q1406" s="118"/>
      <c r="R1406" s="118"/>
      <c r="S1406" s="118"/>
    </row>
    <row r="1407" spans="3:19" ht="18" customHeight="1">
      <c r="C1407" s="118"/>
      <c r="D1407" s="118"/>
      <c r="K1407" s="118"/>
      <c r="L1407" s="118"/>
      <c r="M1407" s="118"/>
      <c r="N1407" s="118"/>
      <c r="O1407" s="118"/>
      <c r="P1407" s="118"/>
      <c r="Q1407" s="118"/>
      <c r="R1407" s="118"/>
      <c r="S1407" s="118"/>
    </row>
    <row r="1408" spans="3:19" ht="18" customHeight="1">
      <c r="C1408" s="118"/>
      <c r="D1408" s="118"/>
      <c r="K1408" s="118"/>
      <c r="L1408" s="118"/>
      <c r="M1408" s="118"/>
      <c r="N1408" s="118"/>
      <c r="O1408" s="118"/>
      <c r="P1408" s="118"/>
      <c r="Q1408" s="118"/>
      <c r="R1408" s="118"/>
      <c r="S1408" s="118"/>
    </row>
    <row r="1409" spans="3:19" ht="18" customHeight="1">
      <c r="C1409" s="118"/>
      <c r="D1409" s="118"/>
      <c r="K1409" s="118"/>
      <c r="L1409" s="118"/>
      <c r="M1409" s="118"/>
      <c r="N1409" s="118"/>
      <c r="O1409" s="118"/>
      <c r="P1409" s="118"/>
      <c r="Q1409" s="118"/>
      <c r="R1409" s="118"/>
      <c r="S1409" s="118"/>
    </row>
    <row r="1410" spans="3:19" ht="18" customHeight="1">
      <c r="C1410" s="118"/>
      <c r="D1410" s="118"/>
      <c r="K1410" s="118"/>
      <c r="L1410" s="118"/>
      <c r="M1410" s="118"/>
      <c r="N1410" s="118"/>
      <c r="O1410" s="118"/>
      <c r="P1410" s="118"/>
      <c r="Q1410" s="118"/>
      <c r="R1410" s="118"/>
      <c r="S1410" s="118"/>
    </row>
    <row r="1411" spans="3:19" ht="18" customHeight="1">
      <c r="C1411" s="118"/>
      <c r="D1411" s="118"/>
      <c r="K1411" s="118"/>
      <c r="L1411" s="118"/>
      <c r="M1411" s="118"/>
      <c r="N1411" s="118"/>
      <c r="O1411" s="118"/>
      <c r="P1411" s="118"/>
      <c r="Q1411" s="118"/>
      <c r="R1411" s="118"/>
      <c r="S1411" s="118"/>
    </row>
    <row r="1412" spans="3:19" ht="18" customHeight="1">
      <c r="C1412" s="118"/>
      <c r="D1412" s="118"/>
      <c r="K1412" s="118"/>
      <c r="L1412" s="118"/>
      <c r="M1412" s="118"/>
      <c r="N1412" s="118"/>
      <c r="O1412" s="118"/>
      <c r="P1412" s="118"/>
      <c r="Q1412" s="118"/>
      <c r="R1412" s="118"/>
      <c r="S1412" s="118"/>
    </row>
    <row r="1413" spans="3:19" ht="18" customHeight="1">
      <c r="C1413" s="118"/>
      <c r="D1413" s="118"/>
      <c r="K1413" s="118"/>
      <c r="L1413" s="118"/>
      <c r="M1413" s="118"/>
      <c r="N1413" s="118"/>
      <c r="O1413" s="118"/>
      <c r="P1413" s="118"/>
      <c r="Q1413" s="118"/>
      <c r="R1413" s="118"/>
      <c r="S1413" s="118"/>
    </row>
    <row r="1414" spans="3:19" ht="18" customHeight="1">
      <c r="C1414" s="118"/>
      <c r="D1414" s="118"/>
      <c r="K1414" s="118"/>
      <c r="L1414" s="118"/>
      <c r="M1414" s="118"/>
      <c r="N1414" s="118"/>
      <c r="O1414" s="118"/>
      <c r="P1414" s="118"/>
      <c r="Q1414" s="118"/>
      <c r="R1414" s="118"/>
      <c r="S1414" s="118"/>
    </row>
    <row r="1415" spans="3:19" ht="18" customHeight="1">
      <c r="C1415" s="118"/>
      <c r="D1415" s="118"/>
      <c r="K1415" s="118"/>
      <c r="L1415" s="118"/>
      <c r="M1415" s="118"/>
      <c r="N1415" s="118"/>
      <c r="O1415" s="118"/>
      <c r="P1415" s="118"/>
      <c r="Q1415" s="118"/>
      <c r="R1415" s="118"/>
      <c r="S1415" s="118"/>
    </row>
    <row r="1416" spans="3:19" ht="18" customHeight="1">
      <c r="C1416" s="118"/>
      <c r="D1416" s="118"/>
      <c r="K1416" s="118"/>
      <c r="L1416" s="118"/>
      <c r="M1416" s="118"/>
      <c r="N1416" s="118"/>
      <c r="O1416" s="118"/>
      <c r="P1416" s="118"/>
      <c r="Q1416" s="118"/>
      <c r="R1416" s="118"/>
      <c r="S1416" s="118"/>
    </row>
    <row r="1417" spans="3:19" ht="18" customHeight="1">
      <c r="C1417" s="118"/>
      <c r="D1417" s="118"/>
      <c r="K1417" s="118"/>
      <c r="L1417" s="118"/>
      <c r="M1417" s="118"/>
      <c r="N1417" s="118"/>
      <c r="O1417" s="118"/>
      <c r="P1417" s="118"/>
      <c r="Q1417" s="118"/>
      <c r="R1417" s="118"/>
      <c r="S1417" s="118"/>
    </row>
    <row r="1418" spans="3:19" ht="18" customHeight="1">
      <c r="C1418" s="118"/>
      <c r="D1418" s="118"/>
      <c r="K1418" s="118"/>
      <c r="L1418" s="118"/>
      <c r="M1418" s="118"/>
      <c r="N1418" s="118"/>
      <c r="O1418" s="118"/>
      <c r="P1418" s="118"/>
      <c r="Q1418" s="118"/>
      <c r="R1418" s="118"/>
      <c r="S1418" s="118"/>
    </row>
    <row r="1419" spans="3:19" ht="18" customHeight="1">
      <c r="C1419" s="118"/>
      <c r="D1419" s="118"/>
      <c r="K1419" s="118"/>
      <c r="L1419" s="118"/>
      <c r="M1419" s="118"/>
      <c r="N1419" s="118"/>
      <c r="O1419" s="118"/>
      <c r="P1419" s="118"/>
      <c r="Q1419" s="118"/>
      <c r="R1419" s="118"/>
      <c r="S1419" s="118"/>
    </row>
    <row r="1420" spans="3:19" ht="18" customHeight="1">
      <c r="C1420" s="118"/>
      <c r="D1420" s="118"/>
      <c r="K1420" s="118"/>
      <c r="L1420" s="118"/>
      <c r="M1420" s="118"/>
      <c r="N1420" s="118"/>
      <c r="O1420" s="118"/>
      <c r="P1420" s="118"/>
      <c r="Q1420" s="118"/>
      <c r="R1420" s="118"/>
      <c r="S1420" s="118"/>
    </row>
    <row r="1421" spans="3:19" ht="18" customHeight="1">
      <c r="C1421" s="118"/>
      <c r="D1421" s="118"/>
      <c r="K1421" s="118"/>
      <c r="L1421" s="118"/>
      <c r="M1421" s="118"/>
      <c r="N1421" s="118"/>
      <c r="O1421" s="118"/>
      <c r="P1421" s="118"/>
      <c r="Q1421" s="118"/>
      <c r="R1421" s="118"/>
      <c r="S1421" s="118"/>
    </row>
  </sheetData>
  <mergeCells count="429">
    <mergeCell ref="A131:F131"/>
    <mergeCell ref="H131:I131"/>
    <mergeCell ref="K131:M131"/>
    <mergeCell ref="A132:F132"/>
    <mergeCell ref="H132:I132"/>
    <mergeCell ref="K132:M132"/>
    <mergeCell ref="A152:D152"/>
    <mergeCell ref="E152:G152"/>
    <mergeCell ref="I152:J152"/>
    <mergeCell ref="K152:L152"/>
    <mergeCell ref="A2:M2"/>
    <mergeCell ref="A3:M3"/>
    <mergeCell ref="A4:M4"/>
    <mergeCell ref="A9:D9"/>
    <mergeCell ref="E9:G9"/>
    <mergeCell ref="I9:J9"/>
    <mergeCell ref="K9:L9"/>
    <mergeCell ref="B13:D13"/>
    <mergeCell ref="E13:G13"/>
    <mergeCell ref="B10:D10"/>
    <mergeCell ref="E10:G10"/>
    <mergeCell ref="I10:J10"/>
    <mergeCell ref="K10:L10"/>
    <mergeCell ref="I11:J11"/>
    <mergeCell ref="K11:L11"/>
    <mergeCell ref="B58:D58"/>
    <mergeCell ref="B61:D61"/>
    <mergeCell ref="B65:D65"/>
    <mergeCell ref="B87:D87"/>
    <mergeCell ref="B90:D90"/>
    <mergeCell ref="B93:D93"/>
    <mergeCell ref="B269:D269"/>
    <mergeCell ref="B96:D96"/>
    <mergeCell ref="A74:M74"/>
    <mergeCell ref="A75:M75"/>
    <mergeCell ref="A76:M76"/>
    <mergeCell ref="A81:D81"/>
    <mergeCell ref="B85:D85"/>
    <mergeCell ref="E85:G85"/>
    <mergeCell ref="B266:D266"/>
    <mergeCell ref="E81:G81"/>
    <mergeCell ref="I81:J81"/>
    <mergeCell ref="K81:L81"/>
    <mergeCell ref="B82:D82"/>
    <mergeCell ref="E82:G82"/>
    <mergeCell ref="I82:J82"/>
    <mergeCell ref="K82:L82"/>
    <mergeCell ref="I83:J83"/>
    <mergeCell ref="K83:L83"/>
    <mergeCell ref="I153:J153"/>
    <mergeCell ref="K153:L153"/>
    <mergeCell ref="E133:G133"/>
    <mergeCell ref="E142:I142"/>
    <mergeCell ref="A143:M143"/>
    <mergeCell ref="A145:M145"/>
    <mergeCell ref="A146:M146"/>
    <mergeCell ref="A147:M147"/>
    <mergeCell ref="A229:M229"/>
    <mergeCell ref="B153:D153"/>
    <mergeCell ref="E153:G153"/>
    <mergeCell ref="A230:M230"/>
    <mergeCell ref="A235:D235"/>
    <mergeCell ref="E235:G235"/>
    <mergeCell ref="I235:J235"/>
    <mergeCell ref="K235:L235"/>
    <mergeCell ref="I154:J154"/>
    <mergeCell ref="K154:L154"/>
    <mergeCell ref="B156:D156"/>
    <mergeCell ref="E156:G156"/>
    <mergeCell ref="A227:M227"/>
    <mergeCell ref="A228:M228"/>
    <mergeCell ref="B239:D239"/>
    <mergeCell ref="E239:G239"/>
    <mergeCell ref="A286:F286"/>
    <mergeCell ref="H286:I286"/>
    <mergeCell ref="K286:M286"/>
    <mergeCell ref="A287:F287"/>
    <mergeCell ref="H287:I287"/>
    <mergeCell ref="K287:M287"/>
    <mergeCell ref="B236:D236"/>
    <mergeCell ref="E236:G236"/>
    <mergeCell ref="I236:J236"/>
    <mergeCell ref="K236:L236"/>
    <mergeCell ref="I237:J237"/>
    <mergeCell ref="K237:L237"/>
    <mergeCell ref="A323:D323"/>
    <mergeCell ref="E323:G323"/>
    <mergeCell ref="I323:J323"/>
    <mergeCell ref="K323:L323"/>
    <mergeCell ref="B324:D324"/>
    <mergeCell ref="E324:G324"/>
    <mergeCell ref="I324:J324"/>
    <mergeCell ref="K324:L324"/>
    <mergeCell ref="E288:G288"/>
    <mergeCell ref="K288:M288"/>
    <mergeCell ref="A314:M314"/>
    <mergeCell ref="A316:M316"/>
    <mergeCell ref="A317:M317"/>
    <mergeCell ref="A318:M318"/>
    <mergeCell ref="A375:F375"/>
    <mergeCell ref="H375:I375"/>
    <mergeCell ref="K375:M375"/>
    <mergeCell ref="E376:G376"/>
    <mergeCell ref="K376:M376"/>
    <mergeCell ref="A388:M388"/>
    <mergeCell ref="I325:J325"/>
    <mergeCell ref="K325:L325"/>
    <mergeCell ref="B327:D327"/>
    <mergeCell ref="E327:G327"/>
    <mergeCell ref="B342:D342"/>
    <mergeCell ref="A374:F374"/>
    <mergeCell ref="H374:I374"/>
    <mergeCell ref="K374:M374"/>
    <mergeCell ref="B398:D398"/>
    <mergeCell ref="E398:G398"/>
    <mergeCell ref="I398:J398"/>
    <mergeCell ref="K398:L398"/>
    <mergeCell ref="I399:J399"/>
    <mergeCell ref="K399:L399"/>
    <mergeCell ref="A390:M390"/>
    <mergeCell ref="A391:M391"/>
    <mergeCell ref="A392:M392"/>
    <mergeCell ref="A397:D397"/>
    <mergeCell ref="E397:G397"/>
    <mergeCell ref="I397:J397"/>
    <mergeCell ref="K397:L397"/>
    <mergeCell ref="E451:G451"/>
    <mergeCell ref="K451:M451"/>
    <mergeCell ref="A460:M460"/>
    <mergeCell ref="A462:M462"/>
    <mergeCell ref="A463:M463"/>
    <mergeCell ref="A464:M464"/>
    <mergeCell ref="B401:D401"/>
    <mergeCell ref="E401:G401"/>
    <mergeCell ref="A449:F449"/>
    <mergeCell ref="H449:I449"/>
    <mergeCell ref="K449:M449"/>
    <mergeCell ref="A450:F450"/>
    <mergeCell ref="H450:I450"/>
    <mergeCell ref="K450:M450"/>
    <mergeCell ref="I471:J471"/>
    <mergeCell ref="K471:L471"/>
    <mergeCell ref="B473:D473"/>
    <mergeCell ref="E473:G473"/>
    <mergeCell ref="A520:F520"/>
    <mergeCell ref="H520:I520"/>
    <mergeCell ref="K520:M520"/>
    <mergeCell ref="A469:D469"/>
    <mergeCell ref="E469:G469"/>
    <mergeCell ref="I469:J469"/>
    <mergeCell ref="K469:L469"/>
    <mergeCell ref="B470:D470"/>
    <mergeCell ref="E470:G470"/>
    <mergeCell ref="I470:J470"/>
    <mergeCell ref="K470:L470"/>
    <mergeCell ref="A534:M534"/>
    <mergeCell ref="A535:M535"/>
    <mergeCell ref="A536:M536"/>
    <mergeCell ref="A541:D541"/>
    <mergeCell ref="E541:G541"/>
    <mergeCell ref="I541:J541"/>
    <mergeCell ref="K541:L541"/>
    <mergeCell ref="A521:F521"/>
    <mergeCell ref="H521:I521"/>
    <mergeCell ref="K521:M521"/>
    <mergeCell ref="E522:G522"/>
    <mergeCell ref="K522:M522"/>
    <mergeCell ref="A532:M532"/>
    <mergeCell ref="B545:D545"/>
    <mergeCell ref="E545:G545"/>
    <mergeCell ref="A593:F593"/>
    <mergeCell ref="H593:I593"/>
    <mergeCell ref="K593:M593"/>
    <mergeCell ref="A594:F594"/>
    <mergeCell ref="H594:I594"/>
    <mergeCell ref="K594:M594"/>
    <mergeCell ref="B542:D542"/>
    <mergeCell ref="E542:G542"/>
    <mergeCell ref="I542:J542"/>
    <mergeCell ref="K542:L542"/>
    <mergeCell ref="I543:J543"/>
    <mergeCell ref="K543:L543"/>
    <mergeCell ref="B567:D567"/>
    <mergeCell ref="A611:D611"/>
    <mergeCell ref="E611:G611"/>
    <mergeCell ref="I611:J611"/>
    <mergeCell ref="K611:L611"/>
    <mergeCell ref="B612:D612"/>
    <mergeCell ref="E612:G612"/>
    <mergeCell ref="I612:J612"/>
    <mergeCell ref="K612:L612"/>
    <mergeCell ref="E595:G595"/>
    <mergeCell ref="K595:M595"/>
    <mergeCell ref="A602:M602"/>
    <mergeCell ref="A604:M604"/>
    <mergeCell ref="A605:M605"/>
    <mergeCell ref="A606:M606"/>
    <mergeCell ref="A668:F668"/>
    <mergeCell ref="H668:I668"/>
    <mergeCell ref="K668:M668"/>
    <mergeCell ref="E669:G669"/>
    <mergeCell ref="K669:M669"/>
    <mergeCell ref="A674:M674"/>
    <mergeCell ref="I613:J613"/>
    <mergeCell ref="K613:L613"/>
    <mergeCell ref="B615:D615"/>
    <mergeCell ref="E615:G615"/>
    <mergeCell ref="A667:F667"/>
    <mergeCell ref="H667:I667"/>
    <mergeCell ref="K667:M667"/>
    <mergeCell ref="B659:D659"/>
    <mergeCell ref="B684:D684"/>
    <mergeCell ref="E684:G684"/>
    <mergeCell ref="I684:J684"/>
    <mergeCell ref="K684:L684"/>
    <mergeCell ref="I685:J685"/>
    <mergeCell ref="K685:L685"/>
    <mergeCell ref="A676:M676"/>
    <mergeCell ref="A677:M677"/>
    <mergeCell ref="A678:M678"/>
    <mergeCell ref="A683:D683"/>
    <mergeCell ref="E683:G683"/>
    <mergeCell ref="I683:J683"/>
    <mergeCell ref="K683:L683"/>
    <mergeCell ref="E736:G736"/>
    <mergeCell ref="K736:M736"/>
    <mergeCell ref="A746:M746"/>
    <mergeCell ref="A748:M748"/>
    <mergeCell ref="A749:M749"/>
    <mergeCell ref="A750:M750"/>
    <mergeCell ref="B687:D687"/>
    <mergeCell ref="E687:G687"/>
    <mergeCell ref="A734:F734"/>
    <mergeCell ref="H734:I734"/>
    <mergeCell ref="K734:M734"/>
    <mergeCell ref="A735:F735"/>
    <mergeCell ref="H735:I735"/>
    <mergeCell ref="K735:M735"/>
    <mergeCell ref="I757:J757"/>
    <mergeCell ref="K757:L757"/>
    <mergeCell ref="B759:D759"/>
    <mergeCell ref="E759:G759"/>
    <mergeCell ref="B773:D773"/>
    <mergeCell ref="A809:F809"/>
    <mergeCell ref="H809:I809"/>
    <mergeCell ref="K809:M809"/>
    <mergeCell ref="A755:D755"/>
    <mergeCell ref="E755:G755"/>
    <mergeCell ref="I755:J755"/>
    <mergeCell ref="K755:L755"/>
    <mergeCell ref="B756:D756"/>
    <mergeCell ref="E756:G756"/>
    <mergeCell ref="I756:J756"/>
    <mergeCell ref="K756:L756"/>
    <mergeCell ref="A820:M820"/>
    <mergeCell ref="A821:M821"/>
    <mergeCell ref="A822:M822"/>
    <mergeCell ref="A827:D827"/>
    <mergeCell ref="E827:G827"/>
    <mergeCell ref="I827:J827"/>
    <mergeCell ref="K827:L827"/>
    <mergeCell ref="A810:F810"/>
    <mergeCell ref="H810:I810"/>
    <mergeCell ref="K810:M810"/>
    <mergeCell ref="E811:G811"/>
    <mergeCell ref="K811:M811"/>
    <mergeCell ref="A818:M818"/>
    <mergeCell ref="B831:D831"/>
    <mergeCell ref="E831:G831"/>
    <mergeCell ref="A880:F880"/>
    <mergeCell ref="H880:I880"/>
    <mergeCell ref="K880:M880"/>
    <mergeCell ref="A881:F881"/>
    <mergeCell ref="H881:I881"/>
    <mergeCell ref="K881:M881"/>
    <mergeCell ref="B828:D828"/>
    <mergeCell ref="E828:G828"/>
    <mergeCell ref="I828:J828"/>
    <mergeCell ref="K828:L828"/>
    <mergeCell ref="I829:J829"/>
    <mergeCell ref="K829:L829"/>
    <mergeCell ref="B854:D854"/>
    <mergeCell ref="B859:D859"/>
    <mergeCell ref="B864:D864"/>
    <mergeCell ref="B869:D869"/>
    <mergeCell ref="A901:D901"/>
    <mergeCell ref="E901:G901"/>
    <mergeCell ref="I901:J901"/>
    <mergeCell ref="K901:L901"/>
    <mergeCell ref="B902:D902"/>
    <mergeCell ref="E902:G902"/>
    <mergeCell ref="I902:J902"/>
    <mergeCell ref="K902:L902"/>
    <mergeCell ref="E882:G882"/>
    <mergeCell ref="K882:M882"/>
    <mergeCell ref="A892:M892"/>
    <mergeCell ref="A894:M894"/>
    <mergeCell ref="A895:M895"/>
    <mergeCell ref="A896:M896"/>
    <mergeCell ref="A953:F953"/>
    <mergeCell ref="H953:I953"/>
    <mergeCell ref="K953:M953"/>
    <mergeCell ref="E961:G961"/>
    <mergeCell ref="K961:M961"/>
    <mergeCell ref="A964:M964"/>
    <mergeCell ref="I903:J903"/>
    <mergeCell ref="K903:L903"/>
    <mergeCell ref="B905:D905"/>
    <mergeCell ref="E905:G905"/>
    <mergeCell ref="A952:F952"/>
    <mergeCell ref="H952:I952"/>
    <mergeCell ref="K952:M952"/>
    <mergeCell ref="B974:D974"/>
    <mergeCell ref="E974:G974"/>
    <mergeCell ref="I974:J974"/>
    <mergeCell ref="K974:L974"/>
    <mergeCell ref="I975:J975"/>
    <mergeCell ref="K975:L975"/>
    <mergeCell ref="A966:M966"/>
    <mergeCell ref="A967:M967"/>
    <mergeCell ref="A968:M968"/>
    <mergeCell ref="A973:D973"/>
    <mergeCell ref="E973:G973"/>
    <mergeCell ref="I973:J973"/>
    <mergeCell ref="K973:L973"/>
    <mergeCell ref="K1033:M1033"/>
    <mergeCell ref="A1034:F1034"/>
    <mergeCell ref="H1034:I1034"/>
    <mergeCell ref="K1034:M1034"/>
    <mergeCell ref="A1040:M1040"/>
    <mergeCell ref="A1042:M1042"/>
    <mergeCell ref="B977:D977"/>
    <mergeCell ref="E977:G977"/>
    <mergeCell ref="B985:D985"/>
    <mergeCell ref="B986:D986"/>
    <mergeCell ref="A1033:F1033"/>
    <mergeCell ref="H1033:I1033"/>
    <mergeCell ref="B1019:D1019"/>
    <mergeCell ref="B1022:D1022"/>
    <mergeCell ref="B1025:D1025"/>
    <mergeCell ref="B1050:D1050"/>
    <mergeCell ref="E1050:G1050"/>
    <mergeCell ref="I1050:J1050"/>
    <mergeCell ref="K1050:L1050"/>
    <mergeCell ref="I1051:J1051"/>
    <mergeCell ref="K1051:L1051"/>
    <mergeCell ref="A1043:M1043"/>
    <mergeCell ref="A1044:M1044"/>
    <mergeCell ref="A1049:D1049"/>
    <mergeCell ref="E1049:G1049"/>
    <mergeCell ref="I1049:J1049"/>
    <mergeCell ref="K1049:L1049"/>
    <mergeCell ref="A1104:F1104"/>
    <mergeCell ref="H1104:I1104"/>
    <mergeCell ref="K1104:M1104"/>
    <mergeCell ref="E1105:G1105"/>
    <mergeCell ref="K1105:M1105"/>
    <mergeCell ref="A1115:M1115"/>
    <mergeCell ref="B1053:D1053"/>
    <mergeCell ref="E1053:G1053"/>
    <mergeCell ref="B1056:D1056"/>
    <mergeCell ref="A1103:F1103"/>
    <mergeCell ref="H1103:I1103"/>
    <mergeCell ref="K1103:M1103"/>
    <mergeCell ref="B1125:D1125"/>
    <mergeCell ref="E1125:G1125"/>
    <mergeCell ref="I1125:J1125"/>
    <mergeCell ref="K1125:L1125"/>
    <mergeCell ref="I1126:J1126"/>
    <mergeCell ref="K1126:L1126"/>
    <mergeCell ref="A1117:M1117"/>
    <mergeCell ref="A1118:M1118"/>
    <mergeCell ref="A1119:M1119"/>
    <mergeCell ref="A1124:D1124"/>
    <mergeCell ref="E1124:G1124"/>
    <mergeCell ref="I1124:J1124"/>
    <mergeCell ref="K1124:L1124"/>
    <mergeCell ref="A1195:D1195"/>
    <mergeCell ref="E1195:G1195"/>
    <mergeCell ref="I1195:J1195"/>
    <mergeCell ref="K1195:L1195"/>
    <mergeCell ref="B1196:D1196"/>
    <mergeCell ref="E1196:G1196"/>
    <mergeCell ref="I1196:J1196"/>
    <mergeCell ref="K1196:L1196"/>
    <mergeCell ref="B1128:D1128"/>
    <mergeCell ref="E1128:G1128"/>
    <mergeCell ref="A1186:M1186"/>
    <mergeCell ref="A1188:M1188"/>
    <mergeCell ref="A1189:M1189"/>
    <mergeCell ref="A1190:M1190"/>
    <mergeCell ref="A1242:F1242"/>
    <mergeCell ref="H1242:I1242"/>
    <mergeCell ref="K1242:M1242"/>
    <mergeCell ref="E1243:G1243"/>
    <mergeCell ref="K1243:M1243"/>
    <mergeCell ref="A1259:M1259"/>
    <mergeCell ref="I1197:J1197"/>
    <mergeCell ref="K1197:L1197"/>
    <mergeCell ref="B1199:D1199"/>
    <mergeCell ref="E1199:G1199"/>
    <mergeCell ref="B1211:D1211"/>
    <mergeCell ref="A1241:F1241"/>
    <mergeCell ref="H1241:I1241"/>
    <mergeCell ref="K1241:M1241"/>
    <mergeCell ref="A71:M71"/>
    <mergeCell ref="A1344:M1344"/>
    <mergeCell ref="B1279:D1279"/>
    <mergeCell ref="E1279:G1279"/>
    <mergeCell ref="A1326:F1326"/>
    <mergeCell ref="H1326:I1326"/>
    <mergeCell ref="K1326:M1326"/>
    <mergeCell ref="A1327:F1327"/>
    <mergeCell ref="H1327:I1327"/>
    <mergeCell ref="K1327:M1327"/>
    <mergeCell ref="B1276:D1276"/>
    <mergeCell ref="E1276:G1276"/>
    <mergeCell ref="I1276:J1276"/>
    <mergeCell ref="K1276:L1276"/>
    <mergeCell ref="I1277:J1277"/>
    <mergeCell ref="K1277:L1277"/>
    <mergeCell ref="A1265:M1265"/>
    <mergeCell ref="A1267:M1267"/>
    <mergeCell ref="A1268:M1268"/>
    <mergeCell ref="A1269:M1269"/>
    <mergeCell ref="A1275:D1275"/>
    <mergeCell ref="E1275:G1275"/>
    <mergeCell ref="I1275:J1275"/>
    <mergeCell ref="K1275:L1275"/>
  </mergeCells>
  <printOptions horizontalCentered="1"/>
  <pageMargins left="0" right="0" top="0.5" bottom="0" header="0" footer="0"/>
  <pageSetup paperSize="14" scale="70" orientation="portrait" r:id="rId1"/>
  <headerFooter alignWithMargins="0">
    <oddFooter xml:space="preserve">&amp;C&amp;"Times New Roman,Bold"&amp;14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7"/>
  <sheetViews>
    <sheetView topLeftCell="A399" workbookViewId="0">
      <selection activeCell="D391" sqref="D391:M436"/>
    </sheetView>
  </sheetViews>
  <sheetFormatPr defaultColWidth="8.7109375" defaultRowHeight="14.45" customHeight="1"/>
  <cols>
    <col min="1" max="1" width="8.7109375" style="414"/>
    <col min="2" max="3" width="8.7109375" style="356"/>
    <col min="4" max="4" width="4.85546875" style="356" customWidth="1"/>
    <col min="5" max="5" width="11.85546875" style="356" customWidth="1"/>
    <col min="6" max="6" width="33.7109375" style="356" customWidth="1"/>
    <col min="7" max="7" width="29.85546875" style="356" customWidth="1"/>
    <col min="8" max="8" width="19.28515625" style="356" customWidth="1"/>
    <col min="9" max="9" width="20.85546875" style="356" customWidth="1"/>
    <col min="10" max="10" width="15.28515625" style="356" customWidth="1"/>
    <col min="11" max="11" width="14" style="356" customWidth="1"/>
    <col min="12" max="12" width="13.7109375" style="356" customWidth="1"/>
    <col min="13" max="13" width="15.140625" style="356" customWidth="1"/>
    <col min="14" max="14" width="8.7109375" style="356"/>
    <col min="15" max="15" width="19.85546875" style="356" customWidth="1"/>
    <col min="16" max="16" width="14.5703125" style="356" bestFit="1" customWidth="1"/>
    <col min="17" max="16384" width="8.7109375" style="356"/>
  </cols>
  <sheetData>
    <row r="1" spans="1:17" ht="15" customHeight="1">
      <c r="A1" s="1431"/>
      <c r="C1" s="1337"/>
      <c r="D1" s="357"/>
      <c r="F1" s="1340" t="s">
        <v>1677</v>
      </c>
      <c r="G1" s="1340"/>
      <c r="H1" s="1340"/>
      <c r="I1" s="1340"/>
      <c r="J1" s="1340"/>
      <c r="K1" s="1340"/>
      <c r="L1" s="1340"/>
      <c r="M1" s="358"/>
      <c r="N1" s="359"/>
    </row>
    <row r="2" spans="1:17" ht="15" customHeight="1">
      <c r="A2" s="1431"/>
      <c r="C2" s="1355"/>
      <c r="E2" s="1341" t="s">
        <v>178</v>
      </c>
      <c r="F2" s="1341"/>
      <c r="G2" s="1341"/>
      <c r="H2" s="1341"/>
      <c r="I2" s="1341"/>
      <c r="J2" s="1341"/>
      <c r="K2" s="1341"/>
      <c r="L2" s="1341"/>
      <c r="M2" s="1341"/>
    </row>
    <row r="3" spans="1:17" ht="15" customHeight="1">
      <c r="A3" s="1431"/>
      <c r="C3" s="1355"/>
      <c r="E3" s="1151"/>
      <c r="F3" s="1151"/>
      <c r="G3" s="1151"/>
      <c r="H3" s="1151"/>
      <c r="I3" s="1151"/>
      <c r="J3" s="1151"/>
      <c r="K3" s="1151"/>
      <c r="L3" s="1151"/>
      <c r="M3" s="1151"/>
    </row>
    <row r="4" spans="1:17" ht="14.45" customHeight="1">
      <c r="A4" s="1431"/>
      <c r="C4" s="1355"/>
      <c r="E4" s="356" t="s">
        <v>1005</v>
      </c>
      <c r="F4" s="360" t="s">
        <v>1006</v>
      </c>
    </row>
    <row r="5" spans="1:17" ht="14.45" customHeight="1">
      <c r="A5" s="1431"/>
      <c r="C5" s="1355"/>
      <c r="E5" s="356" t="s">
        <v>1007</v>
      </c>
      <c r="F5" s="361" t="s">
        <v>1008</v>
      </c>
    </row>
    <row r="6" spans="1:17" ht="18" customHeight="1">
      <c r="A6" s="1431"/>
      <c r="C6" s="1355"/>
      <c r="E6" s="356" t="s">
        <v>1009</v>
      </c>
      <c r="F6" s="1332" t="s">
        <v>1010</v>
      </c>
      <c r="G6" s="1332"/>
      <c r="H6" s="1332"/>
      <c r="I6" s="1332"/>
      <c r="J6" s="1332"/>
      <c r="K6" s="1332"/>
      <c r="L6" s="1332"/>
      <c r="M6" s="1332"/>
    </row>
    <row r="7" spans="1:17" ht="21" customHeight="1">
      <c r="A7" s="1431"/>
      <c r="C7" s="1355"/>
      <c r="E7" s="356" t="s">
        <v>1011</v>
      </c>
      <c r="F7" s="1363" t="s">
        <v>1012</v>
      </c>
      <c r="G7" s="1363"/>
      <c r="H7" s="1363"/>
      <c r="I7" s="1363"/>
      <c r="J7" s="1363"/>
      <c r="K7" s="1363"/>
      <c r="L7" s="1363"/>
      <c r="M7" s="1363"/>
      <c r="P7" s="362"/>
      <c r="Q7" s="363"/>
    </row>
    <row r="8" spans="1:17" ht="14.45" customHeight="1">
      <c r="A8" s="1431"/>
      <c r="C8" s="1355"/>
      <c r="F8" s="1363"/>
      <c r="G8" s="1363"/>
      <c r="H8" s="1363"/>
      <c r="I8" s="1363"/>
      <c r="J8" s="1363"/>
      <c r="K8" s="1363"/>
      <c r="L8" s="1363"/>
      <c r="M8" s="1363"/>
      <c r="Q8" s="363"/>
    </row>
    <row r="9" spans="1:17" ht="14.45" customHeight="1">
      <c r="A9" s="1431"/>
      <c r="C9" s="1355"/>
      <c r="E9" s="364" t="s">
        <v>1013</v>
      </c>
      <c r="F9" s="364"/>
      <c r="G9" s="364"/>
      <c r="H9" s="364"/>
      <c r="I9" s="364"/>
      <c r="J9" s="364"/>
      <c r="K9" s="364"/>
      <c r="L9" s="364"/>
      <c r="M9" s="364"/>
      <c r="Q9" s="363"/>
    </row>
    <row r="10" spans="1:17" ht="14.45" customHeight="1">
      <c r="A10" s="1431"/>
      <c r="C10" s="1355"/>
      <c r="E10" s="1343" t="s">
        <v>1014</v>
      </c>
      <c r="F10" s="365" t="s">
        <v>637</v>
      </c>
      <c r="G10" s="1345" t="s">
        <v>639</v>
      </c>
      <c r="H10" s="365" t="s">
        <v>640</v>
      </c>
      <c r="I10" s="1343" t="s">
        <v>1015</v>
      </c>
      <c r="J10" s="1347" t="s">
        <v>1678</v>
      </c>
      <c r="K10" s="1347"/>
      <c r="L10" s="1347"/>
      <c r="M10" s="1348"/>
      <c r="Q10" s="363"/>
    </row>
    <row r="11" spans="1:17" ht="14.45" customHeight="1">
      <c r="A11" s="1431"/>
      <c r="C11" s="1355"/>
      <c r="E11" s="1344"/>
      <c r="F11" s="366" t="s">
        <v>638</v>
      </c>
      <c r="G11" s="1365"/>
      <c r="H11" s="366" t="s">
        <v>641</v>
      </c>
      <c r="I11" s="1364"/>
      <c r="J11" s="367" t="s">
        <v>277</v>
      </c>
      <c r="K11" s="368" t="s">
        <v>278</v>
      </c>
      <c r="L11" s="369" t="s">
        <v>279</v>
      </c>
      <c r="M11" s="370" t="s">
        <v>15</v>
      </c>
      <c r="Q11" s="363"/>
    </row>
    <row r="12" spans="1:17" ht="14.45" customHeight="1">
      <c r="A12" s="1431"/>
      <c r="C12" s="1355"/>
      <c r="E12" s="371" t="s">
        <v>1016</v>
      </c>
      <c r="F12" s="1358" t="s">
        <v>1017</v>
      </c>
      <c r="G12" s="1358" t="s">
        <v>1018</v>
      </c>
      <c r="H12" s="1358" t="s">
        <v>1019</v>
      </c>
      <c r="I12" s="1358" t="s">
        <v>1020</v>
      </c>
      <c r="J12" s="1406">
        <f>'LBP NO. 2'!M46</f>
        <v>12206941</v>
      </c>
      <c r="K12" s="1349">
        <f>'LBP NO. 2'!M57</f>
        <v>3137755</v>
      </c>
      <c r="L12" s="1349">
        <f>'LBP NO. 2'!M67</f>
        <v>9500000</v>
      </c>
      <c r="M12" s="1349">
        <f>SUM(J12:L31)</f>
        <v>24844696</v>
      </c>
      <c r="Q12" s="363"/>
    </row>
    <row r="13" spans="1:17" ht="14.45" customHeight="1">
      <c r="A13" s="1431"/>
      <c r="C13" s="1355"/>
      <c r="E13" s="372"/>
      <c r="F13" s="1352"/>
      <c r="G13" s="1352"/>
      <c r="H13" s="1352"/>
      <c r="I13" s="1352"/>
      <c r="J13" s="1407"/>
      <c r="K13" s="1350"/>
      <c r="L13" s="1350"/>
      <c r="M13" s="1350"/>
      <c r="O13" s="357"/>
      <c r="Q13" s="363"/>
    </row>
    <row r="14" spans="1:17" ht="14.45" customHeight="1">
      <c r="A14" s="1431"/>
      <c r="C14" s="1355"/>
      <c r="E14" s="372"/>
      <c r="F14" s="1352"/>
      <c r="G14" s="1352"/>
      <c r="H14" s="1352"/>
      <c r="I14" s="1352"/>
      <c r="J14" s="1407"/>
      <c r="K14" s="1350"/>
      <c r="L14" s="1350"/>
      <c r="M14" s="1350"/>
      <c r="O14" s="357"/>
      <c r="Q14" s="363"/>
    </row>
    <row r="15" spans="1:17" ht="9.75" customHeight="1">
      <c r="A15" s="1431"/>
      <c r="C15" s="1355"/>
      <c r="E15" s="373"/>
      <c r="F15" s="1360"/>
      <c r="G15" s="1352"/>
      <c r="H15" s="1360"/>
      <c r="I15" s="1360"/>
      <c r="J15" s="1407"/>
      <c r="K15" s="1350"/>
      <c r="L15" s="1350"/>
      <c r="M15" s="1350"/>
      <c r="O15" s="357"/>
      <c r="Q15" s="363"/>
    </row>
    <row r="16" spans="1:17" ht="14.45" customHeight="1">
      <c r="A16" s="1431"/>
      <c r="C16" s="1355"/>
      <c r="E16" s="371" t="s">
        <v>1016</v>
      </c>
      <c r="F16" s="1440" t="s">
        <v>1021</v>
      </c>
      <c r="G16" s="1358" t="s">
        <v>1022</v>
      </c>
      <c r="H16" s="1358" t="s">
        <v>1023</v>
      </c>
      <c r="I16" s="1358" t="s">
        <v>1024</v>
      </c>
      <c r="J16" s="1407"/>
      <c r="K16" s="1350"/>
      <c r="L16" s="1350"/>
      <c r="M16" s="1350"/>
      <c r="O16" s="357"/>
      <c r="Q16" s="363"/>
    </row>
    <row r="17" spans="1:17" ht="18.75" customHeight="1">
      <c r="A17" s="1431"/>
      <c r="C17" s="1355"/>
      <c r="E17" s="372"/>
      <c r="F17" s="1441"/>
      <c r="G17" s="1352"/>
      <c r="H17" s="1352"/>
      <c r="I17" s="1352"/>
      <c r="J17" s="1407"/>
      <c r="K17" s="1350"/>
      <c r="L17" s="1350"/>
      <c r="M17" s="1350"/>
      <c r="Q17" s="363"/>
    </row>
    <row r="18" spans="1:17" ht="14.45" customHeight="1">
      <c r="A18" s="1431"/>
      <c r="C18" s="1355"/>
      <c r="E18" s="372"/>
      <c r="F18" s="1441"/>
      <c r="G18" s="1352"/>
      <c r="H18" s="1352"/>
      <c r="I18" s="1352"/>
      <c r="J18" s="1407"/>
      <c r="K18" s="1350"/>
      <c r="L18" s="1350"/>
      <c r="M18" s="1350"/>
    </row>
    <row r="19" spans="1:17" ht="9" customHeight="1">
      <c r="A19" s="1431"/>
      <c r="C19" s="1355"/>
      <c r="E19" s="373"/>
      <c r="F19" s="1442"/>
      <c r="G19" s="1360"/>
      <c r="H19" s="1360"/>
      <c r="I19" s="1360"/>
      <c r="J19" s="1407"/>
      <c r="K19" s="1350"/>
      <c r="L19" s="1350"/>
      <c r="M19" s="1350"/>
    </row>
    <row r="20" spans="1:17" ht="14.45" customHeight="1">
      <c r="A20" s="1431"/>
      <c r="C20" s="1355"/>
      <c r="E20" s="371" t="s">
        <v>1016</v>
      </c>
      <c r="F20" s="1356" t="s">
        <v>1025</v>
      </c>
      <c r="G20" s="1358" t="s">
        <v>1026</v>
      </c>
      <c r="H20" s="1356" t="s">
        <v>1027</v>
      </c>
      <c r="I20" s="1358" t="s">
        <v>1028</v>
      </c>
      <c r="J20" s="1407"/>
      <c r="K20" s="1350"/>
      <c r="L20" s="1350"/>
      <c r="M20" s="1350"/>
    </row>
    <row r="21" spans="1:17" ht="14.45" customHeight="1">
      <c r="A21" s="1431"/>
      <c r="C21" s="1355"/>
      <c r="E21" s="374"/>
      <c r="F21" s="1357"/>
      <c r="G21" s="1352"/>
      <c r="H21" s="1357"/>
      <c r="I21" s="1352"/>
      <c r="J21" s="1407"/>
      <c r="K21" s="1350"/>
      <c r="L21" s="1350"/>
      <c r="M21" s="1350"/>
    </row>
    <row r="22" spans="1:17" ht="54.75" customHeight="1">
      <c r="A22" s="1431"/>
      <c r="C22" s="1355"/>
      <c r="E22" s="374"/>
      <c r="F22" s="1399"/>
      <c r="G22" s="1360"/>
      <c r="H22" s="1399"/>
      <c r="I22" s="1360"/>
      <c r="J22" s="1407"/>
      <c r="K22" s="1350"/>
      <c r="L22" s="1350"/>
      <c r="M22" s="1350"/>
    </row>
    <row r="23" spans="1:17" ht="14.45" customHeight="1">
      <c r="A23" s="1431"/>
      <c r="C23" s="1355"/>
      <c r="E23" s="371" t="s">
        <v>1016</v>
      </c>
      <c r="F23" s="1356" t="s">
        <v>1029</v>
      </c>
      <c r="G23" s="1358" t="s">
        <v>1030</v>
      </c>
      <c r="H23" s="1358" t="s">
        <v>1031</v>
      </c>
      <c r="I23" s="1358" t="s">
        <v>1032</v>
      </c>
      <c r="J23" s="1407"/>
      <c r="K23" s="1350"/>
      <c r="L23" s="1350"/>
      <c r="M23" s="1350"/>
    </row>
    <row r="24" spans="1:17" ht="14.45" customHeight="1">
      <c r="A24" s="1431"/>
      <c r="C24" s="1355"/>
      <c r="E24" s="372"/>
      <c r="F24" s="1357"/>
      <c r="G24" s="1352"/>
      <c r="H24" s="1352"/>
      <c r="I24" s="1352"/>
      <c r="J24" s="1407"/>
      <c r="K24" s="1350"/>
      <c r="L24" s="1350"/>
      <c r="M24" s="1350"/>
    </row>
    <row r="25" spans="1:17" ht="26.25" customHeight="1">
      <c r="A25" s="1431"/>
      <c r="C25" s="1355"/>
      <c r="E25" s="373"/>
      <c r="F25" s="1399"/>
      <c r="G25" s="1360"/>
      <c r="H25" s="1360"/>
      <c r="I25" s="1360"/>
      <c r="J25" s="1407"/>
      <c r="K25" s="1350"/>
      <c r="L25" s="1350"/>
      <c r="M25" s="1350"/>
    </row>
    <row r="26" spans="1:17" ht="55.5" customHeight="1">
      <c r="A26" s="1431"/>
      <c r="C26" s="1355"/>
      <c r="E26" s="375" t="s">
        <v>1016</v>
      </c>
      <c r="F26" s="376" t="s">
        <v>1033</v>
      </c>
      <c r="G26" s="377" t="s">
        <v>1034</v>
      </c>
      <c r="H26" s="378" t="s">
        <v>1035</v>
      </c>
      <c r="I26" s="377" t="s">
        <v>1036</v>
      </c>
      <c r="J26" s="1407"/>
      <c r="K26" s="1350"/>
      <c r="L26" s="1350"/>
      <c r="M26" s="1350"/>
    </row>
    <row r="27" spans="1:17" ht="53.25" customHeight="1">
      <c r="A27" s="1431"/>
      <c r="C27" s="1355"/>
      <c r="E27" s="375" t="s">
        <v>1016</v>
      </c>
      <c r="F27" s="379" t="s">
        <v>1037</v>
      </c>
      <c r="G27" s="380" t="s">
        <v>1038</v>
      </c>
      <c r="H27" s="381" t="s">
        <v>1023</v>
      </c>
      <c r="I27" s="380" t="s">
        <v>1039</v>
      </c>
      <c r="J27" s="1407"/>
      <c r="K27" s="1350"/>
      <c r="L27" s="1350"/>
      <c r="M27" s="1350"/>
    </row>
    <row r="28" spans="1:17" ht="14.45" customHeight="1">
      <c r="A28" s="1431"/>
      <c r="C28" s="1355"/>
      <c r="E28" s="375" t="s">
        <v>1016</v>
      </c>
      <c r="F28" s="1403" t="s">
        <v>1040</v>
      </c>
      <c r="G28" s="1403" t="s">
        <v>1041</v>
      </c>
      <c r="H28" s="1403" t="s">
        <v>1042</v>
      </c>
      <c r="I28" s="1403" t="s">
        <v>1043</v>
      </c>
      <c r="J28" s="1407"/>
      <c r="K28" s="1350"/>
      <c r="L28" s="1350"/>
      <c r="M28" s="1350"/>
    </row>
    <row r="29" spans="1:17" ht="14.45" customHeight="1">
      <c r="A29" s="1431"/>
      <c r="C29" s="1355"/>
      <c r="E29" s="372"/>
      <c r="F29" s="1404"/>
      <c r="G29" s="1404"/>
      <c r="H29" s="1404"/>
      <c r="I29" s="1404"/>
      <c r="J29" s="1407"/>
      <c r="K29" s="1350"/>
      <c r="L29" s="1350"/>
      <c r="M29" s="1350"/>
    </row>
    <row r="30" spans="1:17" ht="12" customHeight="1">
      <c r="A30" s="1431"/>
      <c r="C30" s="1355"/>
      <c r="E30" s="372"/>
      <c r="F30" s="1404"/>
      <c r="G30" s="1404"/>
      <c r="H30" s="1404"/>
      <c r="I30" s="1404"/>
      <c r="J30" s="1407"/>
      <c r="K30" s="1350"/>
      <c r="L30" s="1350"/>
      <c r="M30" s="1350"/>
    </row>
    <row r="31" spans="1:17" ht="5.25" customHeight="1">
      <c r="A31" s="1431"/>
      <c r="C31" s="1355"/>
      <c r="E31" s="382"/>
      <c r="F31" s="1412"/>
      <c r="G31" s="1412"/>
      <c r="H31" s="1412"/>
      <c r="I31" s="1412"/>
      <c r="J31" s="1408"/>
      <c r="K31" s="1351"/>
      <c r="L31" s="1351"/>
      <c r="M31" s="1351"/>
    </row>
    <row r="32" spans="1:17" ht="12.75" hidden="1" customHeight="1">
      <c r="A32" s="1431"/>
      <c r="C32" s="1355"/>
      <c r="E32" s="383"/>
      <c r="F32" s="384"/>
      <c r="G32" s="384"/>
      <c r="H32" s="384"/>
      <c r="I32" s="384"/>
      <c r="J32" s="385"/>
      <c r="K32" s="385"/>
      <c r="L32" s="385"/>
      <c r="M32" s="385"/>
    </row>
    <row r="33" spans="1:13" ht="15" customHeight="1">
      <c r="A33" s="1431"/>
      <c r="C33" s="1355"/>
      <c r="E33" s="383" t="s">
        <v>1044</v>
      </c>
      <c r="F33" s="383"/>
      <c r="G33" s="386" t="s">
        <v>1045</v>
      </c>
      <c r="H33" s="386"/>
      <c r="J33" s="387"/>
      <c r="K33" s="387"/>
      <c r="L33" s="388"/>
      <c r="M33" s="388"/>
    </row>
    <row r="34" spans="1:13" ht="15" customHeight="1">
      <c r="A34" s="1431"/>
      <c r="C34" s="1355"/>
      <c r="E34" s="383"/>
      <c r="F34" s="383"/>
      <c r="G34" s="383"/>
      <c r="H34" s="383"/>
      <c r="J34" s="383"/>
      <c r="K34" s="383"/>
      <c r="L34" s="383"/>
      <c r="M34" s="383"/>
    </row>
    <row r="35" spans="1:13" ht="15" customHeight="1">
      <c r="A35" s="1431"/>
      <c r="C35" s="1355"/>
      <c r="E35" s="1361" t="s">
        <v>1456</v>
      </c>
      <c r="F35" s="1361"/>
      <c r="G35" s="1333" t="s">
        <v>254</v>
      </c>
      <c r="H35" s="1333"/>
      <c r="I35" s="1338" t="s">
        <v>17</v>
      </c>
      <c r="J35" s="1338"/>
      <c r="L35" s="1333" t="s">
        <v>88</v>
      </c>
      <c r="M35" s="1333"/>
    </row>
    <row r="36" spans="1:13" ht="15" customHeight="1">
      <c r="A36" s="1431"/>
      <c r="C36" s="1355"/>
      <c r="E36" s="1362" t="s">
        <v>14</v>
      </c>
      <c r="F36" s="1362"/>
      <c r="G36" s="1334" t="s">
        <v>13</v>
      </c>
      <c r="H36" s="1334"/>
      <c r="I36" s="1339" t="s">
        <v>18</v>
      </c>
      <c r="J36" s="1339"/>
      <c r="L36" s="1334" t="s">
        <v>1000</v>
      </c>
      <c r="M36" s="1334"/>
    </row>
    <row r="37" spans="1:13" ht="15" customHeight="1">
      <c r="A37" s="1431"/>
      <c r="C37" s="1355"/>
      <c r="E37" s="389" t="s">
        <v>258</v>
      </c>
      <c r="F37" s="389"/>
      <c r="G37" s="389"/>
      <c r="H37" s="383"/>
      <c r="I37" s="383"/>
      <c r="J37" s="383"/>
      <c r="K37" s="390"/>
      <c r="L37" s="383"/>
      <c r="M37" s="383"/>
    </row>
    <row r="38" spans="1:13" ht="15" customHeight="1">
      <c r="A38" s="1431"/>
      <c r="C38" s="1355"/>
      <c r="E38" s="391"/>
      <c r="F38" s="391"/>
      <c r="G38" s="391"/>
      <c r="H38" s="383"/>
      <c r="I38" s="383"/>
      <c r="J38" s="383"/>
      <c r="K38" s="392"/>
      <c r="L38" s="383"/>
      <c r="M38" s="383"/>
    </row>
    <row r="39" spans="1:13" ht="15" customHeight="1">
      <c r="A39" s="1431"/>
      <c r="C39" s="1355"/>
      <c r="E39" s="1333" t="s">
        <v>1456</v>
      </c>
      <c r="F39" s="1333"/>
      <c r="G39" s="393"/>
      <c r="H39" s="393"/>
      <c r="I39" s="393"/>
      <c r="J39" s="394"/>
      <c r="K39" s="394"/>
      <c r="L39" s="395"/>
      <c r="M39" s="391"/>
    </row>
    <row r="40" spans="1:13" ht="15.95" customHeight="1">
      <c r="A40" s="1431"/>
      <c r="C40" s="1355"/>
      <c r="E40" s="1334" t="s">
        <v>14</v>
      </c>
      <c r="F40" s="1334"/>
      <c r="G40" s="396"/>
      <c r="H40" s="396"/>
      <c r="I40" s="396"/>
      <c r="J40" s="397"/>
      <c r="K40" s="394"/>
      <c r="L40" s="395"/>
      <c r="M40" s="391"/>
    </row>
    <row r="41" spans="1:13" ht="27" customHeight="1">
      <c r="A41" s="1431"/>
      <c r="B41" s="398"/>
      <c r="C41" s="1432"/>
      <c r="D41" s="383"/>
      <c r="F41" s="1340" t="s">
        <v>1677</v>
      </c>
      <c r="G41" s="1340"/>
      <c r="H41" s="1340"/>
      <c r="I41" s="1340"/>
      <c r="J41" s="1340"/>
      <c r="K41" s="1340"/>
      <c r="L41" s="1340"/>
      <c r="M41" s="358"/>
    </row>
    <row r="42" spans="1:13" ht="14.45" customHeight="1">
      <c r="A42" s="1431"/>
      <c r="C42" s="1433"/>
      <c r="E42" s="1341" t="s">
        <v>178</v>
      </c>
      <c r="F42" s="1341"/>
      <c r="G42" s="1341"/>
      <c r="H42" s="1341"/>
      <c r="I42" s="1341"/>
      <c r="J42" s="1341"/>
      <c r="K42" s="1341"/>
      <c r="L42" s="1341"/>
      <c r="M42" s="1341"/>
    </row>
    <row r="43" spans="1:13" ht="14.45" customHeight="1">
      <c r="A43" s="1431"/>
      <c r="C43" s="1433"/>
      <c r="E43" s="1151"/>
      <c r="F43" s="1151"/>
      <c r="G43" s="1151"/>
      <c r="H43" s="1151"/>
      <c r="I43" s="1151"/>
      <c r="J43" s="1151"/>
      <c r="K43" s="1151"/>
      <c r="L43" s="1151"/>
      <c r="M43" s="1151"/>
    </row>
    <row r="44" spans="1:13" ht="14.45" customHeight="1">
      <c r="A44" s="1431"/>
      <c r="C44" s="1433"/>
      <c r="E44" s="356" t="s">
        <v>1005</v>
      </c>
      <c r="F44" s="360" t="s">
        <v>1047</v>
      </c>
    </row>
    <row r="45" spans="1:13" ht="14.45" customHeight="1">
      <c r="A45" s="1431"/>
      <c r="C45" s="1433"/>
      <c r="E45" s="356" t="s">
        <v>1007</v>
      </c>
      <c r="F45" s="361" t="s">
        <v>1048</v>
      </c>
    </row>
    <row r="46" spans="1:13" ht="14.45" customHeight="1">
      <c r="A46" s="1431"/>
      <c r="C46" s="1433"/>
      <c r="E46" s="356" t="s">
        <v>1009</v>
      </c>
      <c r="F46" s="1332" t="s">
        <v>1049</v>
      </c>
      <c r="G46" s="1332"/>
      <c r="H46" s="1332"/>
      <c r="I46" s="1332"/>
      <c r="J46" s="1332"/>
      <c r="K46" s="1332"/>
      <c r="L46" s="1332"/>
      <c r="M46" s="1332"/>
    </row>
    <row r="47" spans="1:13" ht="14.45" customHeight="1">
      <c r="A47" s="1431"/>
      <c r="C47" s="1433"/>
      <c r="E47" s="356" t="s">
        <v>1011</v>
      </c>
      <c r="F47" s="1363" t="s">
        <v>1050</v>
      </c>
      <c r="G47" s="1363"/>
      <c r="H47" s="1363"/>
      <c r="I47" s="1363"/>
      <c r="J47" s="1363"/>
      <c r="K47" s="1363"/>
      <c r="L47" s="1363"/>
      <c r="M47" s="1363"/>
    </row>
    <row r="48" spans="1:13" ht="18" customHeight="1">
      <c r="A48" s="1431"/>
      <c r="C48" s="1433"/>
      <c r="F48" s="1363"/>
      <c r="G48" s="1363"/>
      <c r="H48" s="1363"/>
      <c r="I48" s="1363"/>
      <c r="J48" s="1363"/>
      <c r="K48" s="1363"/>
      <c r="L48" s="1363"/>
      <c r="M48" s="1363"/>
    </row>
    <row r="49" spans="1:13" ht="17.25" customHeight="1">
      <c r="A49" s="1431"/>
      <c r="C49" s="1433"/>
      <c r="E49" s="364" t="s">
        <v>1051</v>
      </c>
      <c r="F49" s="364"/>
      <c r="G49" s="364"/>
      <c r="H49" s="364"/>
      <c r="I49" s="364"/>
      <c r="J49" s="364"/>
      <c r="K49" s="364"/>
      <c r="L49" s="364"/>
      <c r="M49" s="364"/>
    </row>
    <row r="50" spans="1:13" ht="14.45" customHeight="1">
      <c r="A50" s="1431"/>
      <c r="C50" s="1433"/>
      <c r="E50" s="1343" t="s">
        <v>1014</v>
      </c>
      <c r="F50" s="365" t="s">
        <v>637</v>
      </c>
      <c r="G50" s="1345" t="s">
        <v>639</v>
      </c>
      <c r="H50" s="365" t="s">
        <v>640</v>
      </c>
      <c r="I50" s="1343" t="s">
        <v>1015</v>
      </c>
      <c r="J50" s="1347" t="s">
        <v>1678</v>
      </c>
      <c r="K50" s="1347"/>
      <c r="L50" s="1347"/>
      <c r="M50" s="1348"/>
    </row>
    <row r="51" spans="1:13" ht="14.25" customHeight="1">
      <c r="A51" s="1431"/>
      <c r="C51" s="1433"/>
      <c r="E51" s="1364"/>
      <c r="F51" s="366" t="s">
        <v>638</v>
      </c>
      <c r="G51" s="1365"/>
      <c r="H51" s="366" t="s">
        <v>641</v>
      </c>
      <c r="I51" s="1364"/>
      <c r="J51" s="367" t="s">
        <v>277</v>
      </c>
      <c r="K51" s="368" t="s">
        <v>278</v>
      </c>
      <c r="L51" s="369" t="s">
        <v>279</v>
      </c>
      <c r="M51" s="370" t="s">
        <v>15</v>
      </c>
    </row>
    <row r="52" spans="1:13" ht="14.45" customHeight="1">
      <c r="A52" s="1431"/>
      <c r="C52" s="1433"/>
      <c r="E52" s="371" t="s">
        <v>1052</v>
      </c>
      <c r="F52" s="1434" t="s">
        <v>1053</v>
      </c>
      <c r="G52" s="1358" t="s">
        <v>1054</v>
      </c>
      <c r="H52" s="1358" t="s">
        <v>1561</v>
      </c>
      <c r="I52" s="1358" t="s">
        <v>1055</v>
      </c>
      <c r="J52" s="1406">
        <f>'LBP NO. 2'!M117</f>
        <v>20249168</v>
      </c>
      <c r="K52" s="1349">
        <f>'LBP NO. 2'!M132</f>
        <v>6806400</v>
      </c>
      <c r="L52" s="1349">
        <f>'LBP NO. 2'!M140</f>
        <v>750000</v>
      </c>
      <c r="M52" s="1349">
        <f>SUM(J52:L65)</f>
        <v>27805568</v>
      </c>
    </row>
    <row r="53" spans="1:13" ht="14.45" customHeight="1">
      <c r="A53" s="1431"/>
      <c r="C53" s="1433"/>
      <c r="E53" s="399"/>
      <c r="F53" s="1435"/>
      <c r="G53" s="1352"/>
      <c r="H53" s="1352"/>
      <c r="I53" s="1352"/>
      <c r="J53" s="1407"/>
      <c r="K53" s="1350"/>
      <c r="L53" s="1350"/>
      <c r="M53" s="1350"/>
    </row>
    <row r="54" spans="1:13" ht="14.45" customHeight="1">
      <c r="A54" s="1431"/>
      <c r="C54" s="1433"/>
      <c r="E54" s="399"/>
      <c r="F54" s="1435"/>
      <c r="G54" s="1352"/>
      <c r="H54" s="1352"/>
      <c r="I54" s="1352"/>
      <c r="J54" s="1407"/>
      <c r="K54" s="1350"/>
      <c r="L54" s="1350"/>
      <c r="M54" s="1350"/>
    </row>
    <row r="55" spans="1:13" ht="14.45" customHeight="1">
      <c r="A55" s="1431"/>
      <c r="C55" s="1433"/>
      <c r="E55" s="399"/>
      <c r="F55" s="1435"/>
      <c r="G55" s="1360"/>
      <c r="H55" s="1360"/>
      <c r="I55" s="1360"/>
      <c r="J55" s="1407"/>
      <c r="K55" s="1350"/>
      <c r="L55" s="1350"/>
      <c r="M55" s="1350"/>
    </row>
    <row r="56" spans="1:13" ht="14.45" customHeight="1">
      <c r="A56" s="1431"/>
      <c r="C56" s="1433"/>
      <c r="E56" s="371" t="s">
        <v>1052</v>
      </c>
      <c r="F56" s="400" t="s">
        <v>1056</v>
      </c>
      <c r="G56" s="1358" t="s">
        <v>1057</v>
      </c>
      <c r="H56" s="401" t="s">
        <v>1058</v>
      </c>
      <c r="I56" s="1358" t="s">
        <v>1059</v>
      </c>
      <c r="J56" s="1407"/>
      <c r="K56" s="1350"/>
      <c r="L56" s="1350"/>
      <c r="M56" s="1350"/>
    </row>
    <row r="57" spans="1:13" ht="14.45" customHeight="1">
      <c r="A57" s="1431"/>
      <c r="C57" s="1433"/>
      <c r="E57" s="372"/>
      <c r="F57" s="402" t="s">
        <v>1060</v>
      </c>
      <c r="G57" s="1352"/>
      <c r="H57" s="403"/>
      <c r="I57" s="1352"/>
      <c r="J57" s="1407"/>
      <c r="K57" s="1350"/>
      <c r="L57" s="1350"/>
      <c r="M57" s="1350"/>
    </row>
    <row r="58" spans="1:13" ht="14.45" customHeight="1">
      <c r="A58" s="1431"/>
      <c r="C58" s="1433"/>
      <c r="E58" s="372"/>
      <c r="F58" s="402" t="s">
        <v>1061</v>
      </c>
      <c r="G58" s="1352"/>
      <c r="H58" s="403"/>
      <c r="I58" s="1352"/>
      <c r="J58" s="1407"/>
      <c r="K58" s="1350"/>
      <c r="L58" s="1350"/>
      <c r="M58" s="1350"/>
    </row>
    <row r="59" spans="1:13" ht="30" customHeight="1">
      <c r="A59" s="1431"/>
      <c r="C59" s="1433"/>
      <c r="E59" s="373"/>
      <c r="F59" s="404" t="s">
        <v>1062</v>
      </c>
      <c r="G59" s="381" t="s">
        <v>1063</v>
      </c>
      <c r="H59" s="405" t="s">
        <v>1064</v>
      </c>
      <c r="I59" s="381" t="s">
        <v>1065</v>
      </c>
      <c r="J59" s="1407"/>
      <c r="K59" s="1350"/>
      <c r="L59" s="1350"/>
      <c r="M59" s="1350"/>
    </row>
    <row r="60" spans="1:13" ht="14.45" customHeight="1">
      <c r="A60" s="1431"/>
      <c r="C60" s="1433"/>
      <c r="E60" s="371" t="s">
        <v>1052</v>
      </c>
      <c r="F60" s="406" t="s">
        <v>1066</v>
      </c>
      <c r="G60" s="401"/>
      <c r="H60" s="407"/>
      <c r="I60" s="401"/>
      <c r="J60" s="1407"/>
      <c r="K60" s="1350"/>
      <c r="L60" s="1350"/>
      <c r="M60" s="1350"/>
    </row>
    <row r="61" spans="1:13" ht="22.5" customHeight="1">
      <c r="A61" s="1431"/>
      <c r="C61" s="1433"/>
      <c r="E61" s="374"/>
      <c r="F61" s="404" t="s">
        <v>1472</v>
      </c>
      <c r="G61" s="380" t="s">
        <v>1067</v>
      </c>
      <c r="H61" s="408" t="s">
        <v>1064</v>
      </c>
      <c r="I61" s="409" t="s">
        <v>1068</v>
      </c>
      <c r="J61" s="1407"/>
      <c r="K61" s="1350"/>
      <c r="L61" s="1350"/>
      <c r="M61" s="1350"/>
    </row>
    <row r="62" spans="1:13" ht="14.45" customHeight="1">
      <c r="A62" s="1431"/>
      <c r="C62" s="1433"/>
      <c r="E62" s="371" t="s">
        <v>1052</v>
      </c>
      <c r="F62" s="1403" t="s">
        <v>1069</v>
      </c>
      <c r="G62" s="1403" t="s">
        <v>1070</v>
      </c>
      <c r="H62" s="1403" t="s">
        <v>1071</v>
      </c>
      <c r="I62" s="1403" t="s">
        <v>1072</v>
      </c>
      <c r="J62" s="1407"/>
      <c r="K62" s="1350"/>
      <c r="L62" s="1350"/>
      <c r="M62" s="1350"/>
    </row>
    <row r="63" spans="1:13" ht="14.45" customHeight="1">
      <c r="A63" s="1431"/>
      <c r="C63" s="1433"/>
      <c r="E63" s="410"/>
      <c r="F63" s="1404"/>
      <c r="G63" s="1404"/>
      <c r="H63" s="1404"/>
      <c r="I63" s="1404"/>
      <c r="J63" s="1407"/>
      <c r="K63" s="1350"/>
      <c r="L63" s="1350"/>
      <c r="M63" s="1350"/>
    </row>
    <row r="64" spans="1:13" ht="14.45" customHeight="1">
      <c r="A64" s="1431"/>
      <c r="C64" s="1433"/>
      <c r="E64" s="374"/>
      <c r="F64" s="1404"/>
      <c r="G64" s="1404"/>
      <c r="H64" s="1404"/>
      <c r="I64" s="1404"/>
      <c r="J64" s="1407"/>
      <c r="K64" s="1350"/>
      <c r="L64" s="1350"/>
      <c r="M64" s="1350"/>
    </row>
    <row r="65" spans="1:13" ht="25.5" customHeight="1">
      <c r="A65" s="1431"/>
      <c r="C65" s="1433"/>
      <c r="E65" s="411"/>
      <c r="F65" s="1412"/>
      <c r="G65" s="1412"/>
      <c r="H65" s="1412"/>
      <c r="I65" s="1412"/>
      <c r="J65" s="1408"/>
      <c r="K65" s="1351"/>
      <c r="L65" s="1351"/>
      <c r="M65" s="1351"/>
    </row>
    <row r="66" spans="1:13" ht="14.45" customHeight="1">
      <c r="A66" s="1431"/>
      <c r="C66" s="1433"/>
      <c r="E66" s="383"/>
      <c r="F66" s="383"/>
      <c r="G66" s="383"/>
      <c r="H66" s="383"/>
      <c r="I66" s="383"/>
      <c r="J66" s="412"/>
      <c r="K66" s="412"/>
      <c r="L66" s="412"/>
      <c r="M66" s="412"/>
    </row>
    <row r="67" spans="1:13" ht="14.45" customHeight="1">
      <c r="A67" s="1431"/>
      <c r="C67" s="1433"/>
      <c r="E67" s="383" t="s">
        <v>1044</v>
      </c>
      <c r="F67" s="383"/>
      <c r="G67" s="386" t="s">
        <v>1045</v>
      </c>
      <c r="H67" s="386"/>
      <c r="J67" s="387"/>
      <c r="K67" s="387"/>
      <c r="L67" s="388"/>
      <c r="M67" s="388"/>
    </row>
    <row r="68" spans="1:13" ht="14.45" customHeight="1">
      <c r="A68" s="1431"/>
      <c r="C68" s="1433"/>
      <c r="E68" s="383"/>
      <c r="F68" s="383"/>
      <c r="G68" s="383"/>
      <c r="H68" s="383"/>
      <c r="J68" s="383"/>
      <c r="K68" s="383"/>
      <c r="L68" s="383"/>
      <c r="M68" s="383"/>
    </row>
    <row r="69" spans="1:13" ht="14.45" customHeight="1">
      <c r="A69" s="1431"/>
      <c r="C69" s="1433"/>
      <c r="E69" s="1361" t="s">
        <v>71</v>
      </c>
      <c r="F69" s="1361"/>
      <c r="G69" s="1333" t="s">
        <v>254</v>
      </c>
      <c r="H69" s="1333"/>
      <c r="I69" s="1338" t="s">
        <v>17</v>
      </c>
      <c r="J69" s="1338"/>
      <c r="L69" s="1333" t="s">
        <v>88</v>
      </c>
      <c r="M69" s="1333"/>
    </row>
    <row r="70" spans="1:13" ht="14.45" customHeight="1">
      <c r="A70" s="1431"/>
      <c r="C70" s="1433"/>
      <c r="E70" s="1362" t="s">
        <v>1073</v>
      </c>
      <c r="F70" s="1362"/>
      <c r="G70" s="1334" t="s">
        <v>13</v>
      </c>
      <c r="H70" s="1334"/>
      <c r="I70" s="1339" t="s">
        <v>18</v>
      </c>
      <c r="J70" s="1339"/>
      <c r="L70" s="1334" t="s">
        <v>1000</v>
      </c>
      <c r="M70" s="1334"/>
    </row>
    <row r="71" spans="1:13" ht="14.45" customHeight="1">
      <c r="A71" s="1431"/>
      <c r="C71" s="1433"/>
      <c r="E71" s="389" t="s">
        <v>258</v>
      </c>
      <c r="F71" s="389"/>
      <c r="G71" s="389"/>
      <c r="H71" s="383"/>
      <c r="I71" s="383"/>
      <c r="J71" s="383"/>
      <c r="K71" s="390"/>
      <c r="L71" s="383"/>
      <c r="M71" s="383"/>
    </row>
    <row r="72" spans="1:13" ht="14.45" customHeight="1">
      <c r="A72" s="1431"/>
      <c r="C72" s="1433"/>
      <c r="E72" s="391"/>
      <c r="F72" s="391"/>
      <c r="G72" s="391"/>
      <c r="H72" s="383"/>
      <c r="I72" s="383"/>
      <c r="J72" s="383"/>
      <c r="K72" s="392"/>
      <c r="L72" s="383"/>
      <c r="M72" s="383"/>
    </row>
    <row r="73" spans="1:13" ht="14.45" customHeight="1">
      <c r="A73" s="1431"/>
      <c r="C73" s="1433"/>
      <c r="E73" s="1333" t="s">
        <v>1455</v>
      </c>
      <c r="F73" s="1333"/>
      <c r="G73" s="393"/>
      <c r="H73" s="393"/>
      <c r="I73" s="393"/>
      <c r="J73" s="394"/>
      <c r="K73" s="394"/>
      <c r="L73" s="395"/>
      <c r="M73" s="391"/>
    </row>
    <row r="74" spans="1:13" ht="15" customHeight="1">
      <c r="A74" s="1431"/>
      <c r="C74" s="1433"/>
      <c r="E74" s="1436" t="s">
        <v>22</v>
      </c>
      <c r="F74" s="1436"/>
    </row>
    <row r="75" spans="1:13" ht="15" customHeight="1">
      <c r="A75" s="1431"/>
      <c r="E75" s="413"/>
      <c r="F75" s="413"/>
    </row>
    <row r="76" spans="1:13" ht="15" customHeight="1">
      <c r="A76" s="1431"/>
      <c r="E76" s="413"/>
      <c r="F76" s="413"/>
    </row>
    <row r="77" spans="1:13" ht="15" customHeight="1">
      <c r="A77" s="1431"/>
      <c r="E77" s="413"/>
      <c r="F77" s="413"/>
    </row>
    <row r="78" spans="1:13" ht="15" customHeight="1">
      <c r="A78" s="1431"/>
      <c r="E78" s="413"/>
      <c r="F78" s="413"/>
    </row>
    <row r="79" spans="1:13" ht="15" customHeight="1">
      <c r="A79" s="1431"/>
      <c r="E79" s="413"/>
      <c r="F79" s="413"/>
    </row>
    <row r="80" spans="1:13" ht="15" customHeight="1">
      <c r="A80" s="1431"/>
      <c r="E80" s="413"/>
      <c r="F80" s="413"/>
    </row>
    <row r="81" spans="1:13" ht="15" customHeight="1">
      <c r="A81" s="1431"/>
      <c r="E81" s="413"/>
      <c r="F81" s="413"/>
    </row>
    <row r="82" spans="1:13" ht="15" customHeight="1">
      <c r="A82" s="1431"/>
      <c r="E82" s="413"/>
      <c r="F82" s="413"/>
    </row>
    <row r="83" spans="1:13" ht="14.45" customHeight="1">
      <c r="A83" s="1431"/>
    </row>
    <row r="84" spans="1:13" ht="14.45" customHeight="1">
      <c r="A84" s="1431"/>
    </row>
    <row r="85" spans="1:13" ht="14.45" customHeight="1">
      <c r="A85" s="1431"/>
    </row>
    <row r="86" spans="1:13" ht="18" customHeight="1">
      <c r="A86" s="1431"/>
    </row>
    <row r="87" spans="1:13" ht="14.45" customHeight="1">
      <c r="C87" s="1337"/>
      <c r="D87" s="383"/>
      <c r="F87" s="1340" t="s">
        <v>1677</v>
      </c>
      <c r="G87" s="1340"/>
      <c r="H87" s="1340"/>
      <c r="I87" s="1340"/>
      <c r="J87" s="1340"/>
      <c r="K87" s="1340"/>
      <c r="L87" s="1340"/>
      <c r="M87" s="358"/>
    </row>
    <row r="88" spans="1:13" ht="14.45" customHeight="1">
      <c r="C88" s="1355"/>
      <c r="E88" s="1341" t="s">
        <v>178</v>
      </c>
      <c r="F88" s="1341"/>
      <c r="G88" s="1341"/>
      <c r="H88" s="1341"/>
      <c r="I88" s="1341"/>
      <c r="J88" s="1341"/>
      <c r="K88" s="1341"/>
      <c r="L88" s="1341"/>
      <c r="M88" s="1341"/>
    </row>
    <row r="89" spans="1:13" ht="14.45" customHeight="1">
      <c r="C89" s="1355"/>
      <c r="E89" s="1151"/>
      <c r="F89" s="1151"/>
      <c r="G89" s="1151"/>
      <c r="H89" s="1151"/>
      <c r="I89" s="1151"/>
      <c r="J89" s="1151"/>
      <c r="K89" s="1151"/>
      <c r="L89" s="1151"/>
      <c r="M89" s="1151"/>
    </row>
    <row r="90" spans="1:13" ht="14.45" customHeight="1">
      <c r="C90" s="1355"/>
      <c r="E90" s="383" t="s">
        <v>1075</v>
      </c>
      <c r="F90" s="415" t="s">
        <v>1076</v>
      </c>
      <c r="G90" s="383"/>
      <c r="H90" s="383"/>
      <c r="I90" s="383"/>
      <c r="J90" s="383"/>
      <c r="K90" s="383"/>
      <c r="L90" s="383"/>
      <c r="M90" s="383"/>
    </row>
    <row r="91" spans="1:13" ht="14.45" customHeight="1">
      <c r="C91" s="1355"/>
      <c r="E91" s="383" t="s">
        <v>1007</v>
      </c>
      <c r="F91" s="356" t="s">
        <v>1077</v>
      </c>
      <c r="G91" s="383"/>
      <c r="H91" s="383"/>
      <c r="I91" s="383"/>
      <c r="J91" s="383"/>
      <c r="K91" s="383"/>
      <c r="L91" s="383"/>
      <c r="M91" s="383"/>
    </row>
    <row r="92" spans="1:13" ht="14.45" customHeight="1">
      <c r="C92" s="1355"/>
      <c r="E92" s="383" t="s">
        <v>1009</v>
      </c>
      <c r="F92" s="1332" t="s">
        <v>1078</v>
      </c>
      <c r="G92" s="1332"/>
      <c r="H92" s="1332"/>
      <c r="I92" s="1332"/>
      <c r="J92" s="1332"/>
      <c r="K92" s="1332"/>
      <c r="L92" s="1332"/>
      <c r="M92" s="1332"/>
    </row>
    <row r="93" spans="1:13" ht="14.45" customHeight="1">
      <c r="C93" s="1355"/>
      <c r="E93" s="383" t="s">
        <v>1011</v>
      </c>
      <c r="F93" s="1332" t="s">
        <v>1079</v>
      </c>
      <c r="G93" s="1332"/>
      <c r="H93" s="1332"/>
      <c r="I93" s="1332"/>
      <c r="J93" s="1332"/>
      <c r="K93" s="1332"/>
      <c r="L93" s="1332"/>
      <c r="M93" s="1332"/>
    </row>
    <row r="94" spans="1:13" ht="14.45" customHeight="1">
      <c r="C94" s="1355"/>
      <c r="E94" s="383" t="s">
        <v>1080</v>
      </c>
      <c r="F94" s="383"/>
      <c r="G94" s="383"/>
      <c r="H94" s="383"/>
      <c r="I94" s="383"/>
      <c r="J94" s="383"/>
      <c r="K94" s="383"/>
      <c r="L94" s="383"/>
      <c r="M94" s="383"/>
    </row>
    <row r="95" spans="1:13" ht="14.45" customHeight="1">
      <c r="C95" s="1355"/>
      <c r="E95" s="1343" t="s">
        <v>1014</v>
      </c>
      <c r="F95" s="1343" t="s">
        <v>1081</v>
      </c>
      <c r="G95" s="1343" t="s">
        <v>1082</v>
      </c>
      <c r="H95" s="1343" t="s">
        <v>1083</v>
      </c>
      <c r="I95" s="1343" t="s">
        <v>1015</v>
      </c>
      <c r="J95" s="1430" t="s">
        <v>1679</v>
      </c>
      <c r="K95" s="1430"/>
      <c r="L95" s="1430"/>
      <c r="M95" s="1430"/>
    </row>
    <row r="96" spans="1:13" ht="14.45" customHeight="1">
      <c r="C96" s="1355"/>
      <c r="E96" s="1364"/>
      <c r="F96" s="1364"/>
      <c r="G96" s="1364"/>
      <c r="H96" s="1364"/>
      <c r="I96" s="1364"/>
      <c r="J96" s="416" t="s">
        <v>277</v>
      </c>
      <c r="K96" s="416" t="s">
        <v>1084</v>
      </c>
      <c r="L96" s="416" t="s">
        <v>279</v>
      </c>
      <c r="M96" s="416" t="s">
        <v>15</v>
      </c>
    </row>
    <row r="97" spans="3:13" ht="14.45" customHeight="1">
      <c r="C97" s="1355"/>
      <c r="E97" s="371" t="s">
        <v>1085</v>
      </c>
      <c r="F97" s="1356" t="s">
        <v>1086</v>
      </c>
      <c r="G97" s="1423" t="s">
        <v>1087</v>
      </c>
      <c r="H97" s="1423" t="s">
        <v>1088</v>
      </c>
      <c r="I97" s="1356" t="s">
        <v>1089</v>
      </c>
      <c r="J97" s="1349">
        <f>'LBP NO. 2'!M192</f>
        <v>2040732</v>
      </c>
      <c r="K97" s="1349">
        <f>'LBP NO. 2'!M200</f>
        <v>526587</v>
      </c>
      <c r="L97" s="1349">
        <f>'LBP NO. 2'!M205</f>
        <v>55000</v>
      </c>
      <c r="M97" s="1349">
        <f>SUM(J97:L105)</f>
        <v>2622319</v>
      </c>
    </row>
    <row r="98" spans="3:13" ht="69" customHeight="1">
      <c r="C98" s="1355"/>
      <c r="E98" s="417"/>
      <c r="F98" s="1399"/>
      <c r="G98" s="1425"/>
      <c r="H98" s="1425"/>
      <c r="I98" s="1399"/>
      <c r="J98" s="1350"/>
      <c r="K98" s="1350"/>
      <c r="L98" s="1350"/>
      <c r="M98" s="1350"/>
    </row>
    <row r="99" spans="3:13" ht="14.45" customHeight="1">
      <c r="C99" s="1355"/>
      <c r="E99" s="371" t="s">
        <v>1085</v>
      </c>
      <c r="F99" s="1356" t="s">
        <v>1090</v>
      </c>
      <c r="G99" s="1423" t="s">
        <v>1091</v>
      </c>
      <c r="H99" s="1403" t="s">
        <v>1092</v>
      </c>
      <c r="I99" s="1356" t="s">
        <v>1680</v>
      </c>
      <c r="J99" s="1350"/>
      <c r="K99" s="1350"/>
      <c r="L99" s="1350"/>
      <c r="M99" s="1350"/>
    </row>
    <row r="100" spans="3:13" ht="14.45" customHeight="1">
      <c r="C100" s="1355"/>
      <c r="E100" s="418"/>
      <c r="F100" s="1357"/>
      <c r="G100" s="1424"/>
      <c r="H100" s="1404"/>
      <c r="I100" s="1357"/>
      <c r="J100" s="1350"/>
      <c r="K100" s="1350"/>
      <c r="L100" s="1350"/>
      <c r="M100" s="1350"/>
    </row>
    <row r="101" spans="3:13" ht="91.5" customHeight="1">
      <c r="C101" s="1355"/>
      <c r="E101" s="419"/>
      <c r="F101" s="1399"/>
      <c r="G101" s="1425"/>
      <c r="H101" s="1412"/>
      <c r="I101" s="1399"/>
      <c r="J101" s="1350"/>
      <c r="K101" s="1350"/>
      <c r="L101" s="1350"/>
      <c r="M101" s="1350"/>
    </row>
    <row r="102" spans="3:13" ht="14.45" customHeight="1">
      <c r="C102" s="1355"/>
      <c r="E102" s="371" t="s">
        <v>1085</v>
      </c>
      <c r="F102" s="1403" t="s">
        <v>1557</v>
      </c>
      <c r="G102" s="1423" t="s">
        <v>1093</v>
      </c>
      <c r="H102" s="1403" t="s">
        <v>1094</v>
      </c>
      <c r="I102" s="1356" t="s">
        <v>1681</v>
      </c>
      <c r="J102" s="1350"/>
      <c r="K102" s="1350"/>
      <c r="L102" s="1350"/>
      <c r="M102" s="1350"/>
    </row>
    <row r="103" spans="3:13" ht="14.45" customHeight="1">
      <c r="C103" s="1355"/>
      <c r="E103" s="399"/>
      <c r="F103" s="1404"/>
      <c r="G103" s="1424"/>
      <c r="H103" s="1404"/>
      <c r="I103" s="1357"/>
      <c r="J103" s="1350"/>
      <c r="K103" s="1350"/>
      <c r="L103" s="1350"/>
      <c r="M103" s="1350"/>
    </row>
    <row r="104" spans="3:13" ht="75.75" customHeight="1">
      <c r="C104" s="1355"/>
      <c r="E104" s="417"/>
      <c r="F104" s="1412"/>
      <c r="G104" s="1425"/>
      <c r="H104" s="1412"/>
      <c r="I104" s="1399"/>
      <c r="J104" s="1351"/>
      <c r="K104" s="1351"/>
      <c r="L104" s="1351"/>
      <c r="M104" s="1351"/>
    </row>
    <row r="105" spans="3:13" ht="45.75" customHeight="1">
      <c r="C105" s="1355"/>
      <c r="E105" s="902"/>
      <c r="F105" s="420" t="s">
        <v>1558</v>
      </c>
      <c r="G105" s="421" t="s">
        <v>1559</v>
      </c>
      <c r="H105" s="420" t="s">
        <v>1560</v>
      </c>
      <c r="I105" s="376" t="s">
        <v>1682</v>
      </c>
      <c r="J105" s="1437" t="s">
        <v>1095</v>
      </c>
      <c r="K105" s="1438"/>
      <c r="L105" s="1438"/>
      <c r="M105" s="1439"/>
    </row>
    <row r="106" spans="3:13" ht="20.100000000000001" customHeight="1" thickBot="1">
      <c r="C106" s="1355"/>
      <c r="E106" s="411"/>
      <c r="F106" s="423"/>
      <c r="G106" s="424"/>
      <c r="H106" s="425"/>
      <c r="I106" s="422"/>
      <c r="J106" s="426">
        <f>SUM(J97:J104)</f>
        <v>2040732</v>
      </c>
      <c r="K106" s="427">
        <f>SUM(K97:K104)</f>
        <v>526587</v>
      </c>
      <c r="L106" s="427">
        <f>SUM(L97:L104)</f>
        <v>55000</v>
      </c>
      <c r="M106" s="428">
        <f>SUM(M97:M104)</f>
        <v>2622319</v>
      </c>
    </row>
    <row r="107" spans="3:13" ht="14.45" customHeight="1" thickTop="1">
      <c r="C107" s="1355"/>
      <c r="E107" s="383"/>
      <c r="F107" s="383"/>
      <c r="G107" s="383"/>
      <c r="H107" s="383"/>
      <c r="I107" s="383"/>
      <c r="J107" s="412"/>
      <c r="K107" s="412"/>
      <c r="L107" s="412"/>
      <c r="M107" s="412"/>
    </row>
    <row r="108" spans="3:13" ht="14.45" customHeight="1">
      <c r="C108" s="1355"/>
      <c r="E108" s="383" t="s">
        <v>1044</v>
      </c>
      <c r="F108" s="383"/>
      <c r="G108" s="387" t="s">
        <v>1045</v>
      </c>
      <c r="J108" s="387"/>
      <c r="K108" s="387"/>
      <c r="L108" s="388"/>
      <c r="M108" s="388"/>
    </row>
    <row r="109" spans="3:13" ht="14.45" customHeight="1">
      <c r="C109" s="1355"/>
      <c r="E109" s="383"/>
      <c r="F109" s="383"/>
      <c r="G109" s="383"/>
      <c r="J109" s="383"/>
      <c r="K109" s="383"/>
      <c r="L109" s="383"/>
      <c r="M109" s="383"/>
    </row>
    <row r="110" spans="3:13" ht="14.45" customHeight="1">
      <c r="C110" s="1355"/>
      <c r="E110" s="1361" t="s">
        <v>254</v>
      </c>
      <c r="F110" s="1361"/>
      <c r="G110" s="1333" t="s">
        <v>254</v>
      </c>
      <c r="H110" s="1333"/>
      <c r="I110" s="1338" t="s">
        <v>17</v>
      </c>
      <c r="J110" s="1338"/>
      <c r="L110" s="1333" t="s">
        <v>88</v>
      </c>
      <c r="M110" s="1333"/>
    </row>
    <row r="111" spans="3:13" ht="14.45" customHeight="1">
      <c r="C111" s="1355"/>
      <c r="E111" s="1362" t="s">
        <v>13</v>
      </c>
      <c r="F111" s="1362"/>
      <c r="G111" s="1334" t="s">
        <v>13</v>
      </c>
      <c r="H111" s="1334"/>
      <c r="I111" s="1339" t="s">
        <v>18</v>
      </c>
      <c r="J111" s="1339"/>
      <c r="L111" s="1334" t="s">
        <v>1000</v>
      </c>
      <c r="M111" s="1334"/>
    </row>
    <row r="112" spans="3:13" ht="14.45" customHeight="1">
      <c r="C112" s="1355"/>
      <c r="E112" s="389" t="s">
        <v>258</v>
      </c>
      <c r="F112" s="389"/>
      <c r="G112" s="389"/>
      <c r="H112" s="383"/>
      <c r="I112" s="383"/>
      <c r="J112" s="383"/>
      <c r="K112" s="390"/>
      <c r="L112" s="383"/>
      <c r="M112" s="383"/>
    </row>
    <row r="113" spans="3:15" ht="14.45" customHeight="1">
      <c r="C113" s="1355"/>
      <c r="E113" s="391"/>
      <c r="F113" s="391"/>
      <c r="G113" s="391"/>
      <c r="H113" s="383"/>
      <c r="I113" s="383"/>
      <c r="J113" s="383"/>
      <c r="K113" s="392"/>
      <c r="L113" s="383"/>
      <c r="M113" s="383"/>
    </row>
    <row r="114" spans="3:15" ht="14.45" customHeight="1">
      <c r="C114" s="1355"/>
      <c r="E114" s="1333" t="s">
        <v>1456</v>
      </c>
      <c r="F114" s="1333"/>
      <c r="G114" s="393"/>
      <c r="H114" s="393"/>
      <c r="I114" s="393"/>
      <c r="J114" s="394"/>
      <c r="K114" s="394"/>
      <c r="L114" s="395"/>
      <c r="M114" s="391"/>
    </row>
    <row r="115" spans="3:15" ht="15.95" customHeight="1">
      <c r="C115" s="1355"/>
      <c r="E115" s="1334" t="s">
        <v>14</v>
      </c>
      <c r="F115" s="1334"/>
    </row>
    <row r="117" spans="3:15" ht="14.45" customHeight="1">
      <c r="C117" s="1337"/>
      <c r="D117" s="357"/>
      <c r="F117" s="1387" t="s">
        <v>1677</v>
      </c>
      <c r="G117" s="1387"/>
      <c r="H117" s="1387"/>
      <c r="I117" s="1387"/>
      <c r="J117" s="1387"/>
      <c r="K117" s="1387"/>
      <c r="L117" s="1387"/>
      <c r="M117" s="1387"/>
      <c r="N117" s="429"/>
      <c r="O117" s="429"/>
    </row>
    <row r="118" spans="3:15" ht="14.45" customHeight="1">
      <c r="C118" s="1355"/>
      <c r="F118" s="1388" t="s">
        <v>178</v>
      </c>
      <c r="G118" s="1388"/>
      <c r="H118" s="1388"/>
      <c r="I118" s="1388"/>
      <c r="J118" s="1388"/>
      <c r="K118" s="1388"/>
      <c r="L118" s="1388"/>
      <c r="M118" s="1388"/>
      <c r="N118" s="430"/>
      <c r="O118" s="430"/>
    </row>
    <row r="119" spans="3:15" ht="14.45" customHeight="1">
      <c r="C119" s="1355"/>
      <c r="F119" s="1156"/>
      <c r="G119" s="1156"/>
      <c r="H119" s="1156"/>
      <c r="I119" s="1156"/>
      <c r="J119" s="1156"/>
      <c r="K119" s="1156"/>
      <c r="L119" s="1156"/>
      <c r="M119" s="1156"/>
      <c r="N119" s="430"/>
      <c r="O119" s="430"/>
    </row>
    <row r="120" spans="3:15" ht="14.45" customHeight="1">
      <c r="C120" s="1355"/>
      <c r="E120" s="431" t="s">
        <v>1075</v>
      </c>
      <c r="F120" s="432" t="s">
        <v>1096</v>
      </c>
      <c r="G120" s="431"/>
      <c r="I120" s="431"/>
      <c r="J120" s="431"/>
      <c r="K120" s="431"/>
      <c r="L120" s="431"/>
      <c r="M120" s="431"/>
      <c r="N120" s="431"/>
      <c r="O120" s="431"/>
    </row>
    <row r="121" spans="3:15" ht="14.45" customHeight="1">
      <c r="C121" s="1355"/>
      <c r="E121" s="431" t="s">
        <v>1097</v>
      </c>
      <c r="F121" s="431" t="s">
        <v>1098</v>
      </c>
      <c r="G121" s="431"/>
      <c r="I121" s="431"/>
      <c r="J121" s="431"/>
      <c r="K121" s="431"/>
      <c r="L121" s="431"/>
      <c r="M121" s="431"/>
      <c r="N121" s="431"/>
      <c r="O121" s="431"/>
    </row>
    <row r="122" spans="3:15" ht="14.45" customHeight="1">
      <c r="C122" s="1355"/>
      <c r="E122" s="431" t="s">
        <v>1009</v>
      </c>
      <c r="F122" s="431" t="s">
        <v>1099</v>
      </c>
      <c r="G122" s="431"/>
      <c r="I122" s="431"/>
      <c r="J122" s="431"/>
      <c r="K122" s="431"/>
      <c r="L122" s="431"/>
      <c r="M122" s="431"/>
      <c r="N122" s="431"/>
      <c r="O122" s="431"/>
    </row>
    <row r="123" spans="3:15" ht="14.45" customHeight="1">
      <c r="C123" s="1355"/>
      <c r="E123" s="431" t="s">
        <v>1100</v>
      </c>
      <c r="F123" s="431" t="s">
        <v>1101</v>
      </c>
      <c r="G123" s="431"/>
      <c r="I123" s="431"/>
      <c r="J123" s="431"/>
      <c r="K123" s="431"/>
      <c r="L123" s="431"/>
      <c r="M123" s="431"/>
      <c r="N123" s="431"/>
      <c r="O123" s="431"/>
    </row>
    <row r="124" spans="3:15" ht="14.45" customHeight="1">
      <c r="C124" s="1355"/>
      <c r="E124" s="431"/>
      <c r="F124" s="431" t="s">
        <v>1102</v>
      </c>
      <c r="G124" s="431"/>
      <c r="I124" s="431"/>
      <c r="J124" s="431"/>
      <c r="K124" s="431"/>
      <c r="L124" s="431"/>
      <c r="M124" s="431"/>
      <c r="N124" s="431"/>
      <c r="O124" s="431"/>
    </row>
    <row r="125" spans="3:15" ht="14.45" customHeight="1">
      <c r="C125" s="1355"/>
      <c r="E125" s="1426" t="s">
        <v>1103</v>
      </c>
      <c r="F125" s="1426"/>
      <c r="G125" s="1426"/>
      <c r="H125" s="1426"/>
      <c r="I125" s="1426"/>
      <c r="J125" s="1426"/>
      <c r="K125" s="1426"/>
      <c r="L125" s="1426"/>
      <c r="M125" s="431"/>
      <c r="N125" s="431"/>
      <c r="O125" s="431"/>
    </row>
    <row r="126" spans="3:15" ht="14.45" customHeight="1">
      <c r="C126" s="1355"/>
      <c r="E126" s="431"/>
      <c r="F126" s="431"/>
      <c r="G126" s="431"/>
      <c r="H126" s="431"/>
      <c r="I126" s="431"/>
      <c r="J126" s="431"/>
      <c r="K126" s="431"/>
      <c r="L126" s="431"/>
      <c r="M126" s="431"/>
      <c r="N126" s="431"/>
      <c r="O126" s="431"/>
    </row>
    <row r="127" spans="3:15" ht="14.45" customHeight="1">
      <c r="C127" s="1355"/>
      <c r="E127" s="1343" t="s">
        <v>1014</v>
      </c>
      <c r="F127" s="433" t="s">
        <v>1081</v>
      </c>
      <c r="G127" s="434" t="s">
        <v>639</v>
      </c>
      <c r="H127" s="1366" t="s">
        <v>1083</v>
      </c>
      <c r="I127" s="1366" t="s">
        <v>1015</v>
      </c>
      <c r="J127" s="1368" t="s">
        <v>1683</v>
      </c>
      <c r="K127" s="1369"/>
      <c r="L127" s="1369"/>
      <c r="M127" s="1370"/>
    </row>
    <row r="128" spans="3:15" ht="18" customHeight="1">
      <c r="C128" s="1355"/>
      <c r="E128" s="1364"/>
      <c r="F128" s="435"/>
      <c r="G128" s="436"/>
      <c r="H128" s="1367"/>
      <c r="I128" s="1367"/>
      <c r="J128" s="437" t="s">
        <v>277</v>
      </c>
      <c r="K128" s="438" t="s">
        <v>278</v>
      </c>
      <c r="L128" s="438" t="s">
        <v>279</v>
      </c>
      <c r="M128" s="439" t="s">
        <v>15</v>
      </c>
    </row>
    <row r="129" spans="3:15" ht="39.75" customHeight="1">
      <c r="C129" s="1355"/>
      <c r="E129" s="440" t="s">
        <v>1104</v>
      </c>
      <c r="F129" s="441" t="s">
        <v>1105</v>
      </c>
      <c r="G129" s="442"/>
      <c r="H129" s="443" t="s">
        <v>1106</v>
      </c>
      <c r="I129" s="444" t="s">
        <v>1684</v>
      </c>
      <c r="J129" s="1427">
        <f>'LBP NO. 2'!M261</f>
        <v>2060770</v>
      </c>
      <c r="K129" s="1427">
        <f>'LBP NO. 2'!M270</f>
        <v>219250</v>
      </c>
      <c r="L129" s="1427">
        <f>'LBP NO. 2'!M275</f>
        <v>70000</v>
      </c>
      <c r="M129" s="1427">
        <f>SUM(J129:L141)</f>
        <v>2350020</v>
      </c>
    </row>
    <row r="130" spans="3:15" ht="14.45" customHeight="1">
      <c r="C130" s="1355"/>
      <c r="E130" s="445"/>
      <c r="F130" s="446"/>
      <c r="G130" s="447"/>
      <c r="H130" s="448"/>
      <c r="I130" s="449"/>
      <c r="J130" s="1428"/>
      <c r="K130" s="1428"/>
      <c r="L130" s="1428"/>
      <c r="M130" s="1428"/>
    </row>
    <row r="131" spans="3:15" ht="55.5" customHeight="1">
      <c r="C131" s="1355"/>
      <c r="E131" s="440" t="s">
        <v>1104</v>
      </c>
      <c r="F131" s="441" t="s">
        <v>1107</v>
      </c>
      <c r="G131" s="450" t="s">
        <v>1108</v>
      </c>
      <c r="H131" s="451" t="s">
        <v>1109</v>
      </c>
      <c r="I131" s="444" t="s">
        <v>1110</v>
      </c>
      <c r="J131" s="1428"/>
      <c r="K131" s="1428"/>
      <c r="L131" s="1428"/>
      <c r="M131" s="1428"/>
    </row>
    <row r="132" spans="3:15" ht="14.45" customHeight="1">
      <c r="C132" s="1355"/>
      <c r="E132" s="445"/>
      <c r="F132" s="446"/>
      <c r="G132" s="452"/>
      <c r="H132" s="453"/>
      <c r="I132" s="447"/>
      <c r="J132" s="1428"/>
      <c r="K132" s="1428"/>
      <c r="L132" s="1428"/>
      <c r="M132" s="1428"/>
    </row>
    <row r="133" spans="3:15" ht="43.5" customHeight="1">
      <c r="C133" s="1355"/>
      <c r="E133" s="445" t="s">
        <v>1104</v>
      </c>
      <c r="F133" s="454" t="s">
        <v>1111</v>
      </c>
      <c r="G133" s="452" t="s">
        <v>1112</v>
      </c>
      <c r="H133" s="448" t="s">
        <v>1113</v>
      </c>
      <c r="I133" s="449" t="s">
        <v>1114</v>
      </c>
      <c r="J133" s="1428"/>
      <c r="K133" s="1428"/>
      <c r="L133" s="1428"/>
      <c r="M133" s="1428"/>
    </row>
    <row r="134" spans="3:15" ht="23.25" customHeight="1">
      <c r="C134" s="1355"/>
      <c r="E134" s="455" t="s">
        <v>1104</v>
      </c>
      <c r="F134" s="456" t="s">
        <v>1115</v>
      </c>
      <c r="G134" s="457" t="s">
        <v>1116</v>
      </c>
      <c r="H134" s="456" t="s">
        <v>1117</v>
      </c>
      <c r="I134" s="458" t="s">
        <v>1118</v>
      </c>
      <c r="J134" s="1428"/>
      <c r="K134" s="1428"/>
      <c r="L134" s="1428"/>
      <c r="M134" s="1428"/>
    </row>
    <row r="135" spans="3:15" ht="14.45" customHeight="1">
      <c r="C135" s="1355"/>
      <c r="E135" s="455"/>
      <c r="F135" s="456"/>
      <c r="G135" s="459"/>
      <c r="H135" s="456"/>
      <c r="I135" s="447"/>
      <c r="J135" s="1428"/>
      <c r="K135" s="1428"/>
      <c r="L135" s="1428"/>
      <c r="M135" s="1428"/>
    </row>
    <row r="136" spans="3:15" ht="57" customHeight="1">
      <c r="C136" s="1355"/>
      <c r="E136" s="440" t="s">
        <v>1104</v>
      </c>
      <c r="F136" s="451" t="s">
        <v>1119</v>
      </c>
      <c r="G136" s="460" t="s">
        <v>1120</v>
      </c>
      <c r="H136" s="451" t="s">
        <v>1121</v>
      </c>
      <c r="I136" s="444" t="s">
        <v>1120</v>
      </c>
      <c r="J136" s="1428"/>
      <c r="K136" s="1428"/>
      <c r="L136" s="1428"/>
      <c r="M136" s="1428"/>
    </row>
    <row r="137" spans="3:15" ht="14.45" customHeight="1">
      <c r="C137" s="1355"/>
      <c r="E137" s="445"/>
      <c r="F137" s="461"/>
      <c r="G137" s="452"/>
      <c r="H137" s="454"/>
      <c r="I137" s="462"/>
      <c r="J137" s="1428"/>
      <c r="K137" s="1428"/>
      <c r="L137" s="1428"/>
      <c r="M137" s="1428"/>
    </row>
    <row r="138" spans="3:15" ht="27" customHeight="1">
      <c r="C138" s="1355"/>
      <c r="E138" s="440" t="s">
        <v>1104</v>
      </c>
      <c r="F138" s="451" t="s">
        <v>1122</v>
      </c>
      <c r="G138" s="450" t="s">
        <v>1123</v>
      </c>
      <c r="H138" s="451"/>
      <c r="I138" s="463" t="s">
        <v>1124</v>
      </c>
      <c r="J138" s="1428"/>
      <c r="K138" s="1428"/>
      <c r="L138" s="1428"/>
      <c r="M138" s="1428"/>
    </row>
    <row r="139" spans="3:15" ht="14.45" customHeight="1">
      <c r="C139" s="1355"/>
      <c r="E139" s="445"/>
      <c r="F139" s="454"/>
      <c r="G139" s="452"/>
      <c r="H139" s="454"/>
      <c r="I139" s="464"/>
      <c r="J139" s="1428"/>
      <c r="K139" s="1428"/>
      <c r="L139" s="1428"/>
      <c r="M139" s="1428"/>
    </row>
    <row r="140" spans="3:15" ht="35.25" customHeight="1">
      <c r="C140" s="1355"/>
      <c r="E140" s="455" t="s">
        <v>1104</v>
      </c>
      <c r="F140" s="456" t="s">
        <v>1125</v>
      </c>
      <c r="G140" s="457" t="s">
        <v>1126</v>
      </c>
      <c r="H140" s="456"/>
      <c r="I140" s="465" t="s">
        <v>1127</v>
      </c>
      <c r="J140" s="1428"/>
      <c r="K140" s="1428"/>
      <c r="L140" s="1428"/>
      <c r="M140" s="1428"/>
    </row>
    <row r="141" spans="3:15" ht="14.45" customHeight="1">
      <c r="C141" s="1355"/>
      <c r="E141" s="445"/>
      <c r="F141" s="454"/>
      <c r="G141" s="452"/>
      <c r="H141" s="454"/>
      <c r="I141" s="466"/>
      <c r="J141" s="1429"/>
      <c r="K141" s="1429"/>
      <c r="L141" s="1429"/>
      <c r="M141" s="1429"/>
    </row>
    <row r="142" spans="3:15" ht="14.45" customHeight="1">
      <c r="C142" s="1355"/>
      <c r="E142" s="467"/>
      <c r="F142" s="467"/>
      <c r="G142" s="467"/>
      <c r="H142" s="467"/>
      <c r="I142" s="467"/>
      <c r="J142" s="467"/>
      <c r="K142" s="467"/>
      <c r="L142" s="468"/>
      <c r="M142" s="468"/>
      <c r="N142" s="468"/>
      <c r="O142" s="468"/>
    </row>
    <row r="143" spans="3:15" ht="14.45" customHeight="1">
      <c r="C143" s="1355"/>
      <c r="E143" s="431" t="s">
        <v>1044</v>
      </c>
      <c r="F143" s="431"/>
      <c r="G143" s="469" t="s">
        <v>1045</v>
      </c>
      <c r="H143" s="469"/>
      <c r="J143" s="469"/>
      <c r="K143" s="469"/>
      <c r="L143" s="467"/>
      <c r="M143" s="467"/>
      <c r="N143" s="467"/>
      <c r="O143" s="467"/>
    </row>
    <row r="144" spans="3:15" ht="14.45" customHeight="1">
      <c r="C144" s="1355"/>
      <c r="E144" s="431"/>
      <c r="F144" s="431"/>
      <c r="G144" s="431"/>
      <c r="H144" s="431"/>
      <c r="I144" s="431"/>
      <c r="J144" s="431"/>
      <c r="K144" s="431"/>
      <c r="L144" s="467"/>
      <c r="M144" s="467"/>
      <c r="N144" s="467"/>
      <c r="O144" s="467"/>
    </row>
    <row r="145" spans="3:15" ht="14.45" customHeight="1">
      <c r="C145" s="1355"/>
      <c r="E145" s="1380" t="s">
        <v>23</v>
      </c>
      <c r="F145" s="1380"/>
      <c r="G145" s="1381" t="s">
        <v>254</v>
      </c>
      <c r="H145" s="1381"/>
      <c r="I145" s="1382" t="s">
        <v>17</v>
      </c>
      <c r="J145" s="1382"/>
      <c r="L145" s="1333" t="s">
        <v>88</v>
      </c>
      <c r="M145" s="1333"/>
      <c r="N145" s="470"/>
    </row>
    <row r="146" spans="3:15" ht="14.45" customHeight="1">
      <c r="C146" s="1355"/>
      <c r="E146" s="1383" t="s">
        <v>861</v>
      </c>
      <c r="F146" s="1383"/>
      <c r="G146" s="1384" t="s">
        <v>13</v>
      </c>
      <c r="H146" s="1384"/>
      <c r="I146" s="1385" t="s">
        <v>18</v>
      </c>
      <c r="J146" s="1385"/>
      <c r="L146" s="1334" t="s">
        <v>1000</v>
      </c>
      <c r="M146" s="1334"/>
      <c r="N146" s="471"/>
    </row>
    <row r="147" spans="3:15" ht="14.45" customHeight="1">
      <c r="C147" s="1355"/>
      <c r="E147" s="472" t="s">
        <v>258</v>
      </c>
      <c r="F147" s="472"/>
      <c r="G147" s="472"/>
      <c r="H147" s="431"/>
      <c r="I147" s="431"/>
      <c r="J147" s="431"/>
      <c r="K147" s="473"/>
      <c r="L147" s="474"/>
      <c r="M147" s="472"/>
      <c r="N147" s="472"/>
      <c r="O147" s="467"/>
    </row>
    <row r="148" spans="3:15" ht="14.45" customHeight="1">
      <c r="C148" s="1355"/>
      <c r="E148" s="474"/>
      <c r="F148" s="474"/>
      <c r="G148" s="474"/>
      <c r="H148" s="431"/>
      <c r="I148" s="431"/>
      <c r="J148" s="431"/>
      <c r="K148" s="475"/>
      <c r="L148" s="474"/>
      <c r="M148" s="476"/>
      <c r="N148" s="472"/>
      <c r="O148" s="467"/>
    </row>
    <row r="149" spans="3:15" ht="14.45" customHeight="1">
      <c r="C149" s="1355"/>
      <c r="E149" s="1333" t="s">
        <v>1456</v>
      </c>
      <c r="F149" s="1333"/>
      <c r="G149" s="477"/>
      <c r="H149" s="477"/>
      <c r="I149" s="470"/>
      <c r="J149" s="478"/>
      <c r="K149" s="478"/>
      <c r="L149" s="431"/>
      <c r="M149" s="431"/>
      <c r="N149" s="431"/>
      <c r="O149" s="467"/>
    </row>
    <row r="150" spans="3:15" ht="14.45" customHeight="1">
      <c r="C150" s="1355"/>
      <c r="E150" s="1334" t="s">
        <v>14</v>
      </c>
      <c r="F150" s="1334"/>
      <c r="G150" s="479"/>
      <c r="H150" s="479"/>
      <c r="I150" s="471"/>
      <c r="J150" s="480"/>
      <c r="K150" s="478"/>
      <c r="L150" s="431"/>
      <c r="M150" s="431"/>
      <c r="N150" s="431"/>
      <c r="O150" s="467"/>
    </row>
    <row r="152" spans="3:15" ht="15.95" customHeight="1"/>
    <row r="153" spans="3:15" ht="14.45" customHeight="1">
      <c r="C153" s="899"/>
      <c r="D153" s="383"/>
      <c r="F153" s="1340" t="s">
        <v>1677</v>
      </c>
      <c r="G153" s="1340"/>
      <c r="H153" s="1340"/>
      <c r="I153" s="1340"/>
      <c r="J153" s="1340"/>
      <c r="K153" s="1340"/>
      <c r="L153" s="1340"/>
      <c r="M153" s="358"/>
    </row>
    <row r="154" spans="3:15" ht="14.45" customHeight="1">
      <c r="C154" s="899"/>
      <c r="E154" s="1341" t="s">
        <v>178</v>
      </c>
      <c r="F154" s="1341"/>
      <c r="G154" s="1341"/>
      <c r="H154" s="1341"/>
      <c r="I154" s="1341"/>
      <c r="J154" s="1341"/>
      <c r="K154" s="1341"/>
      <c r="L154" s="1341"/>
      <c r="M154" s="1341"/>
    </row>
    <row r="155" spans="3:15" ht="14.45" customHeight="1">
      <c r="C155" s="899"/>
      <c r="E155" s="1151"/>
      <c r="F155" s="1151"/>
      <c r="G155" s="1151"/>
      <c r="H155" s="1151"/>
      <c r="I155" s="1151"/>
      <c r="J155" s="1151"/>
      <c r="K155" s="1151"/>
      <c r="L155" s="1151"/>
      <c r="M155" s="1151"/>
    </row>
    <row r="156" spans="3:15" ht="14.45" customHeight="1">
      <c r="C156" s="899"/>
      <c r="E156" s="356" t="s">
        <v>1005</v>
      </c>
      <c r="F156" s="360" t="s">
        <v>1128</v>
      </c>
    </row>
    <row r="157" spans="3:15" ht="14.45" customHeight="1">
      <c r="C157" s="899"/>
      <c r="F157" s="360"/>
    </row>
    <row r="158" spans="3:15" ht="14.45" customHeight="1">
      <c r="C158" s="899"/>
      <c r="E158" s="356" t="s">
        <v>1007</v>
      </c>
      <c r="F158" s="356" t="s">
        <v>1129</v>
      </c>
    </row>
    <row r="159" spans="3:15" ht="14.45" customHeight="1">
      <c r="C159" s="899"/>
      <c r="E159" s="356" t="s">
        <v>1009</v>
      </c>
      <c r="F159" s="1332" t="s">
        <v>1130</v>
      </c>
      <c r="G159" s="1332"/>
      <c r="H159" s="1332"/>
      <c r="I159" s="1332"/>
      <c r="J159" s="481"/>
      <c r="K159" s="481"/>
      <c r="L159" s="481"/>
      <c r="M159" s="481"/>
    </row>
    <row r="160" spans="3:15" ht="33" customHeight="1">
      <c r="C160" s="899"/>
      <c r="E160" s="482" t="s">
        <v>1011</v>
      </c>
      <c r="F160" s="1332" t="s">
        <v>1131</v>
      </c>
      <c r="G160" s="1332"/>
      <c r="H160" s="1332"/>
      <c r="I160" s="1332"/>
      <c r="J160" s="483"/>
      <c r="K160" s="483"/>
      <c r="L160" s="483"/>
      <c r="M160" s="483"/>
    </row>
    <row r="161" spans="3:13" ht="14.45" customHeight="1">
      <c r="C161" s="899"/>
      <c r="E161" s="356" t="s">
        <v>1132</v>
      </c>
    </row>
    <row r="162" spans="3:13" ht="14.45" customHeight="1">
      <c r="C162" s="899"/>
      <c r="E162" s="1343" t="s">
        <v>1014</v>
      </c>
      <c r="F162" s="365" t="s">
        <v>637</v>
      </c>
      <c r="G162" s="1420" t="s">
        <v>639</v>
      </c>
      <c r="H162" s="365" t="s">
        <v>640</v>
      </c>
      <c r="I162" s="1343" t="s">
        <v>1015</v>
      </c>
      <c r="J162" s="1422" t="s">
        <v>1678</v>
      </c>
      <c r="K162" s="1347"/>
      <c r="L162" s="1347"/>
      <c r="M162" s="1348"/>
    </row>
    <row r="163" spans="3:13" ht="14.45" customHeight="1">
      <c r="C163" s="899"/>
      <c r="E163" s="1344"/>
      <c r="F163" s="484" t="s">
        <v>638</v>
      </c>
      <c r="G163" s="1421"/>
      <c r="H163" s="484" t="s">
        <v>641</v>
      </c>
      <c r="I163" s="1344"/>
      <c r="J163" s="368" t="s">
        <v>277</v>
      </c>
      <c r="K163" s="368" t="s">
        <v>278</v>
      </c>
      <c r="L163" s="369" t="s">
        <v>279</v>
      </c>
      <c r="M163" s="370" t="s">
        <v>15</v>
      </c>
    </row>
    <row r="164" spans="3:13" ht="14.45" customHeight="1">
      <c r="C164" s="899"/>
      <c r="E164" s="371" t="s">
        <v>1133</v>
      </c>
      <c r="F164" s="1356" t="s">
        <v>1134</v>
      </c>
      <c r="G164" s="1356" t="s">
        <v>1135</v>
      </c>
      <c r="H164" s="1358" t="s">
        <v>1136</v>
      </c>
      <c r="I164" s="401" t="s">
        <v>1137</v>
      </c>
      <c r="J164" s="1349">
        <f>'LBP NO. 2'!M329</f>
        <v>2214520</v>
      </c>
      <c r="K164" s="1349">
        <f>'LBP NO. 2'!M337</f>
        <v>328000</v>
      </c>
      <c r="L164" s="1349">
        <f>'LBP NO. 2'!M342</f>
        <v>0</v>
      </c>
      <c r="M164" s="1349">
        <f>SUM(J164:L190)</f>
        <v>2542520</v>
      </c>
    </row>
    <row r="165" spans="3:13" ht="32.25" customHeight="1">
      <c r="C165" s="899"/>
      <c r="E165" s="372"/>
      <c r="F165" s="1357"/>
      <c r="G165" s="1357"/>
      <c r="H165" s="1352"/>
      <c r="I165" s="403" t="s">
        <v>1138</v>
      </c>
      <c r="J165" s="1350"/>
      <c r="K165" s="1350"/>
      <c r="L165" s="1350"/>
      <c r="M165" s="1350"/>
    </row>
    <row r="166" spans="3:13" ht="32.25" customHeight="1">
      <c r="C166" s="899"/>
      <c r="E166" s="372"/>
      <c r="F166" s="1357"/>
      <c r="G166" s="1357"/>
      <c r="H166" s="1352"/>
      <c r="I166" s="1149"/>
      <c r="J166" s="1350"/>
      <c r="K166" s="1350"/>
      <c r="L166" s="1350"/>
      <c r="M166" s="1350"/>
    </row>
    <row r="167" spans="3:13" ht="14.45" customHeight="1">
      <c r="C167" s="899"/>
      <c r="E167" s="372"/>
      <c r="F167" s="1357"/>
      <c r="G167" s="1357"/>
      <c r="H167" s="1352"/>
      <c r="I167" s="381"/>
      <c r="J167" s="1350"/>
      <c r="K167" s="1350"/>
      <c r="L167" s="1350"/>
      <c r="M167" s="1350"/>
    </row>
    <row r="168" spans="3:13" ht="14.45" customHeight="1">
      <c r="C168" s="899"/>
      <c r="E168" s="371" t="s">
        <v>1133</v>
      </c>
      <c r="F168" s="1358" t="s">
        <v>1139</v>
      </c>
      <c r="G168" s="1356" t="s">
        <v>1140</v>
      </c>
      <c r="H168" s="1356" t="s">
        <v>1141</v>
      </c>
      <c r="I168" s="485" t="s">
        <v>1137</v>
      </c>
      <c r="J168" s="1350"/>
      <c r="K168" s="1350"/>
      <c r="L168" s="1350"/>
      <c r="M168" s="1350"/>
    </row>
    <row r="169" spans="3:13" ht="42.75" customHeight="1">
      <c r="C169" s="899"/>
      <c r="E169" s="373"/>
      <c r="F169" s="1360"/>
      <c r="G169" s="1399"/>
      <c r="H169" s="1399"/>
      <c r="I169" s="381" t="s">
        <v>1142</v>
      </c>
      <c r="J169" s="1350"/>
      <c r="K169" s="1350"/>
      <c r="L169" s="1350"/>
      <c r="M169" s="1350"/>
    </row>
    <row r="170" spans="3:13" ht="30.75" customHeight="1">
      <c r="C170" s="899"/>
      <c r="E170" s="371" t="s">
        <v>1133</v>
      </c>
      <c r="F170" s="1356" t="s">
        <v>1143</v>
      </c>
      <c r="G170" s="1403" t="s">
        <v>1144</v>
      </c>
      <c r="H170" s="1403" t="s">
        <v>1145</v>
      </c>
      <c r="I170" s="403" t="s">
        <v>1146</v>
      </c>
      <c r="J170" s="1350"/>
      <c r="K170" s="1350"/>
      <c r="L170" s="1350"/>
      <c r="M170" s="1350"/>
    </row>
    <row r="171" spans="3:13" ht="24" customHeight="1">
      <c r="C171" s="899"/>
      <c r="E171" s="373"/>
      <c r="F171" s="1399"/>
      <c r="G171" s="1412"/>
      <c r="H171" s="1412"/>
      <c r="I171" s="403"/>
      <c r="J171" s="1350"/>
      <c r="K171" s="1350"/>
      <c r="L171" s="1350"/>
      <c r="M171" s="1350"/>
    </row>
    <row r="172" spans="3:13" ht="45.75" customHeight="1">
      <c r="C172" s="899"/>
      <c r="E172" s="371" t="s">
        <v>1133</v>
      </c>
      <c r="F172" s="1356" t="s">
        <v>1147</v>
      </c>
      <c r="G172" s="1358" t="s">
        <v>1148</v>
      </c>
      <c r="H172" s="1356" t="s">
        <v>1149</v>
      </c>
      <c r="I172" s="1358" t="s">
        <v>1150</v>
      </c>
      <c r="J172" s="1350"/>
      <c r="K172" s="1350"/>
      <c r="L172" s="1350"/>
      <c r="M172" s="1350"/>
    </row>
    <row r="173" spans="3:13" ht="14.45" customHeight="1">
      <c r="C173" s="899"/>
      <c r="E173" s="372"/>
      <c r="F173" s="1357"/>
      <c r="G173" s="1352"/>
      <c r="H173" s="1357"/>
      <c r="I173" s="1352"/>
      <c r="J173" s="1350"/>
      <c r="K173" s="1350"/>
      <c r="L173" s="1350"/>
      <c r="M173" s="1350"/>
    </row>
    <row r="174" spans="3:13" ht="14.45" customHeight="1">
      <c r="C174" s="899"/>
      <c r="E174" s="373"/>
      <c r="F174" s="1399"/>
      <c r="G174" s="1360"/>
      <c r="H174" s="486"/>
      <c r="I174" s="487"/>
      <c r="J174" s="1350"/>
      <c r="K174" s="1350"/>
      <c r="L174" s="1350"/>
      <c r="M174" s="1350"/>
    </row>
    <row r="175" spans="3:13" ht="44.25" customHeight="1">
      <c r="C175" s="899"/>
      <c r="E175" s="375" t="s">
        <v>1133</v>
      </c>
      <c r="F175" s="488" t="s">
        <v>1151</v>
      </c>
      <c r="G175" s="401" t="s">
        <v>1152</v>
      </c>
      <c r="H175" s="488" t="s">
        <v>1153</v>
      </c>
      <c r="I175" s="488" t="s">
        <v>1154</v>
      </c>
      <c r="J175" s="1350"/>
      <c r="K175" s="1350"/>
      <c r="L175" s="1350"/>
      <c r="M175" s="1350"/>
    </row>
    <row r="176" spans="3:13" ht="14.45" customHeight="1">
      <c r="C176" s="899"/>
      <c r="E176" s="373"/>
      <c r="F176" s="489"/>
      <c r="G176" s="381"/>
      <c r="H176" s="486"/>
      <c r="I176" s="490"/>
      <c r="J176" s="1350"/>
      <c r="K176" s="1350"/>
      <c r="L176" s="1350"/>
      <c r="M176" s="1350"/>
    </row>
    <row r="177" spans="3:13" ht="14.45" customHeight="1">
      <c r="C177" s="899"/>
      <c r="E177" s="375" t="s">
        <v>1133</v>
      </c>
      <c r="F177" s="1418" t="s">
        <v>1155</v>
      </c>
      <c r="G177" s="401" t="s">
        <v>1156</v>
      </c>
      <c r="H177" s="1356" t="s">
        <v>1157</v>
      </c>
      <c r="I177" s="491" t="s">
        <v>1158</v>
      </c>
      <c r="J177" s="1350"/>
      <c r="K177" s="1350"/>
      <c r="L177" s="1350"/>
      <c r="M177" s="1350"/>
    </row>
    <row r="178" spans="3:13" ht="44.25" customHeight="1">
      <c r="C178" s="899"/>
      <c r="E178" s="492"/>
      <c r="F178" s="1419"/>
      <c r="G178" s="493"/>
      <c r="H178" s="1399"/>
      <c r="I178" s="494" t="s">
        <v>1159</v>
      </c>
      <c r="J178" s="1350"/>
      <c r="K178" s="1350"/>
      <c r="L178" s="1350"/>
      <c r="M178" s="1350"/>
    </row>
    <row r="179" spans="3:13" ht="49.5" customHeight="1">
      <c r="C179" s="899"/>
      <c r="D179" s="495"/>
      <c r="E179" s="375" t="s">
        <v>1133</v>
      </c>
      <c r="F179" s="496" t="s">
        <v>1160</v>
      </c>
      <c r="G179" s="497" t="s">
        <v>1161</v>
      </c>
      <c r="H179" s="498" t="s">
        <v>1162</v>
      </c>
      <c r="I179" s="499" t="s">
        <v>1137</v>
      </c>
      <c r="J179" s="1350"/>
      <c r="K179" s="1350"/>
      <c r="L179" s="1350"/>
      <c r="M179" s="1350"/>
    </row>
    <row r="180" spans="3:13" ht="14.45" customHeight="1">
      <c r="C180" s="899"/>
      <c r="D180" s="495"/>
      <c r="E180" s="616"/>
      <c r="F180" s="498"/>
      <c r="G180" s="497"/>
      <c r="H180" s="498"/>
      <c r="I180" s="617"/>
      <c r="J180" s="1350"/>
      <c r="K180" s="1350"/>
      <c r="L180" s="1350"/>
      <c r="M180" s="1350"/>
    </row>
    <row r="181" spans="3:13" ht="14.25" customHeight="1">
      <c r="C181" s="899"/>
      <c r="E181" s="506" t="s">
        <v>1133</v>
      </c>
      <c r="F181" s="1357" t="s">
        <v>1163</v>
      </c>
      <c r="G181" s="1404" t="s">
        <v>1164</v>
      </c>
      <c r="H181" s="1357" t="s">
        <v>1165</v>
      </c>
      <c r="I181" s="494" t="s">
        <v>1137</v>
      </c>
      <c r="J181" s="1350"/>
      <c r="K181" s="1350"/>
      <c r="L181" s="1350"/>
      <c r="M181" s="1350"/>
    </row>
    <row r="182" spans="3:13" ht="45.75" customHeight="1">
      <c r="C182" s="899"/>
      <c r="E182" s="372"/>
      <c r="F182" s="1357"/>
      <c r="G182" s="1404"/>
      <c r="H182" s="1357"/>
      <c r="I182" s="500"/>
      <c r="J182" s="1350"/>
      <c r="K182" s="1350"/>
      <c r="L182" s="1350"/>
      <c r="M182" s="1350"/>
    </row>
    <row r="183" spans="3:13" ht="15.95" customHeight="1">
      <c r="C183" s="501"/>
      <c r="E183" s="373"/>
      <c r="F183" s="1157"/>
      <c r="G183" s="1159"/>
      <c r="H183" s="486"/>
      <c r="I183" s="487"/>
      <c r="J183" s="1350"/>
      <c r="K183" s="1350"/>
      <c r="L183" s="1350"/>
      <c r="M183" s="1350"/>
    </row>
    <row r="184" spans="3:13" ht="15.95" customHeight="1">
      <c r="C184" s="1337"/>
      <c r="E184" s="375" t="s">
        <v>1133</v>
      </c>
      <c r="F184" s="502" t="s">
        <v>1166</v>
      </c>
      <c r="G184" s="502" t="s">
        <v>1167</v>
      </c>
      <c r="H184" s="491" t="s">
        <v>1168</v>
      </c>
      <c r="I184" s="491" t="s">
        <v>1137</v>
      </c>
      <c r="J184" s="1350"/>
      <c r="K184" s="1350"/>
      <c r="L184" s="1350"/>
      <c r="M184" s="1350"/>
    </row>
    <row r="185" spans="3:13" ht="54.75" customHeight="1">
      <c r="C185" s="1355"/>
      <c r="E185" s="503"/>
      <c r="F185" s="504"/>
      <c r="G185" s="504"/>
      <c r="H185" s="505"/>
      <c r="I185" s="505" t="s">
        <v>1169</v>
      </c>
      <c r="J185" s="1350"/>
      <c r="K185" s="1350"/>
      <c r="L185" s="1350"/>
      <c r="M185" s="1350"/>
    </row>
    <row r="186" spans="3:13" ht="57.75" customHeight="1">
      <c r="C186" s="1355"/>
      <c r="E186" s="506" t="s">
        <v>1133</v>
      </c>
      <c r="F186" s="507" t="s">
        <v>1170</v>
      </c>
      <c r="G186" s="507" t="s">
        <v>1171</v>
      </c>
      <c r="H186" s="494" t="s">
        <v>1172</v>
      </c>
      <c r="I186" s="508" t="s">
        <v>1173</v>
      </c>
      <c r="J186" s="1350"/>
      <c r="K186" s="1350"/>
      <c r="L186" s="1350"/>
      <c r="M186" s="1350"/>
    </row>
    <row r="187" spans="3:13" ht="39" customHeight="1">
      <c r="C187" s="1355"/>
      <c r="E187" s="373"/>
      <c r="F187" s="504"/>
      <c r="G187" s="504"/>
      <c r="H187" s="505"/>
      <c r="I187" s="509" t="s">
        <v>1137</v>
      </c>
      <c r="J187" s="1350"/>
      <c r="K187" s="1350"/>
      <c r="L187" s="1350"/>
      <c r="M187" s="1350"/>
    </row>
    <row r="188" spans="3:13" ht="35.25" customHeight="1">
      <c r="C188" s="1355"/>
      <c r="E188" s="375" t="s">
        <v>1133</v>
      </c>
      <c r="F188" s="502" t="s">
        <v>1170</v>
      </c>
      <c r="G188" s="502" t="s">
        <v>1174</v>
      </c>
      <c r="H188" s="491" t="s">
        <v>1175</v>
      </c>
      <c r="I188" s="491" t="s">
        <v>1176</v>
      </c>
      <c r="J188" s="1350"/>
      <c r="K188" s="1350"/>
      <c r="L188" s="1350"/>
      <c r="M188" s="1350"/>
    </row>
    <row r="189" spans="3:13" ht="54.75" customHeight="1">
      <c r="C189" s="1355"/>
      <c r="E189" s="503"/>
      <c r="F189" s="504"/>
      <c r="G189" s="504"/>
      <c r="H189" s="505"/>
      <c r="I189" s="505" t="s">
        <v>1177</v>
      </c>
      <c r="J189" s="1350"/>
      <c r="K189" s="1350"/>
      <c r="L189" s="1350"/>
      <c r="M189" s="1350"/>
    </row>
    <row r="190" spans="3:13" ht="42.75" customHeight="1">
      <c r="C190" s="1355"/>
      <c r="E190" s="375" t="s">
        <v>1133</v>
      </c>
      <c r="F190" s="502" t="s">
        <v>1178</v>
      </c>
      <c r="G190" s="507" t="s">
        <v>1179</v>
      </c>
      <c r="H190" s="491" t="s">
        <v>1175</v>
      </c>
      <c r="I190" s="494" t="s">
        <v>1176</v>
      </c>
      <c r="J190" s="1350"/>
      <c r="K190" s="1350"/>
      <c r="L190" s="1350"/>
      <c r="M190" s="1350"/>
    </row>
    <row r="191" spans="3:13" ht="42.75" customHeight="1">
      <c r="C191" s="1355"/>
      <c r="E191" s="503"/>
      <c r="F191" s="504"/>
      <c r="G191" s="504"/>
      <c r="H191" s="505"/>
      <c r="I191" s="505" t="s">
        <v>1180</v>
      </c>
      <c r="J191" s="1351"/>
      <c r="K191" s="1351"/>
      <c r="L191" s="1351"/>
      <c r="M191" s="1351"/>
    </row>
    <row r="192" spans="3:13" ht="20.100000000000001" customHeight="1" thickBot="1">
      <c r="C192" s="1355"/>
      <c r="E192" s="510"/>
      <c r="F192" s="511"/>
      <c r="G192" s="512"/>
      <c r="H192" s="513"/>
      <c r="I192" s="514"/>
      <c r="J192" s="515">
        <f>SUM(J164:J190)</f>
        <v>2214520</v>
      </c>
      <c r="K192" s="515">
        <v>239000</v>
      </c>
      <c r="L192" s="515">
        <f>SUM(L164:L190)</f>
        <v>0</v>
      </c>
      <c r="M192" s="515">
        <f>SUM(M164:M190)</f>
        <v>2542520</v>
      </c>
    </row>
    <row r="193" spans="1:13" ht="14.45" customHeight="1" thickTop="1">
      <c r="C193" s="1355"/>
      <c r="E193" s="383"/>
      <c r="F193" s="383"/>
      <c r="G193" s="383"/>
      <c r="H193" s="383"/>
      <c r="I193" s="383"/>
      <c r="J193" s="412"/>
      <c r="K193" s="412"/>
      <c r="L193" s="412"/>
      <c r="M193" s="412"/>
    </row>
    <row r="194" spans="1:13" ht="14.45" customHeight="1">
      <c r="C194" s="1355"/>
      <c r="E194" s="383" t="s">
        <v>1044</v>
      </c>
      <c r="F194" s="383"/>
      <c r="G194" s="387" t="s">
        <v>1045</v>
      </c>
      <c r="J194" s="387"/>
      <c r="K194" s="387"/>
      <c r="L194" s="388"/>
      <c r="M194" s="388"/>
    </row>
    <row r="195" spans="1:13" ht="14.45" customHeight="1">
      <c r="C195" s="1355"/>
      <c r="E195" s="383"/>
      <c r="F195" s="383"/>
      <c r="G195" s="383"/>
      <c r="J195" s="383"/>
      <c r="K195" s="383"/>
      <c r="L195" s="383"/>
      <c r="M195" s="383"/>
    </row>
    <row r="196" spans="1:13" ht="14.45" customHeight="1">
      <c r="C196" s="1355"/>
      <c r="E196" s="1361" t="s">
        <v>17</v>
      </c>
      <c r="F196" s="1361"/>
      <c r="G196" s="1333" t="s">
        <v>254</v>
      </c>
      <c r="H196" s="1333"/>
      <c r="I196" s="1338" t="s">
        <v>17</v>
      </c>
      <c r="J196" s="1338"/>
      <c r="L196" s="1333" t="s">
        <v>88</v>
      </c>
      <c r="M196" s="1333"/>
    </row>
    <row r="197" spans="1:13" ht="14.45" customHeight="1">
      <c r="C197" s="1355"/>
      <c r="E197" s="1362" t="s">
        <v>18</v>
      </c>
      <c r="F197" s="1362"/>
      <c r="G197" s="1334" t="s">
        <v>13</v>
      </c>
      <c r="H197" s="1334"/>
      <c r="I197" s="1339" t="s">
        <v>18</v>
      </c>
      <c r="J197" s="1339"/>
      <c r="L197" s="1334" t="s">
        <v>1000</v>
      </c>
      <c r="M197" s="1334"/>
    </row>
    <row r="198" spans="1:13" ht="14.45" customHeight="1">
      <c r="C198" s="1355"/>
      <c r="E198" s="389" t="s">
        <v>258</v>
      </c>
      <c r="F198" s="389"/>
      <c r="G198" s="389"/>
      <c r="H198" s="383"/>
      <c r="I198" s="383"/>
      <c r="J198" s="383"/>
      <c r="K198" s="390"/>
      <c r="L198" s="383"/>
      <c r="M198" s="383"/>
    </row>
    <row r="199" spans="1:13" ht="14.45" customHeight="1">
      <c r="C199" s="1355"/>
      <c r="E199" s="391"/>
      <c r="F199" s="391"/>
      <c r="G199" s="391"/>
      <c r="H199" s="383"/>
      <c r="I199" s="383"/>
      <c r="J199" s="383"/>
      <c r="K199" s="392"/>
      <c r="L199" s="383"/>
      <c r="M199" s="383"/>
    </row>
    <row r="200" spans="1:13" ht="14.45" customHeight="1">
      <c r="C200" s="1355"/>
      <c r="E200" s="1333" t="s">
        <v>1456</v>
      </c>
      <c r="F200" s="1333"/>
      <c r="G200" s="393"/>
      <c r="H200" s="393"/>
      <c r="I200" s="393"/>
      <c r="J200" s="394"/>
      <c r="K200" s="394"/>
      <c r="L200" s="395"/>
      <c r="M200" s="391"/>
    </row>
    <row r="201" spans="1:13" ht="15.95" customHeight="1">
      <c r="C201" s="1355"/>
      <c r="E201" s="1334" t="s">
        <v>14</v>
      </c>
      <c r="F201" s="1334"/>
      <c r="G201" s="396"/>
      <c r="H201" s="396"/>
      <c r="I201" s="396"/>
      <c r="J201" s="397"/>
      <c r="K201" s="394"/>
      <c r="L201" s="395"/>
      <c r="M201" s="391"/>
    </row>
    <row r="202" spans="1:13" ht="15.95" customHeight="1">
      <c r="E202" s="516"/>
      <c r="F202" s="516"/>
      <c r="G202" s="396"/>
      <c r="H202" s="396"/>
      <c r="I202" s="396"/>
      <c r="J202" s="397"/>
      <c r="K202" s="394"/>
      <c r="L202" s="395"/>
      <c r="M202" s="391"/>
    </row>
    <row r="203" spans="1:13" ht="15.95" customHeight="1">
      <c r="E203" s="516"/>
      <c r="F203" s="516"/>
      <c r="G203" s="396"/>
      <c r="H203" s="396"/>
      <c r="I203" s="396"/>
      <c r="J203" s="397"/>
      <c r="K203" s="394"/>
      <c r="L203" s="395"/>
      <c r="M203" s="391"/>
    </row>
    <row r="204" spans="1:13" ht="15.95" customHeight="1">
      <c r="E204" s="516"/>
      <c r="F204" s="516"/>
      <c r="G204" s="396"/>
      <c r="H204" s="396"/>
      <c r="I204" s="396"/>
      <c r="J204" s="397"/>
      <c r="K204" s="394"/>
      <c r="L204" s="395"/>
      <c r="M204" s="391"/>
    </row>
    <row r="205" spans="1:13" ht="15.95" customHeight="1">
      <c r="E205" s="516"/>
      <c r="F205" s="516"/>
      <c r="G205" s="396"/>
      <c r="H205" s="396"/>
      <c r="I205" s="396"/>
      <c r="J205" s="397"/>
      <c r="K205" s="394"/>
      <c r="L205" s="395"/>
      <c r="M205" s="391"/>
    </row>
    <row r="206" spans="1:13" s="517" customFormat="1" ht="15.95" customHeight="1">
      <c r="A206" s="414"/>
    </row>
    <row r="207" spans="1:13" s="517" customFormat="1" ht="15.95" customHeight="1">
      <c r="A207" s="414"/>
    </row>
    <row r="208" spans="1:13" s="517" customFormat="1" ht="15.95" customHeight="1">
      <c r="A208" s="414"/>
    </row>
    <row r="209" spans="1:13" s="517" customFormat="1" ht="15.95" customHeight="1">
      <c r="A209" s="414"/>
    </row>
    <row r="210" spans="1:13" s="517" customFormat="1" ht="15.95" customHeight="1">
      <c r="A210" s="414"/>
    </row>
    <row r="211" spans="1:13" s="517" customFormat="1" ht="15.95" customHeight="1">
      <c r="A211" s="414"/>
    </row>
    <row r="212" spans="1:13" s="517" customFormat="1" ht="15.95" customHeight="1">
      <c r="A212" s="414"/>
    </row>
    <row r="213" spans="1:13" s="517" customFormat="1" ht="15.95" customHeight="1">
      <c r="A213" s="414"/>
    </row>
    <row r="214" spans="1:13" ht="14.45" customHeight="1">
      <c r="C214" s="1337"/>
      <c r="D214" s="383"/>
      <c r="F214" s="1340" t="s">
        <v>1677</v>
      </c>
      <c r="G214" s="1340"/>
      <c r="H214" s="1340"/>
      <c r="I214" s="1340"/>
      <c r="J214" s="1340"/>
      <c r="K214" s="1340"/>
      <c r="L214" s="1340"/>
      <c r="M214" s="358"/>
    </row>
    <row r="215" spans="1:13" ht="14.45" customHeight="1">
      <c r="C215" s="1355"/>
      <c r="E215" s="1341" t="s">
        <v>178</v>
      </c>
      <c r="F215" s="1341"/>
      <c r="G215" s="1341"/>
      <c r="H215" s="1341"/>
      <c r="I215" s="1341"/>
      <c r="J215" s="1341"/>
      <c r="K215" s="1341"/>
      <c r="L215" s="1341"/>
      <c r="M215" s="1341"/>
    </row>
    <row r="216" spans="1:13" ht="14.45" customHeight="1">
      <c r="C216" s="1355"/>
      <c r="E216" s="1151"/>
      <c r="F216" s="1151"/>
      <c r="G216" s="1151"/>
      <c r="H216" s="1151"/>
      <c r="I216" s="1151"/>
      <c r="J216" s="1151"/>
      <c r="K216" s="1151"/>
      <c r="L216" s="1151"/>
      <c r="M216" s="1151"/>
    </row>
    <row r="217" spans="1:13" ht="14.45" customHeight="1">
      <c r="C217" s="1355"/>
      <c r="E217" s="356" t="s">
        <v>1005</v>
      </c>
      <c r="F217" s="360" t="s">
        <v>1181</v>
      </c>
    </row>
    <row r="218" spans="1:13" ht="14.45" customHeight="1">
      <c r="C218" s="1355"/>
      <c r="E218" s="356" t="s">
        <v>1007</v>
      </c>
      <c r="F218" s="361" t="s">
        <v>1182</v>
      </c>
    </row>
    <row r="219" spans="1:13" ht="14.45" customHeight="1">
      <c r="C219" s="1355"/>
      <c r="E219" s="356" t="s">
        <v>1009</v>
      </c>
      <c r="F219" s="1332" t="s">
        <v>1481</v>
      </c>
      <c r="G219" s="1332"/>
      <c r="H219" s="1332"/>
      <c r="I219" s="1332"/>
      <c r="J219" s="1332"/>
      <c r="K219" s="1332"/>
      <c r="L219" s="1332"/>
      <c r="M219" s="1332"/>
    </row>
    <row r="220" spans="1:13" ht="14.45" customHeight="1">
      <c r="C220" s="1355"/>
      <c r="E220" s="356" t="s">
        <v>1011</v>
      </c>
      <c r="F220" s="1332" t="s">
        <v>1183</v>
      </c>
      <c r="G220" s="1332"/>
      <c r="H220" s="1332"/>
      <c r="I220" s="1332"/>
      <c r="J220" s="1332"/>
      <c r="K220" s="1332"/>
      <c r="L220" s="1332"/>
      <c r="M220" s="1332"/>
    </row>
    <row r="221" spans="1:13" ht="30" customHeight="1">
      <c r="C221" s="1355"/>
      <c r="E221" s="1414" t="s">
        <v>1184</v>
      </c>
      <c r="F221" s="1414"/>
      <c r="G221" s="1414"/>
      <c r="H221" s="1414"/>
      <c r="I221" s="1414"/>
      <c r="J221" s="1414"/>
      <c r="K221" s="1414"/>
      <c r="L221" s="1414"/>
      <c r="M221" s="1414"/>
    </row>
    <row r="222" spans="1:13" ht="14.45" customHeight="1">
      <c r="C222" s="1355"/>
      <c r="E222" s="1343" t="s">
        <v>1014</v>
      </c>
      <c r="F222" s="365" t="s">
        <v>637</v>
      </c>
      <c r="G222" s="1345" t="s">
        <v>639</v>
      </c>
      <c r="H222" s="365" t="s">
        <v>640</v>
      </c>
      <c r="I222" s="1343" t="s">
        <v>1015</v>
      </c>
      <c r="J222" s="1347" t="s">
        <v>1678</v>
      </c>
      <c r="K222" s="1347"/>
      <c r="L222" s="1347"/>
      <c r="M222" s="1348"/>
    </row>
    <row r="223" spans="1:13" ht="14.45" customHeight="1">
      <c r="C223" s="1355"/>
      <c r="E223" s="1364"/>
      <c r="F223" s="366" t="s">
        <v>638</v>
      </c>
      <c r="G223" s="1365"/>
      <c r="H223" s="366" t="s">
        <v>641</v>
      </c>
      <c r="I223" s="1364"/>
      <c r="J223" s="518" t="s">
        <v>277</v>
      </c>
      <c r="K223" s="519" t="s">
        <v>278</v>
      </c>
      <c r="L223" s="365" t="s">
        <v>279</v>
      </c>
      <c r="M223" s="520" t="s">
        <v>15</v>
      </c>
    </row>
    <row r="224" spans="1:13" ht="14.45" customHeight="1">
      <c r="C224" s="1355"/>
      <c r="E224" s="371" t="s">
        <v>1185</v>
      </c>
      <c r="F224" s="1356" t="s">
        <v>1186</v>
      </c>
      <c r="G224" s="1358" t="s">
        <v>1187</v>
      </c>
      <c r="H224" s="1358" t="s">
        <v>1188</v>
      </c>
      <c r="I224" s="1415" t="s">
        <v>1685</v>
      </c>
      <c r="J224" s="1406">
        <f>'LBP NO. 2'!M398</f>
        <v>3252594</v>
      </c>
      <c r="K224" s="1349">
        <f>'LBP NO. 2'!M406</f>
        <v>573815</v>
      </c>
      <c r="L224" s="1349">
        <f>'LBP NO. 2'!M412</f>
        <v>180000</v>
      </c>
      <c r="M224" s="1349">
        <f>SUM(J224:L240)</f>
        <v>4006409</v>
      </c>
    </row>
    <row r="225" spans="3:13" ht="14.45" customHeight="1">
      <c r="C225" s="1355"/>
      <c r="E225" s="399"/>
      <c r="F225" s="1357"/>
      <c r="G225" s="1352"/>
      <c r="H225" s="1352"/>
      <c r="I225" s="1416"/>
      <c r="J225" s="1407"/>
      <c r="K225" s="1350"/>
      <c r="L225" s="1350"/>
      <c r="M225" s="1350"/>
    </row>
    <row r="226" spans="3:13" ht="14.45" customHeight="1">
      <c r="C226" s="1355"/>
      <c r="E226" s="399"/>
      <c r="F226" s="1357"/>
      <c r="G226" s="1352"/>
      <c r="H226" s="1352"/>
      <c r="I226" s="1416"/>
      <c r="J226" s="1407"/>
      <c r="K226" s="1350"/>
      <c r="L226" s="1350"/>
      <c r="M226" s="1350"/>
    </row>
    <row r="227" spans="3:13" ht="14.45" customHeight="1">
      <c r="C227" s="1355"/>
      <c r="E227" s="373"/>
      <c r="F227" s="1399"/>
      <c r="G227" s="1360"/>
      <c r="H227" s="1360"/>
      <c r="I227" s="1417"/>
      <c r="J227" s="1407"/>
      <c r="K227" s="1350"/>
      <c r="L227" s="1350"/>
      <c r="M227" s="1350"/>
    </row>
    <row r="228" spans="3:13" ht="14.45" customHeight="1">
      <c r="C228" s="1355"/>
      <c r="E228" s="371" t="s">
        <v>1185</v>
      </c>
      <c r="F228" s="1356" t="s">
        <v>1189</v>
      </c>
      <c r="G228" s="1358" t="s">
        <v>1190</v>
      </c>
      <c r="H228" s="1358" t="s">
        <v>1191</v>
      </c>
      <c r="I228" s="1415" t="s">
        <v>1192</v>
      </c>
      <c r="J228" s="1407"/>
      <c r="K228" s="1350"/>
      <c r="L228" s="1350"/>
      <c r="M228" s="1350"/>
    </row>
    <row r="229" spans="3:13" ht="14.45" customHeight="1">
      <c r="C229" s="1355"/>
      <c r="E229" s="372"/>
      <c r="F229" s="1357"/>
      <c r="G229" s="1352"/>
      <c r="H229" s="1352"/>
      <c r="I229" s="1416"/>
      <c r="J229" s="1407"/>
      <c r="K229" s="1350"/>
      <c r="L229" s="1350"/>
      <c r="M229" s="1350"/>
    </row>
    <row r="230" spans="3:13" ht="14.45" customHeight="1">
      <c r="C230" s="1355"/>
      <c r="E230" s="372"/>
      <c r="F230" s="1357"/>
      <c r="G230" s="1352"/>
      <c r="H230" s="1352"/>
      <c r="I230" s="1416"/>
      <c r="J230" s="1407"/>
      <c r="K230" s="1350"/>
      <c r="L230" s="1350"/>
      <c r="M230" s="1350"/>
    </row>
    <row r="231" spans="3:13" ht="45" customHeight="1">
      <c r="C231" s="1355"/>
      <c r="E231" s="419"/>
      <c r="F231" s="1399"/>
      <c r="G231" s="1360"/>
      <c r="H231" s="1360"/>
      <c r="I231" s="1417"/>
      <c r="J231" s="1407"/>
      <c r="K231" s="1350"/>
      <c r="L231" s="1350"/>
      <c r="M231" s="1350"/>
    </row>
    <row r="232" spans="3:13" ht="14.45" customHeight="1">
      <c r="C232" s="1355"/>
      <c r="E232" s="371" t="s">
        <v>1185</v>
      </c>
      <c r="F232" s="1356" t="s">
        <v>1193</v>
      </c>
      <c r="G232" s="1358" t="s">
        <v>1194</v>
      </c>
      <c r="H232" s="1356" t="s">
        <v>1195</v>
      </c>
      <c r="I232" s="1415" t="s">
        <v>1196</v>
      </c>
      <c r="J232" s="1407"/>
      <c r="K232" s="1350"/>
      <c r="L232" s="1350"/>
      <c r="M232" s="1350"/>
    </row>
    <row r="233" spans="3:13" ht="14.45" customHeight="1">
      <c r="C233" s="1355"/>
      <c r="E233" s="372"/>
      <c r="F233" s="1357"/>
      <c r="G233" s="1352"/>
      <c r="H233" s="1357"/>
      <c r="I233" s="1416"/>
      <c r="J233" s="1407"/>
      <c r="K233" s="1350"/>
      <c r="L233" s="1350"/>
      <c r="M233" s="1350"/>
    </row>
    <row r="234" spans="3:13" ht="34.5" customHeight="1">
      <c r="C234" s="1355"/>
      <c r="E234" s="419"/>
      <c r="F234" s="1399"/>
      <c r="G234" s="1360"/>
      <c r="H234" s="1399"/>
      <c r="I234" s="1417"/>
      <c r="J234" s="1407"/>
      <c r="K234" s="1350"/>
      <c r="L234" s="1350"/>
      <c r="M234" s="1350"/>
    </row>
    <row r="235" spans="3:13" ht="14.45" customHeight="1">
      <c r="C235" s="1355"/>
      <c r="E235" s="371" t="s">
        <v>1185</v>
      </c>
      <c r="F235" s="1356" t="s">
        <v>1197</v>
      </c>
      <c r="G235" s="1358" t="s">
        <v>1198</v>
      </c>
      <c r="H235" s="1358" t="s">
        <v>1199</v>
      </c>
      <c r="I235" s="1358" t="s">
        <v>1685</v>
      </c>
      <c r="J235" s="1407"/>
      <c r="K235" s="1350"/>
      <c r="L235" s="1350"/>
      <c r="M235" s="1350"/>
    </row>
    <row r="236" spans="3:13" ht="45.75" customHeight="1">
      <c r="C236" s="1355"/>
      <c r="E236" s="521"/>
      <c r="F236" s="1399"/>
      <c r="G236" s="1360"/>
      <c r="H236" s="1360"/>
      <c r="I236" s="1360"/>
      <c r="J236" s="1407"/>
      <c r="K236" s="1350"/>
      <c r="L236" s="1350"/>
      <c r="M236" s="1350"/>
    </row>
    <row r="237" spans="3:13" ht="14.45" customHeight="1">
      <c r="C237" s="1355"/>
      <c r="E237" s="371" t="s">
        <v>1185</v>
      </c>
      <c r="F237" s="1403" t="s">
        <v>1069</v>
      </c>
      <c r="G237" s="1403" t="s">
        <v>1070</v>
      </c>
      <c r="H237" s="1403" t="s">
        <v>1071</v>
      </c>
      <c r="I237" s="1403" t="s">
        <v>1072</v>
      </c>
      <c r="J237" s="1407"/>
      <c r="K237" s="1350"/>
      <c r="L237" s="1350"/>
      <c r="M237" s="1350"/>
    </row>
    <row r="238" spans="3:13" ht="14.45" customHeight="1">
      <c r="C238" s="1355"/>
      <c r="E238" s="399"/>
      <c r="F238" s="1404"/>
      <c r="G238" s="1404"/>
      <c r="H238" s="1404"/>
      <c r="I238" s="1404"/>
      <c r="J238" s="1407"/>
      <c r="K238" s="1350"/>
      <c r="L238" s="1350"/>
      <c r="M238" s="1350"/>
    </row>
    <row r="239" spans="3:13" ht="14.45" customHeight="1">
      <c r="C239" s="1355"/>
      <c r="E239" s="372"/>
      <c r="F239" s="1404"/>
      <c r="G239" s="1404"/>
      <c r="H239" s="1404"/>
      <c r="I239" s="1404"/>
      <c r="J239" s="1407"/>
      <c r="K239" s="1350"/>
      <c r="L239" s="1350"/>
      <c r="M239" s="1350"/>
    </row>
    <row r="240" spans="3:13" ht="14.45" customHeight="1">
      <c r="C240" s="1355"/>
      <c r="E240" s="419"/>
      <c r="F240" s="1412"/>
      <c r="G240" s="1412"/>
      <c r="H240" s="1412"/>
      <c r="I240" s="1412"/>
      <c r="J240" s="1408"/>
      <c r="K240" s="1351"/>
      <c r="L240" s="1351"/>
      <c r="M240" s="1351"/>
    </row>
    <row r="241" spans="3:13" ht="14.45" customHeight="1">
      <c r="C241" s="1355"/>
      <c r="E241" s="383"/>
      <c r="F241" s="383"/>
      <c r="G241" s="383"/>
      <c r="H241" s="383"/>
      <c r="I241" s="383"/>
      <c r="J241" s="412"/>
      <c r="K241" s="412"/>
      <c r="L241" s="412"/>
      <c r="M241" s="412"/>
    </row>
    <row r="242" spans="3:13" ht="14.45" customHeight="1">
      <c r="C242" s="1355"/>
      <c r="E242" s="383" t="s">
        <v>1044</v>
      </c>
      <c r="F242" s="383"/>
      <c r="G242" s="387" t="s">
        <v>1045</v>
      </c>
      <c r="J242" s="387"/>
      <c r="K242" s="387"/>
      <c r="L242" s="388"/>
      <c r="M242" s="388"/>
    </row>
    <row r="243" spans="3:13" ht="14.45" customHeight="1">
      <c r="C243" s="1355"/>
      <c r="E243" s="383"/>
      <c r="F243" s="383"/>
      <c r="G243" s="383"/>
      <c r="H243" s="383"/>
      <c r="J243" s="383"/>
      <c r="K243" s="383"/>
      <c r="L243" s="383"/>
      <c r="M243" s="383"/>
    </row>
    <row r="244" spans="3:13" ht="14.45" customHeight="1">
      <c r="C244" s="1355"/>
      <c r="E244" s="1361" t="s">
        <v>798</v>
      </c>
      <c r="F244" s="1361"/>
      <c r="G244" s="1333" t="s">
        <v>254</v>
      </c>
      <c r="H244" s="1333"/>
      <c r="I244" s="1338" t="s">
        <v>17</v>
      </c>
      <c r="J244" s="1338"/>
      <c r="L244" s="1333" t="s">
        <v>88</v>
      </c>
      <c r="M244" s="1333"/>
    </row>
    <row r="245" spans="3:13" ht="14.45" customHeight="1">
      <c r="C245" s="1355"/>
      <c r="E245" s="1362" t="s">
        <v>242</v>
      </c>
      <c r="F245" s="1362"/>
      <c r="G245" s="1334" t="s">
        <v>13</v>
      </c>
      <c r="H245" s="1334"/>
      <c r="I245" s="1339" t="s">
        <v>18</v>
      </c>
      <c r="J245" s="1339"/>
      <c r="L245" s="1334" t="s">
        <v>1000</v>
      </c>
      <c r="M245" s="1334"/>
    </row>
    <row r="246" spans="3:13" ht="14.45" customHeight="1">
      <c r="C246" s="1355"/>
      <c r="E246" s="389" t="s">
        <v>258</v>
      </c>
      <c r="F246" s="389"/>
      <c r="G246" s="389"/>
      <c r="H246" s="383"/>
      <c r="I246" s="383"/>
      <c r="J246" s="383"/>
      <c r="K246" s="390"/>
      <c r="L246" s="383"/>
      <c r="M246" s="383"/>
    </row>
    <row r="247" spans="3:13" ht="14.45" customHeight="1">
      <c r="C247" s="1355"/>
      <c r="E247" s="391"/>
      <c r="F247" s="391"/>
      <c r="G247" s="391"/>
      <c r="H247" s="383"/>
      <c r="I247" s="383"/>
      <c r="J247" s="383"/>
      <c r="K247" s="392"/>
      <c r="L247" s="383"/>
      <c r="M247" s="383"/>
    </row>
    <row r="248" spans="3:13" ht="14.45" customHeight="1">
      <c r="C248" s="1355"/>
      <c r="E248" s="1333" t="s">
        <v>1456</v>
      </c>
      <c r="F248" s="1333"/>
      <c r="G248" s="393"/>
      <c r="H248" s="393"/>
      <c r="I248" s="393"/>
      <c r="J248" s="394"/>
      <c r="K248" s="394"/>
      <c r="L248" s="395"/>
      <c r="M248" s="391"/>
    </row>
    <row r="249" spans="3:13" ht="14.45" customHeight="1">
      <c r="C249" s="1355"/>
      <c r="E249" s="1334" t="s">
        <v>14</v>
      </c>
      <c r="F249" s="1334"/>
    </row>
    <row r="250" spans="3:13" ht="14.45" customHeight="1">
      <c r="E250" s="516"/>
      <c r="F250" s="516"/>
    </row>
    <row r="251" spans="3:13" ht="14.45" customHeight="1">
      <c r="E251" s="516"/>
      <c r="F251" s="516"/>
    </row>
    <row r="252" spans="3:13" ht="14.45" customHeight="1">
      <c r="E252" s="516"/>
      <c r="F252" s="516"/>
    </row>
    <row r="253" spans="3:13" ht="14.45" customHeight="1">
      <c r="E253" s="516"/>
      <c r="F253" s="516"/>
    </row>
    <row r="254" spans="3:13" ht="14.45" customHeight="1">
      <c r="E254" s="516"/>
      <c r="F254" s="516"/>
    </row>
    <row r="255" spans="3:13" ht="14.45" customHeight="1">
      <c r="E255" s="516"/>
      <c r="F255" s="516"/>
    </row>
    <row r="257" spans="3:13" ht="15.95" customHeight="1"/>
    <row r="258" spans="3:13" ht="14.45" customHeight="1">
      <c r="C258" s="1337"/>
      <c r="D258" s="383"/>
      <c r="F258" s="1340" t="s">
        <v>1677</v>
      </c>
      <c r="G258" s="1340"/>
      <c r="H258" s="1340"/>
      <c r="I258" s="1340"/>
      <c r="J258" s="1340"/>
      <c r="K258" s="1340"/>
      <c r="L258" s="1340"/>
      <c r="M258" s="358"/>
    </row>
    <row r="259" spans="3:13" ht="14.45" customHeight="1">
      <c r="C259" s="1355"/>
      <c r="E259" s="1341" t="s">
        <v>178</v>
      </c>
      <c r="F259" s="1341"/>
      <c r="G259" s="1341"/>
      <c r="H259" s="1341"/>
      <c r="I259" s="1341"/>
      <c r="J259" s="1341"/>
      <c r="K259" s="1341"/>
      <c r="L259" s="1341"/>
      <c r="M259" s="1341"/>
    </row>
    <row r="260" spans="3:13" ht="14.45" customHeight="1">
      <c r="C260" s="1355"/>
      <c r="E260" s="1151"/>
      <c r="F260" s="1151"/>
      <c r="G260" s="1151"/>
      <c r="H260" s="1151"/>
      <c r="I260" s="1151"/>
      <c r="J260" s="1151"/>
      <c r="K260" s="1151"/>
      <c r="L260" s="1151"/>
      <c r="M260" s="1151"/>
    </row>
    <row r="261" spans="3:13" ht="14.45" customHeight="1">
      <c r="C261" s="1355"/>
      <c r="E261" s="356" t="s">
        <v>1005</v>
      </c>
      <c r="F261" s="360" t="s">
        <v>1200</v>
      </c>
    </row>
    <row r="262" spans="3:13" ht="14.45" customHeight="1">
      <c r="C262" s="1355"/>
      <c r="E262" s="356" t="s">
        <v>1007</v>
      </c>
      <c r="F262" s="361" t="s">
        <v>1201</v>
      </c>
    </row>
    <row r="263" spans="3:13" ht="14.45" customHeight="1">
      <c r="C263" s="1355"/>
      <c r="E263" s="356" t="s">
        <v>1009</v>
      </c>
      <c r="F263" s="1363" t="s">
        <v>1202</v>
      </c>
      <c r="G263" s="1363"/>
      <c r="H263" s="1363"/>
      <c r="I263" s="1363"/>
      <c r="J263" s="1363"/>
      <c r="K263" s="1363"/>
      <c r="L263" s="1363"/>
      <c r="M263" s="1363"/>
    </row>
    <row r="264" spans="3:13" ht="16.5" customHeight="1">
      <c r="C264" s="1355"/>
      <c r="F264" s="1363"/>
      <c r="G264" s="1363"/>
      <c r="H264" s="1363"/>
      <c r="I264" s="1363"/>
      <c r="J264" s="1363"/>
      <c r="K264" s="1363"/>
      <c r="L264" s="1363"/>
      <c r="M264" s="1363"/>
    </row>
    <row r="265" spans="3:13" ht="14.45" customHeight="1">
      <c r="C265" s="1355"/>
      <c r="E265" s="356" t="s">
        <v>1011</v>
      </c>
      <c r="F265" s="1332" t="s">
        <v>1203</v>
      </c>
      <c r="G265" s="1332"/>
      <c r="H265" s="1332"/>
      <c r="I265" s="1332"/>
      <c r="J265" s="1332"/>
      <c r="K265" s="1332"/>
      <c r="L265" s="1332"/>
      <c r="M265" s="1332"/>
    </row>
    <row r="266" spans="3:13" ht="18.75" customHeight="1">
      <c r="C266" s="1355"/>
      <c r="F266" s="1332"/>
      <c r="G266" s="1332"/>
      <c r="H266" s="1332"/>
      <c r="I266" s="1332"/>
      <c r="J266" s="1332"/>
      <c r="K266" s="1332"/>
      <c r="L266" s="1332"/>
      <c r="M266" s="1332"/>
    </row>
    <row r="267" spans="3:13" ht="14.45" customHeight="1">
      <c r="C267" s="1355"/>
      <c r="E267" s="364" t="s">
        <v>1204</v>
      </c>
      <c r="F267" s="364"/>
      <c r="G267" s="364"/>
      <c r="H267" s="364"/>
      <c r="I267" s="364"/>
      <c r="J267" s="364"/>
      <c r="K267" s="364"/>
      <c r="L267" s="364"/>
      <c r="M267" s="364"/>
    </row>
    <row r="268" spans="3:13" ht="14.45" customHeight="1">
      <c r="C268" s="1355"/>
      <c r="E268" s="1343" t="s">
        <v>1014</v>
      </c>
      <c r="F268" s="365" t="s">
        <v>637</v>
      </c>
      <c r="G268" s="1345" t="s">
        <v>639</v>
      </c>
      <c r="H268" s="365" t="s">
        <v>640</v>
      </c>
      <c r="I268" s="1343" t="s">
        <v>1015</v>
      </c>
      <c r="J268" s="1347" t="s">
        <v>1678</v>
      </c>
      <c r="K268" s="1347"/>
      <c r="L268" s="1347"/>
      <c r="M268" s="1348"/>
    </row>
    <row r="269" spans="3:13" ht="14.45" customHeight="1">
      <c r="C269" s="1355"/>
      <c r="E269" s="1364"/>
      <c r="F269" s="366" t="s">
        <v>638</v>
      </c>
      <c r="G269" s="1365"/>
      <c r="H269" s="366" t="s">
        <v>641</v>
      </c>
      <c r="I269" s="1364"/>
      <c r="J269" s="367" t="s">
        <v>277</v>
      </c>
      <c r="K269" s="368" t="s">
        <v>278</v>
      </c>
      <c r="L269" s="369" t="s">
        <v>279</v>
      </c>
      <c r="M269" s="370" t="s">
        <v>15</v>
      </c>
    </row>
    <row r="270" spans="3:13" ht="14.45" customHeight="1">
      <c r="C270" s="1355"/>
      <c r="E270" s="371" t="s">
        <v>1205</v>
      </c>
      <c r="F270" s="1356" t="s">
        <v>1206</v>
      </c>
      <c r="G270" s="1358" t="s">
        <v>1474</v>
      </c>
      <c r="H270" s="1358" t="s">
        <v>1478</v>
      </c>
      <c r="I270" s="1358" t="s">
        <v>1685</v>
      </c>
      <c r="J270" s="1406">
        <f>'LBP NO. 2'!M466</f>
        <v>5135657</v>
      </c>
      <c r="K270" s="1349">
        <f>'LBP NO. 2'!M477</f>
        <v>1076000</v>
      </c>
      <c r="L270" s="1349">
        <f>'LBP NO. 2'!M483</f>
        <v>430000</v>
      </c>
      <c r="M270" s="1349">
        <f>SUM(J270:L285)</f>
        <v>6641657</v>
      </c>
    </row>
    <row r="271" spans="3:13" ht="14.45" customHeight="1">
      <c r="C271" s="1355"/>
      <c r="E271" s="399"/>
      <c r="F271" s="1357"/>
      <c r="G271" s="1352"/>
      <c r="H271" s="1352"/>
      <c r="I271" s="1352"/>
      <c r="J271" s="1407"/>
      <c r="K271" s="1350"/>
      <c r="L271" s="1350"/>
      <c r="M271" s="1350"/>
    </row>
    <row r="272" spans="3:13" ht="40.5" customHeight="1">
      <c r="C272" s="1355"/>
      <c r="E272" s="419"/>
      <c r="F272" s="1399"/>
      <c r="G272" s="1360"/>
      <c r="H272" s="1360"/>
      <c r="I272" s="1360"/>
      <c r="J272" s="1407"/>
      <c r="K272" s="1350"/>
      <c r="L272" s="1350"/>
      <c r="M272" s="1350"/>
    </row>
    <row r="273" spans="3:13" ht="14.45" customHeight="1">
      <c r="C273" s="1355"/>
      <c r="E273" s="371" t="s">
        <v>1205</v>
      </c>
      <c r="F273" s="1356" t="s">
        <v>1207</v>
      </c>
      <c r="G273" s="1358" t="s">
        <v>1475</v>
      </c>
      <c r="H273" s="1358" t="s">
        <v>1208</v>
      </c>
      <c r="I273" s="1358" t="s">
        <v>1209</v>
      </c>
      <c r="J273" s="1407"/>
      <c r="K273" s="1350"/>
      <c r="L273" s="1350"/>
      <c r="M273" s="1350"/>
    </row>
    <row r="274" spans="3:13" ht="14.45" customHeight="1">
      <c r="C274" s="1355"/>
      <c r="E274" s="374"/>
      <c r="F274" s="1357"/>
      <c r="G274" s="1352"/>
      <c r="H274" s="1352"/>
      <c r="I274" s="1352"/>
      <c r="J274" s="1407"/>
      <c r="K274" s="1350"/>
      <c r="L274" s="1350"/>
      <c r="M274" s="1350"/>
    </row>
    <row r="275" spans="3:13" ht="58.5" customHeight="1">
      <c r="C275" s="1355"/>
      <c r="E275" s="374"/>
      <c r="F275" s="1399"/>
      <c r="G275" s="1360"/>
      <c r="H275" s="1360"/>
      <c r="I275" s="1360"/>
      <c r="J275" s="1407"/>
      <c r="K275" s="1350"/>
      <c r="L275" s="1350"/>
      <c r="M275" s="1350"/>
    </row>
    <row r="276" spans="3:13" ht="14.45" customHeight="1">
      <c r="C276" s="1355"/>
      <c r="E276" s="371" t="s">
        <v>1205</v>
      </c>
      <c r="F276" s="1356" t="s">
        <v>1210</v>
      </c>
      <c r="G276" s="1358" t="s">
        <v>1476</v>
      </c>
      <c r="H276" s="1358" t="s">
        <v>1211</v>
      </c>
      <c r="I276" s="1358" t="s">
        <v>1212</v>
      </c>
      <c r="J276" s="1407"/>
      <c r="K276" s="1350"/>
      <c r="L276" s="1350"/>
      <c r="M276" s="1350"/>
    </row>
    <row r="277" spans="3:13" ht="14.45" customHeight="1">
      <c r="C277" s="1355"/>
      <c r="E277" s="399"/>
      <c r="F277" s="1357"/>
      <c r="G277" s="1352"/>
      <c r="H277" s="1352"/>
      <c r="I277" s="1352"/>
      <c r="J277" s="1407"/>
      <c r="K277" s="1350"/>
      <c r="L277" s="1350"/>
      <c r="M277" s="1350"/>
    </row>
    <row r="278" spans="3:13" ht="58.5" customHeight="1">
      <c r="C278" s="1355"/>
      <c r="E278" s="373"/>
      <c r="F278" s="1399"/>
      <c r="G278" s="1360"/>
      <c r="H278" s="1360"/>
      <c r="I278" s="1360"/>
      <c r="J278" s="1407"/>
      <c r="K278" s="1350"/>
      <c r="L278" s="1350"/>
      <c r="M278" s="1350"/>
    </row>
    <row r="279" spans="3:13" ht="14.45" customHeight="1">
      <c r="C279" s="1355"/>
      <c r="E279" s="371" t="s">
        <v>1205</v>
      </c>
      <c r="F279" s="1356" t="s">
        <v>1213</v>
      </c>
      <c r="G279" s="1358" t="s">
        <v>1477</v>
      </c>
      <c r="H279" s="1358" t="s">
        <v>1214</v>
      </c>
      <c r="I279" s="1358" t="s">
        <v>1215</v>
      </c>
      <c r="J279" s="1407"/>
      <c r="K279" s="1350"/>
      <c r="L279" s="1350"/>
      <c r="M279" s="1350"/>
    </row>
    <row r="280" spans="3:13" ht="14.45" customHeight="1">
      <c r="C280" s="1355"/>
      <c r="E280" s="410"/>
      <c r="F280" s="1357"/>
      <c r="G280" s="1352"/>
      <c r="H280" s="1352"/>
      <c r="I280" s="1352"/>
      <c r="J280" s="1407"/>
      <c r="K280" s="1350"/>
      <c r="L280" s="1350"/>
      <c r="M280" s="1350"/>
    </row>
    <row r="281" spans="3:13" ht="39" customHeight="1">
      <c r="C281" s="1355"/>
      <c r="E281" s="374"/>
      <c r="F281" s="1399"/>
      <c r="G281" s="1360"/>
      <c r="H281" s="1360"/>
      <c r="I281" s="1360"/>
      <c r="J281" s="1407"/>
      <c r="K281" s="1350"/>
      <c r="L281" s="1350"/>
      <c r="M281" s="1350"/>
    </row>
    <row r="282" spans="3:13" ht="14.45" customHeight="1">
      <c r="C282" s="1355"/>
      <c r="E282" s="371" t="s">
        <v>1205</v>
      </c>
      <c r="F282" s="1403" t="s">
        <v>1069</v>
      </c>
      <c r="G282" s="1403" t="s">
        <v>1070</v>
      </c>
      <c r="H282" s="1403" t="s">
        <v>1071</v>
      </c>
      <c r="I282" s="1403" t="s">
        <v>1072</v>
      </c>
      <c r="J282" s="1407"/>
      <c r="K282" s="1350"/>
      <c r="L282" s="1350"/>
      <c r="M282" s="1350"/>
    </row>
    <row r="283" spans="3:13" ht="14.45" customHeight="1">
      <c r="C283" s="1355"/>
      <c r="E283" s="399"/>
      <c r="F283" s="1404"/>
      <c r="G283" s="1404"/>
      <c r="H283" s="1404"/>
      <c r="I283" s="1404"/>
      <c r="J283" s="1407"/>
      <c r="K283" s="1350"/>
      <c r="L283" s="1350"/>
      <c r="M283" s="1350"/>
    </row>
    <row r="284" spans="3:13" ht="14.45" customHeight="1">
      <c r="C284" s="1355"/>
      <c r="E284" s="372"/>
      <c r="F284" s="1404"/>
      <c r="G284" s="1404"/>
      <c r="H284" s="1404"/>
      <c r="I284" s="1404"/>
      <c r="J284" s="1407"/>
      <c r="K284" s="1350"/>
      <c r="L284" s="1350"/>
      <c r="M284" s="1350"/>
    </row>
    <row r="285" spans="3:13" ht="14.45" customHeight="1">
      <c r="C285" s="1355"/>
      <c r="E285" s="419"/>
      <c r="F285" s="1412"/>
      <c r="G285" s="1412"/>
      <c r="H285" s="1412"/>
      <c r="I285" s="1412"/>
      <c r="J285" s="1408"/>
      <c r="K285" s="1351"/>
      <c r="L285" s="1351"/>
      <c r="M285" s="1351"/>
    </row>
    <row r="286" spans="3:13" ht="14.45" customHeight="1">
      <c r="C286" s="1355"/>
      <c r="E286" s="383"/>
      <c r="F286" s="383"/>
      <c r="G286" s="383"/>
      <c r="H286" s="383"/>
      <c r="I286" s="383"/>
      <c r="J286" s="412"/>
      <c r="K286" s="412"/>
      <c r="L286" s="412"/>
      <c r="M286" s="412"/>
    </row>
    <row r="287" spans="3:13" ht="14.45" customHeight="1">
      <c r="C287" s="1355"/>
      <c r="E287" s="383"/>
      <c r="F287" s="383"/>
      <c r="G287" s="383"/>
      <c r="H287" s="383"/>
      <c r="I287" s="383"/>
      <c r="J287" s="412"/>
      <c r="K287" s="412"/>
      <c r="L287" s="412"/>
      <c r="M287" s="412"/>
    </row>
    <row r="288" spans="3:13" ht="14.45" customHeight="1">
      <c r="C288" s="1355"/>
      <c r="E288" s="383" t="s">
        <v>1044</v>
      </c>
      <c r="F288" s="383"/>
      <c r="G288" s="387" t="s">
        <v>1045</v>
      </c>
      <c r="J288" s="387"/>
      <c r="K288" s="387"/>
      <c r="L288" s="388"/>
      <c r="M288" s="388"/>
    </row>
    <row r="289" spans="3:13" ht="14.45" customHeight="1">
      <c r="C289" s="1355"/>
      <c r="E289" s="383"/>
      <c r="F289" s="383"/>
      <c r="G289" s="383"/>
      <c r="H289" s="383"/>
      <c r="J289" s="383"/>
      <c r="K289" s="383"/>
      <c r="L289" s="383"/>
      <c r="M289" s="383"/>
    </row>
    <row r="290" spans="3:13" ht="14.45" customHeight="1">
      <c r="C290" s="1355"/>
      <c r="E290" s="1361" t="s">
        <v>88</v>
      </c>
      <c r="F290" s="1361"/>
      <c r="G290" s="1333" t="s">
        <v>254</v>
      </c>
      <c r="H290" s="1333"/>
      <c r="I290" s="1338" t="s">
        <v>17</v>
      </c>
      <c r="J290" s="1338"/>
      <c r="L290" s="1333" t="s">
        <v>88</v>
      </c>
      <c r="M290" s="1333"/>
    </row>
    <row r="291" spans="3:13" ht="14.45" customHeight="1">
      <c r="C291" s="1355"/>
      <c r="E291" s="1362" t="s">
        <v>1000</v>
      </c>
      <c r="F291" s="1362"/>
      <c r="G291" s="1334" t="s">
        <v>13</v>
      </c>
      <c r="H291" s="1334"/>
      <c r="I291" s="1339" t="s">
        <v>18</v>
      </c>
      <c r="J291" s="1339"/>
      <c r="L291" s="1334" t="s">
        <v>1000</v>
      </c>
      <c r="M291" s="1334"/>
    </row>
    <row r="292" spans="3:13" ht="14.45" customHeight="1">
      <c r="C292" s="1355"/>
      <c r="E292" s="389" t="s">
        <v>258</v>
      </c>
      <c r="F292" s="389"/>
      <c r="G292" s="389"/>
      <c r="H292" s="383"/>
      <c r="I292" s="383"/>
      <c r="J292" s="383"/>
      <c r="K292" s="390"/>
      <c r="L292" s="383"/>
      <c r="M292" s="383"/>
    </row>
    <row r="293" spans="3:13" ht="14.45" customHeight="1">
      <c r="C293" s="1355"/>
      <c r="E293" s="391"/>
      <c r="F293" s="391"/>
      <c r="G293" s="391"/>
      <c r="H293" s="383"/>
      <c r="I293" s="383"/>
      <c r="J293" s="383"/>
      <c r="K293" s="392"/>
      <c r="L293" s="383"/>
      <c r="M293" s="383"/>
    </row>
    <row r="294" spans="3:13" ht="14.45" customHeight="1">
      <c r="C294" s="1355"/>
      <c r="E294" s="1333" t="s">
        <v>1456</v>
      </c>
      <c r="F294" s="1333"/>
      <c r="G294" s="393"/>
      <c r="H294" s="393"/>
      <c r="I294" s="393"/>
      <c r="J294" s="394"/>
      <c r="K294" s="394"/>
      <c r="L294" s="395"/>
      <c r="M294" s="391"/>
    </row>
    <row r="295" spans="3:13" ht="14.45" customHeight="1">
      <c r="C295" s="1355"/>
      <c r="E295" s="1334" t="s">
        <v>14</v>
      </c>
      <c r="F295" s="1334"/>
    </row>
    <row r="296" spans="3:13" ht="14.45" customHeight="1">
      <c r="E296" s="516"/>
      <c r="F296" s="516"/>
    </row>
    <row r="297" spans="3:13" ht="14.45" customHeight="1">
      <c r="E297" s="516"/>
      <c r="F297" s="516"/>
    </row>
    <row r="298" spans="3:13" ht="15.95" customHeight="1"/>
    <row r="299" spans="3:13" ht="14.45" customHeight="1">
      <c r="C299" s="1337"/>
      <c r="D299" s="383"/>
      <c r="F299" s="1340" t="s">
        <v>1677</v>
      </c>
      <c r="G299" s="1340"/>
      <c r="H299" s="1340"/>
      <c r="I299" s="1340"/>
      <c r="J299" s="1340"/>
      <c r="K299" s="1340"/>
      <c r="L299" s="1340"/>
      <c r="M299" s="358"/>
    </row>
    <row r="300" spans="3:13" ht="14.45" customHeight="1">
      <c r="C300" s="1337"/>
      <c r="E300" s="1341" t="s">
        <v>178</v>
      </c>
      <c r="F300" s="1341"/>
      <c r="G300" s="1341"/>
      <c r="H300" s="1341"/>
      <c r="I300" s="1341"/>
      <c r="J300" s="1341"/>
      <c r="K300" s="1341"/>
      <c r="L300" s="1341"/>
      <c r="M300" s="1341"/>
    </row>
    <row r="301" spans="3:13" ht="14.45" customHeight="1">
      <c r="C301" s="1337"/>
      <c r="E301" s="1151"/>
      <c r="F301" s="1151"/>
      <c r="G301" s="1151"/>
      <c r="H301" s="1151"/>
      <c r="I301" s="1151"/>
      <c r="J301" s="1151"/>
      <c r="K301" s="1151"/>
      <c r="L301" s="1151"/>
      <c r="M301" s="1151"/>
    </row>
    <row r="302" spans="3:13" ht="14.45" customHeight="1">
      <c r="C302" s="1337"/>
      <c r="E302" s="356" t="s">
        <v>1005</v>
      </c>
      <c r="F302" s="360" t="s">
        <v>1216</v>
      </c>
    </row>
    <row r="303" spans="3:13" ht="14.45" customHeight="1">
      <c r="C303" s="1337"/>
      <c r="E303" s="356" t="s">
        <v>1007</v>
      </c>
      <c r="F303" s="361" t="s">
        <v>1217</v>
      </c>
    </row>
    <row r="304" spans="3:13" ht="19.5" customHeight="1">
      <c r="C304" s="1337"/>
      <c r="E304" s="356" t="s">
        <v>1009</v>
      </c>
      <c r="F304" s="1332" t="s">
        <v>1479</v>
      </c>
      <c r="G304" s="1332"/>
      <c r="H304" s="1332"/>
      <c r="I304" s="1332"/>
      <c r="J304" s="1332"/>
      <c r="K304" s="1332"/>
      <c r="L304" s="1332"/>
      <c r="M304" s="1332"/>
    </row>
    <row r="305" spans="3:13" ht="15.75" customHeight="1">
      <c r="C305" s="1337"/>
      <c r="F305" s="1332"/>
      <c r="G305" s="1332"/>
      <c r="H305" s="1332"/>
      <c r="I305" s="1332"/>
      <c r="J305" s="1332"/>
      <c r="K305" s="1332"/>
      <c r="L305" s="1332"/>
      <c r="M305" s="1332"/>
    </row>
    <row r="306" spans="3:13" ht="18" customHeight="1">
      <c r="C306" s="1337"/>
      <c r="E306" s="356" t="s">
        <v>1011</v>
      </c>
      <c r="F306" s="1332" t="s">
        <v>1480</v>
      </c>
      <c r="G306" s="1332"/>
      <c r="H306" s="1332"/>
      <c r="I306" s="1332"/>
      <c r="J306" s="1332"/>
      <c r="K306" s="1332"/>
      <c r="L306" s="1332"/>
      <c r="M306" s="1332"/>
    </row>
    <row r="307" spans="3:13" ht="17.25" customHeight="1">
      <c r="C307" s="1337"/>
      <c r="F307" s="1332"/>
      <c r="G307" s="1332"/>
      <c r="H307" s="1332"/>
      <c r="I307" s="1332"/>
      <c r="J307" s="1332"/>
      <c r="K307" s="1332"/>
      <c r="L307" s="1332"/>
      <c r="M307" s="1332"/>
    </row>
    <row r="308" spans="3:13" ht="14.45" customHeight="1">
      <c r="C308" s="1337"/>
      <c r="E308" s="1413" t="s">
        <v>1473</v>
      </c>
      <c r="F308" s="1413"/>
      <c r="G308" s="1413"/>
      <c r="H308" s="1413"/>
      <c r="I308" s="1413"/>
      <c r="J308" s="1413"/>
      <c r="K308" s="1413"/>
      <c r="L308" s="1413"/>
      <c r="M308" s="1413"/>
    </row>
    <row r="309" spans="3:13" ht="19.5" customHeight="1">
      <c r="C309" s="1337"/>
      <c r="E309" s="1414"/>
      <c r="F309" s="1414"/>
      <c r="G309" s="1414"/>
      <c r="H309" s="1414"/>
      <c r="I309" s="1414"/>
      <c r="J309" s="1414"/>
      <c r="K309" s="1414"/>
      <c r="L309" s="1414"/>
      <c r="M309" s="1414"/>
    </row>
    <row r="310" spans="3:13" ht="14.45" customHeight="1">
      <c r="C310" s="1337"/>
      <c r="E310" s="1343" t="s">
        <v>1014</v>
      </c>
      <c r="F310" s="365" t="s">
        <v>637</v>
      </c>
      <c r="G310" s="1345" t="s">
        <v>639</v>
      </c>
      <c r="H310" s="365" t="s">
        <v>640</v>
      </c>
      <c r="I310" s="1343" t="s">
        <v>1015</v>
      </c>
      <c r="J310" s="1347" t="s">
        <v>1678</v>
      </c>
      <c r="K310" s="1347"/>
      <c r="L310" s="1347"/>
      <c r="M310" s="1348"/>
    </row>
    <row r="311" spans="3:13" ht="14.45" customHeight="1">
      <c r="C311" s="1337"/>
      <c r="E311" s="1364"/>
      <c r="F311" s="366" t="s">
        <v>638</v>
      </c>
      <c r="G311" s="1365"/>
      <c r="H311" s="366" t="s">
        <v>641</v>
      </c>
      <c r="I311" s="1364"/>
      <c r="J311" s="518" t="s">
        <v>277</v>
      </c>
      <c r="K311" s="519" t="s">
        <v>278</v>
      </c>
      <c r="L311" s="365" t="s">
        <v>279</v>
      </c>
      <c r="M311" s="520" t="s">
        <v>15</v>
      </c>
    </row>
    <row r="312" spans="3:13" ht="14.45" customHeight="1">
      <c r="C312" s="1337"/>
      <c r="E312" s="371" t="s">
        <v>1218</v>
      </c>
      <c r="F312" s="1356" t="s">
        <v>1219</v>
      </c>
      <c r="G312" s="1358" t="s">
        <v>1220</v>
      </c>
      <c r="H312" s="1358" t="s">
        <v>1221</v>
      </c>
      <c r="I312" s="1358" t="s">
        <v>1222</v>
      </c>
      <c r="J312" s="1406">
        <f>'LBP NO. 2'!M533</f>
        <v>2883492</v>
      </c>
      <c r="K312" s="1349">
        <f>'LBP NO. 2'!M542</f>
        <v>443500</v>
      </c>
      <c r="L312" s="1349">
        <f>'LBP NO. 2'!M548</f>
        <v>65000</v>
      </c>
      <c r="M312" s="1349">
        <f>SUM(J312:L328)</f>
        <v>3391992</v>
      </c>
    </row>
    <row r="313" spans="3:13" ht="14.45" customHeight="1">
      <c r="C313" s="1337"/>
      <c r="E313" s="399"/>
      <c r="F313" s="1357"/>
      <c r="G313" s="1352"/>
      <c r="H313" s="1352"/>
      <c r="I313" s="1352"/>
      <c r="J313" s="1407"/>
      <c r="K313" s="1350"/>
      <c r="L313" s="1350"/>
      <c r="M313" s="1350"/>
    </row>
    <row r="314" spans="3:13" ht="14.45" customHeight="1">
      <c r="C314" s="1337"/>
      <c r="E314" s="399"/>
      <c r="F314" s="1357"/>
      <c r="G314" s="1352"/>
      <c r="H314" s="1352"/>
      <c r="I314" s="1352"/>
      <c r="J314" s="1407"/>
      <c r="K314" s="1350"/>
      <c r="L314" s="1350"/>
      <c r="M314" s="1350"/>
    </row>
    <row r="315" spans="3:13" ht="48" customHeight="1">
      <c r="C315" s="1337"/>
      <c r="E315" s="373"/>
      <c r="F315" s="1399"/>
      <c r="G315" s="1360"/>
      <c r="H315" s="1360"/>
      <c r="I315" s="1360"/>
      <c r="J315" s="1407"/>
      <c r="K315" s="1350"/>
      <c r="L315" s="1350"/>
      <c r="M315" s="1350"/>
    </row>
    <row r="316" spans="3:13" ht="14.45" customHeight="1">
      <c r="C316" s="1337"/>
      <c r="E316" s="371" t="s">
        <v>1218</v>
      </c>
      <c r="F316" s="1358" t="s">
        <v>1223</v>
      </c>
      <c r="G316" s="1358" t="s">
        <v>1224</v>
      </c>
      <c r="H316" s="1358" t="s">
        <v>1225</v>
      </c>
      <c r="I316" s="1358" t="s">
        <v>1072</v>
      </c>
      <c r="J316" s="1407"/>
      <c r="K316" s="1350"/>
      <c r="L316" s="1350"/>
      <c r="M316" s="1350"/>
    </row>
    <row r="317" spans="3:13" ht="14.45" customHeight="1">
      <c r="C317" s="1337"/>
      <c r="E317" s="372"/>
      <c r="F317" s="1352"/>
      <c r="G317" s="1352"/>
      <c r="H317" s="1352"/>
      <c r="I317" s="1352"/>
      <c r="J317" s="1407"/>
      <c r="K317" s="1350"/>
      <c r="L317" s="1350"/>
      <c r="M317" s="1350"/>
    </row>
    <row r="318" spans="3:13" ht="14.45" customHeight="1">
      <c r="C318" s="1337"/>
      <c r="E318" s="372"/>
      <c r="F318" s="1352"/>
      <c r="G318" s="1352"/>
      <c r="H318" s="1352"/>
      <c r="I318" s="1352"/>
      <c r="J318" s="1407"/>
      <c r="K318" s="1350"/>
      <c r="L318" s="1350"/>
      <c r="M318" s="1350"/>
    </row>
    <row r="319" spans="3:13" ht="14.45" customHeight="1">
      <c r="C319" s="1337"/>
      <c r="E319" s="419"/>
      <c r="F319" s="1360"/>
      <c r="G319" s="1360"/>
      <c r="H319" s="1360"/>
      <c r="I319" s="1360"/>
      <c r="J319" s="1407"/>
      <c r="K319" s="1350"/>
      <c r="L319" s="1350"/>
      <c r="M319" s="1350"/>
    </row>
    <row r="320" spans="3:13" ht="14.45" customHeight="1">
      <c r="C320" s="1337"/>
      <c r="E320" s="371" t="s">
        <v>1218</v>
      </c>
      <c r="F320" s="1356" t="s">
        <v>1226</v>
      </c>
      <c r="G320" s="1358" t="s">
        <v>1227</v>
      </c>
      <c r="H320" s="1356" t="s">
        <v>1228</v>
      </c>
      <c r="I320" s="1358" t="s">
        <v>1072</v>
      </c>
      <c r="J320" s="1407"/>
      <c r="K320" s="1350"/>
      <c r="L320" s="1350"/>
      <c r="M320" s="1350"/>
    </row>
    <row r="321" spans="3:13" ht="30" customHeight="1">
      <c r="C321" s="1337"/>
      <c r="E321" s="373"/>
      <c r="F321" s="1399"/>
      <c r="G321" s="1360"/>
      <c r="H321" s="1399"/>
      <c r="I321" s="1360"/>
      <c r="J321" s="1407"/>
      <c r="K321" s="1350"/>
      <c r="L321" s="1350"/>
      <c r="M321" s="1350"/>
    </row>
    <row r="322" spans="3:13" ht="14.45" customHeight="1">
      <c r="C322" s="1337"/>
      <c r="E322" s="371" t="s">
        <v>1218</v>
      </c>
      <c r="F322" s="1356" t="s">
        <v>1229</v>
      </c>
      <c r="G322" s="1358" t="s">
        <v>1230</v>
      </c>
      <c r="H322" s="1356" t="s">
        <v>1231</v>
      </c>
      <c r="I322" s="1358" t="s">
        <v>1232</v>
      </c>
      <c r="J322" s="1407"/>
      <c r="K322" s="1350"/>
      <c r="L322" s="1350"/>
      <c r="M322" s="1350"/>
    </row>
    <row r="323" spans="3:13" ht="14.45" customHeight="1">
      <c r="C323" s="1337"/>
      <c r="E323" s="372"/>
      <c r="F323" s="1357"/>
      <c r="G323" s="1352"/>
      <c r="H323" s="1357"/>
      <c r="I323" s="1352"/>
      <c r="J323" s="1407"/>
      <c r="K323" s="1350"/>
      <c r="L323" s="1350"/>
      <c r="M323" s="1350"/>
    </row>
    <row r="324" spans="3:13" ht="30.75" customHeight="1">
      <c r="C324" s="1337"/>
      <c r="E324" s="373"/>
      <c r="F324" s="1399"/>
      <c r="G324" s="1360"/>
      <c r="H324" s="1399"/>
      <c r="I324" s="1360"/>
      <c r="J324" s="1407"/>
      <c r="K324" s="1350"/>
      <c r="L324" s="1350"/>
      <c r="M324" s="1350"/>
    </row>
    <row r="325" spans="3:13" ht="14.45" customHeight="1">
      <c r="C325" s="1337"/>
      <c r="E325" s="371" t="s">
        <v>1218</v>
      </c>
      <c r="F325" s="1409" t="s">
        <v>1069</v>
      </c>
      <c r="G325" s="1403" t="s">
        <v>1070</v>
      </c>
      <c r="H325" s="1403" t="s">
        <v>1071</v>
      </c>
      <c r="I325" s="1403" t="s">
        <v>1072</v>
      </c>
      <c r="J325" s="1407"/>
      <c r="K325" s="1350"/>
      <c r="L325" s="1350"/>
      <c r="M325" s="1350"/>
    </row>
    <row r="326" spans="3:13" ht="14.45" customHeight="1">
      <c r="C326" s="1337"/>
      <c r="E326" s="399"/>
      <c r="F326" s="1410"/>
      <c r="G326" s="1404"/>
      <c r="H326" s="1404"/>
      <c r="I326" s="1404"/>
      <c r="J326" s="1407"/>
      <c r="K326" s="1350"/>
      <c r="L326" s="1350"/>
      <c r="M326" s="1350"/>
    </row>
    <row r="327" spans="3:13" ht="14.45" customHeight="1">
      <c r="C327" s="1337"/>
      <c r="E327" s="372"/>
      <c r="F327" s="1410"/>
      <c r="G327" s="1404"/>
      <c r="H327" s="1404"/>
      <c r="I327" s="1404"/>
      <c r="J327" s="1407"/>
      <c r="K327" s="1350"/>
      <c r="L327" s="1350"/>
      <c r="M327" s="1350"/>
    </row>
    <row r="328" spans="3:13" ht="14.45" customHeight="1">
      <c r="C328" s="1337"/>
      <c r="E328" s="419"/>
      <c r="F328" s="1411"/>
      <c r="G328" s="1412"/>
      <c r="H328" s="1412"/>
      <c r="I328" s="1412"/>
      <c r="J328" s="1408"/>
      <c r="K328" s="1351"/>
      <c r="L328" s="1351"/>
      <c r="M328" s="1351"/>
    </row>
    <row r="329" spans="3:13" ht="14.45" customHeight="1">
      <c r="C329" s="1337"/>
      <c r="E329" s="383"/>
      <c r="F329" s="383"/>
      <c r="G329" s="383"/>
      <c r="H329" s="383"/>
      <c r="I329" s="383"/>
      <c r="J329" s="412"/>
      <c r="K329" s="412"/>
      <c r="L329" s="412"/>
      <c r="M329" s="412"/>
    </row>
    <row r="330" spans="3:13" ht="14.45" customHeight="1">
      <c r="C330" s="1337"/>
      <c r="E330" s="383" t="s">
        <v>1044</v>
      </c>
      <c r="F330" s="383"/>
      <c r="G330" s="387" t="s">
        <v>1045</v>
      </c>
      <c r="J330" s="387"/>
      <c r="K330" s="387"/>
      <c r="L330" s="388"/>
      <c r="M330" s="388"/>
    </row>
    <row r="331" spans="3:13" ht="14.45" customHeight="1">
      <c r="C331" s="1337"/>
      <c r="E331" s="383"/>
      <c r="F331" s="383"/>
      <c r="G331" s="383"/>
      <c r="H331" s="383"/>
      <c r="J331" s="383"/>
      <c r="K331" s="383"/>
      <c r="L331" s="383"/>
      <c r="M331" s="383"/>
    </row>
    <row r="332" spans="3:13" ht="14.45" customHeight="1">
      <c r="C332" s="1337"/>
      <c r="E332" s="1361" t="s">
        <v>24</v>
      </c>
      <c r="F332" s="1361"/>
      <c r="G332" s="1333" t="s">
        <v>254</v>
      </c>
      <c r="H332" s="1333"/>
      <c r="I332" s="1338" t="s">
        <v>17</v>
      </c>
      <c r="J332" s="1338"/>
      <c r="L332" s="1333" t="s">
        <v>88</v>
      </c>
      <c r="M332" s="1333"/>
    </row>
    <row r="333" spans="3:13" ht="14.45" customHeight="1">
      <c r="C333" s="1337"/>
      <c r="E333" s="1362" t="s">
        <v>862</v>
      </c>
      <c r="F333" s="1362"/>
      <c r="G333" s="1334" t="s">
        <v>13</v>
      </c>
      <c r="H333" s="1334"/>
      <c r="I333" s="1339" t="s">
        <v>18</v>
      </c>
      <c r="J333" s="1339"/>
      <c r="L333" s="1334" t="s">
        <v>1000</v>
      </c>
      <c r="M333" s="1334"/>
    </row>
    <row r="334" spans="3:13" ht="14.45" customHeight="1">
      <c r="C334" s="1337"/>
      <c r="E334" s="389" t="s">
        <v>258</v>
      </c>
      <c r="F334" s="389"/>
      <c r="G334" s="389"/>
      <c r="H334" s="383"/>
      <c r="I334" s="383"/>
      <c r="J334" s="383"/>
      <c r="K334" s="390"/>
      <c r="L334" s="383"/>
      <c r="M334" s="383"/>
    </row>
    <row r="335" spans="3:13" ht="14.45" customHeight="1">
      <c r="C335" s="1337"/>
      <c r="E335" s="391"/>
      <c r="F335" s="391"/>
      <c r="G335" s="391"/>
      <c r="H335" s="383"/>
      <c r="I335" s="383"/>
      <c r="J335" s="383"/>
      <c r="K335" s="392"/>
      <c r="L335" s="383"/>
      <c r="M335" s="383"/>
    </row>
    <row r="336" spans="3:13" ht="14.45" customHeight="1">
      <c r="C336" s="1337"/>
      <c r="E336" s="1333" t="s">
        <v>1456</v>
      </c>
      <c r="F336" s="1333"/>
      <c r="G336" s="393"/>
      <c r="H336" s="393"/>
      <c r="I336" s="393"/>
      <c r="J336" s="394"/>
      <c r="K336" s="394"/>
      <c r="L336" s="395"/>
      <c r="M336" s="391"/>
    </row>
    <row r="337" spans="3:13" ht="14.45" customHeight="1">
      <c r="C337" s="1337"/>
      <c r="E337" s="1334" t="s">
        <v>14</v>
      </c>
      <c r="F337" s="1334"/>
      <c r="G337" s="393"/>
      <c r="H337" s="393"/>
      <c r="I337" s="393"/>
      <c r="J337" s="394"/>
      <c r="K337" s="394"/>
      <c r="L337" s="395"/>
      <c r="M337" s="391"/>
    </row>
    <row r="338" spans="3:13" ht="14.45" customHeight="1">
      <c r="E338" s="516"/>
      <c r="F338" s="516"/>
      <c r="G338" s="393"/>
      <c r="H338" s="393"/>
      <c r="I338" s="393"/>
      <c r="J338" s="394"/>
      <c r="K338" s="394"/>
      <c r="L338" s="395"/>
      <c r="M338" s="391"/>
    </row>
    <row r="339" spans="3:13" ht="14.45" customHeight="1">
      <c r="E339" s="522"/>
      <c r="F339" s="522"/>
      <c r="G339" s="393"/>
      <c r="H339" s="393"/>
      <c r="I339" s="393"/>
      <c r="J339" s="394"/>
      <c r="K339" s="394"/>
      <c r="L339" s="395"/>
      <c r="M339" s="391"/>
    </row>
    <row r="340" spans="3:13" ht="14.45" customHeight="1">
      <c r="E340" s="522"/>
      <c r="F340" s="522"/>
      <c r="G340" s="393"/>
      <c r="H340" s="393"/>
      <c r="I340" s="393"/>
      <c r="J340" s="394"/>
      <c r="K340" s="394"/>
      <c r="L340" s="395"/>
      <c r="M340" s="391"/>
    </row>
    <row r="341" spans="3:13" ht="14.45" customHeight="1">
      <c r="E341" s="522"/>
      <c r="F341" s="522"/>
      <c r="G341" s="393"/>
      <c r="H341" s="393"/>
      <c r="I341" s="393"/>
      <c r="J341" s="394"/>
      <c r="K341" s="394"/>
      <c r="L341" s="395"/>
      <c r="M341" s="391"/>
    </row>
    <row r="342" spans="3:13" ht="14.45" customHeight="1">
      <c r="E342" s="522"/>
      <c r="F342" s="522"/>
      <c r="G342" s="393"/>
      <c r="H342" s="393"/>
      <c r="I342" s="393"/>
      <c r="J342" s="394"/>
      <c r="K342" s="394"/>
      <c r="L342" s="395"/>
      <c r="M342" s="391"/>
    </row>
    <row r="343" spans="3:13" ht="14.45" customHeight="1">
      <c r="E343" s="522"/>
      <c r="F343" s="522"/>
      <c r="G343" s="393"/>
      <c r="H343" s="393"/>
      <c r="I343" s="393"/>
      <c r="J343" s="394"/>
      <c r="K343" s="394"/>
      <c r="L343" s="395"/>
      <c r="M343" s="391"/>
    </row>
    <row r="344" spans="3:13" ht="14.45" customHeight="1">
      <c r="E344" s="522"/>
      <c r="F344" s="522"/>
      <c r="G344" s="393"/>
      <c r="H344" s="393"/>
      <c r="I344" s="393"/>
      <c r="J344" s="394"/>
      <c r="K344" s="394"/>
      <c r="L344" s="395"/>
      <c r="M344" s="391"/>
    </row>
    <row r="345" spans="3:13" ht="15.95" customHeight="1"/>
    <row r="346" spans="3:13" ht="14.45" customHeight="1">
      <c r="C346" s="1337"/>
      <c r="D346" s="383"/>
      <c r="F346" s="1340" t="s">
        <v>1677</v>
      </c>
      <c r="G346" s="1340"/>
      <c r="H346" s="1340"/>
      <c r="I346" s="1340"/>
      <c r="J346" s="1340"/>
      <c r="K346" s="1340"/>
      <c r="L346" s="1340"/>
      <c r="M346" s="358"/>
    </row>
    <row r="347" spans="3:13" ht="14.45" customHeight="1">
      <c r="C347" s="1355"/>
      <c r="E347" s="1341" t="s">
        <v>178</v>
      </c>
      <c r="F347" s="1341"/>
      <c r="G347" s="1341"/>
      <c r="H347" s="1341"/>
      <c r="I347" s="1341"/>
      <c r="J347" s="1341"/>
      <c r="K347" s="1341"/>
      <c r="L347" s="1341"/>
      <c r="M347" s="1341"/>
    </row>
    <row r="348" spans="3:13" ht="14.45" customHeight="1">
      <c r="C348" s="1355"/>
      <c r="E348" s="1151"/>
      <c r="F348" s="1151"/>
      <c r="G348" s="1151"/>
      <c r="H348" s="1151"/>
      <c r="I348" s="1151"/>
      <c r="J348" s="1151"/>
      <c r="K348" s="1151"/>
      <c r="L348" s="1151"/>
      <c r="M348" s="1151"/>
    </row>
    <row r="349" spans="3:13" ht="14.45" customHeight="1">
      <c r="C349" s="1355"/>
      <c r="E349" s="356" t="s">
        <v>1005</v>
      </c>
      <c r="F349" s="360" t="s">
        <v>1233</v>
      </c>
    </row>
    <row r="350" spans="3:13" ht="14.45" customHeight="1">
      <c r="C350" s="1355"/>
      <c r="E350" s="356" t="s">
        <v>1007</v>
      </c>
      <c r="F350" s="1405" t="s">
        <v>1234</v>
      </c>
      <c r="G350" s="1405"/>
      <c r="H350" s="1405"/>
      <c r="I350" s="1405"/>
      <c r="J350" s="1405"/>
      <c r="K350" s="1405"/>
      <c r="L350" s="1405"/>
    </row>
    <row r="351" spans="3:13" ht="14.45" customHeight="1">
      <c r="C351" s="1355"/>
      <c r="E351" s="356" t="s">
        <v>1009</v>
      </c>
      <c r="F351" s="1363" t="s">
        <v>1235</v>
      </c>
      <c r="G351" s="1363"/>
      <c r="H351" s="1363"/>
      <c r="I351" s="1363"/>
      <c r="J351" s="1363"/>
      <c r="K351" s="1363"/>
      <c r="L351" s="1363"/>
      <c r="M351" s="1363"/>
    </row>
    <row r="352" spans="3:13" ht="14.45" customHeight="1">
      <c r="C352" s="1355"/>
      <c r="E352" s="356" t="s">
        <v>1011</v>
      </c>
      <c r="F352" s="1363" t="s">
        <v>1236</v>
      </c>
      <c r="G352" s="1363"/>
      <c r="H352" s="1363"/>
      <c r="I352" s="1363"/>
      <c r="J352" s="1363"/>
      <c r="K352" s="1363"/>
      <c r="L352" s="1363"/>
      <c r="M352" s="1363"/>
    </row>
    <row r="353" spans="3:13" ht="15.75" customHeight="1">
      <c r="C353" s="1355"/>
      <c r="E353" s="364" t="s">
        <v>1237</v>
      </c>
      <c r="F353" s="364"/>
      <c r="G353" s="364"/>
      <c r="H353" s="364"/>
      <c r="I353" s="364"/>
      <c r="J353" s="364"/>
      <c r="K353" s="364"/>
      <c r="L353" s="364"/>
      <c r="M353" s="364"/>
    </row>
    <row r="354" spans="3:13" ht="14.45" customHeight="1">
      <c r="C354" s="1355"/>
      <c r="E354" s="1343" t="s">
        <v>1014</v>
      </c>
      <c r="F354" s="365" t="s">
        <v>637</v>
      </c>
      <c r="G354" s="1345" t="s">
        <v>639</v>
      </c>
      <c r="H354" s="365" t="s">
        <v>640</v>
      </c>
      <c r="I354" s="1343" t="s">
        <v>1015</v>
      </c>
      <c r="J354" s="1347" t="s">
        <v>1678</v>
      </c>
      <c r="K354" s="1347"/>
      <c r="L354" s="1347"/>
      <c r="M354" s="1348"/>
    </row>
    <row r="355" spans="3:13" ht="14.45" customHeight="1">
      <c r="C355" s="1355"/>
      <c r="E355" s="1344"/>
      <c r="F355" s="366" t="s">
        <v>638</v>
      </c>
      <c r="G355" s="1365"/>
      <c r="H355" s="366" t="s">
        <v>641</v>
      </c>
      <c r="I355" s="1364"/>
      <c r="J355" s="367" t="s">
        <v>277</v>
      </c>
      <c r="K355" s="368" t="s">
        <v>278</v>
      </c>
      <c r="L355" s="369" t="s">
        <v>279</v>
      </c>
      <c r="M355" s="370" t="s">
        <v>15</v>
      </c>
    </row>
    <row r="356" spans="3:13" ht="14.45" customHeight="1">
      <c r="C356" s="1355"/>
      <c r="E356" s="523" t="s">
        <v>1238</v>
      </c>
      <c r="F356" s="1358" t="s">
        <v>1239</v>
      </c>
      <c r="G356" s="1358" t="s">
        <v>1240</v>
      </c>
      <c r="H356" s="1358" t="s">
        <v>1241</v>
      </c>
      <c r="I356" s="1358" t="s">
        <v>1072</v>
      </c>
      <c r="J356" s="1406">
        <f>'LBP NO. 2'!M602</f>
        <v>2220700</v>
      </c>
      <c r="K356" s="1349">
        <f>'LBP NO. 2'!M611</f>
        <v>234000</v>
      </c>
      <c r="L356" s="1349">
        <f>'LBP NO. 2'!M617</f>
        <v>220000</v>
      </c>
      <c r="M356" s="1349">
        <f>SUM(J356:L370)</f>
        <v>2674700</v>
      </c>
    </row>
    <row r="357" spans="3:13" ht="27.75" customHeight="1">
      <c r="C357" s="1355"/>
      <c r="E357" s="524"/>
      <c r="F357" s="1360"/>
      <c r="G357" s="1360"/>
      <c r="H357" s="1360"/>
      <c r="I357" s="1360"/>
      <c r="J357" s="1407"/>
      <c r="K357" s="1350"/>
      <c r="L357" s="1350"/>
      <c r="M357" s="1350"/>
    </row>
    <row r="358" spans="3:13" ht="14.45" customHeight="1">
      <c r="C358" s="1355"/>
      <c r="E358" s="523" t="s">
        <v>1238</v>
      </c>
      <c r="F358" s="1358" t="s">
        <v>1242</v>
      </c>
      <c r="G358" s="1358" t="s">
        <v>1243</v>
      </c>
      <c r="H358" s="1356" t="s">
        <v>1244</v>
      </c>
      <c r="I358" s="1358" t="s">
        <v>1072</v>
      </c>
      <c r="J358" s="1407"/>
      <c r="K358" s="1350"/>
      <c r="L358" s="1350"/>
      <c r="M358" s="1350"/>
    </row>
    <row r="359" spans="3:13" ht="40.5" customHeight="1">
      <c r="C359" s="1355"/>
      <c r="E359" s="524"/>
      <c r="F359" s="1360"/>
      <c r="G359" s="1360"/>
      <c r="H359" s="1399"/>
      <c r="I359" s="1360"/>
      <c r="J359" s="1407"/>
      <c r="K359" s="1350"/>
      <c r="L359" s="1350"/>
      <c r="M359" s="1350"/>
    </row>
    <row r="360" spans="3:13" ht="14.45" customHeight="1">
      <c r="C360" s="1355"/>
      <c r="E360" s="523" t="s">
        <v>1238</v>
      </c>
      <c r="F360" s="1358" t="s">
        <v>1245</v>
      </c>
      <c r="G360" s="1358" t="s">
        <v>1246</v>
      </c>
      <c r="H360" s="1356" t="s">
        <v>1247</v>
      </c>
      <c r="I360" s="1358" t="s">
        <v>1072</v>
      </c>
      <c r="J360" s="1407"/>
      <c r="K360" s="1350"/>
      <c r="L360" s="1350"/>
      <c r="M360" s="1350"/>
    </row>
    <row r="361" spans="3:13" ht="14.45" customHeight="1">
      <c r="C361" s="1355"/>
      <c r="E361" s="525"/>
      <c r="F361" s="1352"/>
      <c r="G361" s="1352"/>
      <c r="H361" s="1357"/>
      <c r="I361" s="1352"/>
      <c r="J361" s="1407"/>
      <c r="K361" s="1350"/>
      <c r="L361" s="1350"/>
      <c r="M361" s="1350"/>
    </row>
    <row r="362" spans="3:13" ht="24.75" customHeight="1">
      <c r="C362" s="1355"/>
      <c r="E362" s="524"/>
      <c r="F362" s="1360"/>
      <c r="G362" s="1360"/>
      <c r="H362" s="1399"/>
      <c r="I362" s="1360"/>
      <c r="J362" s="1407"/>
      <c r="K362" s="1350"/>
      <c r="L362" s="1350"/>
      <c r="M362" s="1350"/>
    </row>
    <row r="363" spans="3:13" ht="14.45" customHeight="1">
      <c r="C363" s="1355"/>
      <c r="E363" s="523" t="s">
        <v>1238</v>
      </c>
      <c r="F363" s="1356" t="s">
        <v>1248</v>
      </c>
      <c r="G363" s="1400" t="s">
        <v>1249</v>
      </c>
      <c r="H363" s="1358" t="s">
        <v>1250</v>
      </c>
      <c r="I363" s="1358" t="s">
        <v>1072</v>
      </c>
      <c r="J363" s="1407"/>
      <c r="K363" s="1350"/>
      <c r="L363" s="1350"/>
      <c r="M363" s="1350"/>
    </row>
    <row r="364" spans="3:13" ht="14.45" customHeight="1">
      <c r="C364" s="1355"/>
      <c r="E364" s="525"/>
      <c r="F364" s="1357"/>
      <c r="G364" s="1401"/>
      <c r="H364" s="1352"/>
      <c r="I364" s="1352"/>
      <c r="J364" s="1407"/>
      <c r="K364" s="1350"/>
      <c r="L364" s="1350"/>
      <c r="M364" s="1350"/>
    </row>
    <row r="365" spans="3:13" ht="14.45" customHeight="1">
      <c r="C365" s="1355"/>
      <c r="E365" s="525"/>
      <c r="F365" s="1357"/>
      <c r="G365" s="1401"/>
      <c r="H365" s="1352"/>
      <c r="I365" s="1352"/>
      <c r="J365" s="1407"/>
      <c r="K365" s="1350"/>
      <c r="L365" s="1350"/>
      <c r="M365" s="1350"/>
    </row>
    <row r="366" spans="3:13" ht="33.75" customHeight="1">
      <c r="C366" s="1355"/>
      <c r="E366" s="524"/>
      <c r="F366" s="1399"/>
      <c r="G366" s="1402"/>
      <c r="H366" s="1360"/>
      <c r="I366" s="1360"/>
      <c r="J366" s="1407"/>
      <c r="K366" s="1350"/>
      <c r="L366" s="1350"/>
      <c r="M366" s="1350"/>
    </row>
    <row r="367" spans="3:13" ht="14.45" customHeight="1">
      <c r="C367" s="1355"/>
      <c r="E367" s="523" t="s">
        <v>1238</v>
      </c>
      <c r="F367" s="1403" t="s">
        <v>1069</v>
      </c>
      <c r="G367" s="1403" t="s">
        <v>1070</v>
      </c>
      <c r="H367" s="1403" t="s">
        <v>1071</v>
      </c>
      <c r="I367" s="1403" t="s">
        <v>1072</v>
      </c>
      <c r="J367" s="1407"/>
      <c r="K367" s="1350"/>
      <c r="L367" s="1350"/>
      <c r="M367" s="1350"/>
    </row>
    <row r="368" spans="3:13" ht="14.45" customHeight="1">
      <c r="C368" s="1355"/>
      <c r="E368" s="526"/>
      <c r="F368" s="1404"/>
      <c r="G368" s="1404"/>
      <c r="H368" s="1404"/>
      <c r="I368" s="1404"/>
      <c r="J368" s="1407"/>
      <c r="K368" s="1350"/>
      <c r="L368" s="1350"/>
      <c r="M368" s="1350"/>
    </row>
    <row r="369" spans="3:13" ht="32.25" customHeight="1">
      <c r="C369" s="1355"/>
      <c r="E369" s="526"/>
      <c r="F369" s="1404"/>
      <c r="G369" s="1404"/>
      <c r="H369" s="1404"/>
      <c r="I369" s="1404"/>
      <c r="J369" s="1407"/>
      <c r="K369" s="1350"/>
      <c r="L369" s="1350"/>
      <c r="M369" s="1350"/>
    </row>
    <row r="370" spans="3:13" ht="14.45" customHeight="1">
      <c r="C370" s="1355"/>
      <c r="E370" s="527"/>
      <c r="F370" s="505"/>
      <c r="G370" s="505"/>
      <c r="H370" s="505"/>
      <c r="I370" s="505"/>
      <c r="J370" s="1408"/>
      <c r="K370" s="1351"/>
      <c r="L370" s="1351"/>
      <c r="M370" s="1351"/>
    </row>
    <row r="371" spans="3:13" ht="14.45" customHeight="1">
      <c r="C371" s="1355"/>
      <c r="E371" s="383"/>
      <c r="F371" s="383"/>
      <c r="G371" s="383"/>
      <c r="H371" s="383"/>
      <c r="I371" s="383"/>
      <c r="J371" s="412"/>
      <c r="K371" s="412"/>
      <c r="L371" s="412"/>
      <c r="M371" s="412"/>
    </row>
    <row r="372" spans="3:13" ht="14.45" customHeight="1">
      <c r="C372" s="1355"/>
      <c r="E372" s="383" t="s">
        <v>1044</v>
      </c>
      <c r="F372" s="383"/>
      <c r="G372" s="387" t="s">
        <v>1045</v>
      </c>
      <c r="J372" s="387"/>
      <c r="K372" s="387"/>
      <c r="L372" s="388"/>
      <c r="M372" s="388"/>
    </row>
    <row r="373" spans="3:13" ht="14.45" customHeight="1">
      <c r="C373" s="1355"/>
      <c r="E373" s="383"/>
      <c r="F373" s="383"/>
      <c r="G373" s="383"/>
      <c r="H373" s="383"/>
      <c r="J373" s="383"/>
      <c r="K373" s="383"/>
      <c r="L373" s="383"/>
      <c r="M373" s="383"/>
    </row>
    <row r="374" spans="3:13" ht="14.45" customHeight="1">
      <c r="C374" s="1355"/>
      <c r="E374" s="1361" t="s">
        <v>917</v>
      </c>
      <c r="F374" s="1361"/>
      <c r="G374" s="1333" t="s">
        <v>254</v>
      </c>
      <c r="H374" s="1333"/>
      <c r="I374" s="1338" t="s">
        <v>17</v>
      </c>
      <c r="J374" s="1338"/>
      <c r="L374" s="1333" t="s">
        <v>88</v>
      </c>
      <c r="M374" s="1333"/>
    </row>
    <row r="375" spans="3:13" ht="14.45" customHeight="1">
      <c r="C375" s="1355"/>
      <c r="E375" s="1362" t="s">
        <v>970</v>
      </c>
      <c r="F375" s="1362"/>
      <c r="G375" s="1334" t="s">
        <v>13</v>
      </c>
      <c r="H375" s="1334"/>
      <c r="I375" s="1339" t="s">
        <v>18</v>
      </c>
      <c r="J375" s="1339"/>
      <c r="L375" s="1334" t="s">
        <v>1000</v>
      </c>
      <c r="M375" s="1334"/>
    </row>
    <row r="376" spans="3:13" ht="14.45" customHeight="1">
      <c r="C376" s="1355"/>
      <c r="E376" s="389" t="s">
        <v>258</v>
      </c>
      <c r="F376" s="389"/>
      <c r="G376" s="389"/>
      <c r="H376" s="383"/>
      <c r="I376" s="383"/>
      <c r="J376" s="383"/>
      <c r="K376" s="390"/>
      <c r="L376" s="383"/>
      <c r="M376" s="383"/>
    </row>
    <row r="377" spans="3:13" ht="14.45" customHeight="1">
      <c r="C377" s="1355"/>
      <c r="E377" s="391"/>
      <c r="F377" s="391"/>
      <c r="G377" s="391"/>
      <c r="H377" s="383"/>
      <c r="I377" s="383"/>
      <c r="J377" s="383"/>
      <c r="K377" s="392"/>
      <c r="L377" s="383"/>
      <c r="M377" s="383"/>
    </row>
    <row r="378" spans="3:13" ht="14.45" customHeight="1">
      <c r="C378" s="1355"/>
      <c r="E378" s="1333" t="s">
        <v>1456</v>
      </c>
      <c r="F378" s="1333"/>
      <c r="G378" s="393"/>
      <c r="H378" s="393"/>
      <c r="I378" s="393"/>
      <c r="J378" s="394"/>
      <c r="K378" s="394"/>
      <c r="L378" s="395"/>
      <c r="M378" s="391"/>
    </row>
    <row r="379" spans="3:13" ht="14.45" customHeight="1">
      <c r="C379" s="1355"/>
      <c r="E379" s="1334" t="s">
        <v>14</v>
      </c>
      <c r="F379" s="1334"/>
      <c r="G379" s="393"/>
      <c r="H379" s="393"/>
      <c r="I379" s="393"/>
      <c r="J379" s="394"/>
      <c r="K379" s="394"/>
      <c r="L379" s="395"/>
      <c r="M379" s="391"/>
    </row>
    <row r="380" spans="3:13" ht="14.45" customHeight="1">
      <c r="E380" s="522"/>
      <c r="F380" s="522"/>
      <c r="G380" s="393"/>
      <c r="H380" s="393"/>
      <c r="I380" s="393"/>
      <c r="J380" s="394"/>
      <c r="K380" s="394"/>
      <c r="L380" s="395"/>
      <c r="M380" s="391"/>
    </row>
    <row r="381" spans="3:13" ht="14.45" customHeight="1">
      <c r="E381" s="522"/>
      <c r="F381" s="522"/>
      <c r="G381" s="393"/>
      <c r="H381" s="393"/>
      <c r="I381" s="393"/>
      <c r="J381" s="394"/>
      <c r="K381" s="394"/>
      <c r="L381" s="395"/>
      <c r="M381" s="391"/>
    </row>
    <row r="382" spans="3:13" ht="14.45" customHeight="1">
      <c r="E382" s="522"/>
      <c r="F382" s="522"/>
      <c r="G382" s="393"/>
      <c r="H382" s="393"/>
      <c r="I382" s="393"/>
      <c r="J382" s="394"/>
      <c r="K382" s="394"/>
      <c r="L382" s="395"/>
      <c r="M382" s="391"/>
    </row>
    <row r="383" spans="3:13" ht="14.45" customHeight="1">
      <c r="E383" s="522"/>
      <c r="F383" s="522"/>
      <c r="G383" s="393"/>
      <c r="H383" s="393"/>
      <c r="I383" s="393"/>
      <c r="J383" s="394"/>
      <c r="K383" s="394"/>
      <c r="L383" s="395"/>
      <c r="M383" s="391"/>
    </row>
    <row r="384" spans="3:13" ht="14.45" customHeight="1">
      <c r="E384" s="522"/>
      <c r="F384" s="522"/>
      <c r="G384" s="393"/>
      <c r="H384" s="393"/>
      <c r="I384" s="393"/>
      <c r="J384" s="394"/>
      <c r="K384" s="394"/>
      <c r="L384" s="395"/>
      <c r="M384" s="391"/>
    </row>
    <row r="385" spans="3:13" ht="14.45" customHeight="1">
      <c r="E385" s="522"/>
      <c r="F385" s="522"/>
      <c r="G385" s="393"/>
      <c r="H385" s="393"/>
      <c r="I385" s="393"/>
      <c r="J385" s="394"/>
      <c r="K385" s="394"/>
      <c r="L385" s="395"/>
      <c r="M385" s="391"/>
    </row>
    <row r="386" spans="3:13" ht="14.45" customHeight="1">
      <c r="E386" s="522"/>
      <c r="F386" s="522"/>
      <c r="G386" s="393"/>
      <c r="H386" s="393"/>
      <c r="I386" s="393"/>
      <c r="J386" s="394"/>
      <c r="K386" s="394"/>
      <c r="L386" s="395"/>
      <c r="M386" s="391"/>
    </row>
    <row r="387" spans="3:13" ht="14.45" customHeight="1">
      <c r="E387" s="522"/>
      <c r="F387" s="522"/>
      <c r="G387" s="393"/>
      <c r="H387" s="393"/>
      <c r="I387" s="393"/>
      <c r="J387" s="394"/>
      <c r="K387" s="394"/>
      <c r="L387" s="395"/>
      <c r="M387" s="391"/>
    </row>
    <row r="388" spans="3:13" ht="14.45" customHeight="1">
      <c r="E388" s="522"/>
      <c r="F388" s="522"/>
      <c r="G388" s="393"/>
      <c r="H388" s="393"/>
      <c r="I388" s="393"/>
      <c r="J388" s="394"/>
      <c r="K388" s="394"/>
      <c r="L388" s="395"/>
      <c r="M388" s="391"/>
    </row>
    <row r="389" spans="3:13" ht="15.95" customHeight="1">
      <c r="E389" s="516"/>
      <c r="F389" s="516"/>
    </row>
    <row r="390" spans="3:13" ht="14.45" customHeight="1">
      <c r="D390" s="431"/>
      <c r="E390" s="431"/>
      <c r="F390" s="431"/>
      <c r="G390" s="431"/>
      <c r="H390" s="431"/>
      <c r="I390" s="431"/>
      <c r="J390" s="431"/>
      <c r="K390" s="431"/>
      <c r="L390" s="431"/>
      <c r="M390" s="431"/>
    </row>
    <row r="391" spans="3:13" ht="14.45" customHeight="1">
      <c r="C391" s="899"/>
      <c r="D391" s="1387" t="s">
        <v>1677</v>
      </c>
      <c r="E391" s="1387"/>
      <c r="F391" s="1387"/>
      <c r="G391" s="1387"/>
      <c r="H391" s="1387"/>
      <c r="I391" s="1387"/>
      <c r="J391" s="1387"/>
      <c r="K391" s="1387"/>
      <c r="L391" s="1387"/>
      <c r="M391" s="1387"/>
    </row>
    <row r="392" spans="3:13" ht="14.45" customHeight="1">
      <c r="C392" s="899"/>
      <c r="D392" s="1388" t="s">
        <v>178</v>
      </c>
      <c r="E392" s="1388"/>
      <c r="F392" s="1388"/>
      <c r="G392" s="1388"/>
      <c r="H392" s="1388"/>
      <c r="I392" s="1388"/>
      <c r="J392" s="1388"/>
      <c r="K392" s="1388"/>
      <c r="L392" s="1388"/>
      <c r="M392" s="1388"/>
    </row>
    <row r="393" spans="3:13" ht="14.45" customHeight="1">
      <c r="C393" s="899"/>
      <c r="D393" s="1156"/>
      <c r="E393" s="1156"/>
      <c r="F393" s="1156"/>
      <c r="G393" s="1156"/>
      <c r="H393" s="1156"/>
      <c r="I393" s="1156"/>
      <c r="J393" s="1156"/>
      <c r="K393" s="1156"/>
      <c r="L393" s="1156"/>
      <c r="M393" s="1156"/>
    </row>
    <row r="394" spans="3:13" ht="14.45" customHeight="1">
      <c r="C394" s="899"/>
      <c r="E394" s="528" t="s">
        <v>1005</v>
      </c>
      <c r="F394" s="529" t="s">
        <v>1251</v>
      </c>
      <c r="G394" s="530"/>
      <c r="H394" s="530"/>
      <c r="I394" s="530"/>
      <c r="J394" s="530"/>
      <c r="K394" s="530"/>
      <c r="L394" s="530"/>
      <c r="M394" s="531"/>
    </row>
    <row r="395" spans="3:13" ht="14.45" customHeight="1">
      <c r="C395" s="899"/>
      <c r="E395" s="528" t="s">
        <v>1007</v>
      </c>
      <c r="F395" s="1389" t="s">
        <v>1252</v>
      </c>
      <c r="G395" s="1389"/>
      <c r="H395" s="1389"/>
      <c r="I395" s="1389"/>
      <c r="J395" s="1389"/>
      <c r="K395" s="1389"/>
      <c r="L395" s="1389"/>
      <c r="M395" s="1389"/>
    </row>
    <row r="396" spans="3:13" ht="19.5" customHeight="1">
      <c r="C396" s="899"/>
      <c r="E396" s="530"/>
      <c r="F396" s="1389"/>
      <c r="G396" s="1389"/>
      <c r="H396" s="1389"/>
      <c r="I396" s="1389"/>
      <c r="J396" s="1389"/>
      <c r="K396" s="1389"/>
      <c r="L396" s="1389"/>
      <c r="M396" s="1389"/>
    </row>
    <row r="397" spans="3:13" ht="14.45" customHeight="1">
      <c r="C397" s="899"/>
      <c r="E397" s="528" t="s">
        <v>1009</v>
      </c>
      <c r="F397" s="1342" t="s">
        <v>1253</v>
      </c>
      <c r="G397" s="1342"/>
      <c r="H397" s="1342"/>
      <c r="I397" s="1342"/>
      <c r="J397" s="1342"/>
      <c r="K397" s="1342"/>
      <c r="L397" s="1342"/>
      <c r="M397" s="1342"/>
    </row>
    <row r="398" spans="3:13" ht="19.5" customHeight="1">
      <c r="C398" s="899"/>
      <c r="E398" s="530"/>
      <c r="F398" s="1342"/>
      <c r="G398" s="1342"/>
      <c r="H398" s="1342"/>
      <c r="I398" s="1342"/>
      <c r="J398" s="1342"/>
      <c r="K398" s="1342"/>
      <c r="L398" s="1342"/>
      <c r="M398" s="1342"/>
    </row>
    <row r="399" spans="3:13" ht="14.45" customHeight="1">
      <c r="C399" s="899"/>
      <c r="E399" s="1390" t="s">
        <v>1011</v>
      </c>
      <c r="F399" s="1342" t="s">
        <v>1254</v>
      </c>
      <c r="G399" s="1342"/>
      <c r="H399" s="1342"/>
      <c r="I399" s="1342"/>
      <c r="J399" s="1342"/>
      <c r="K399" s="1342"/>
      <c r="L399" s="1342"/>
      <c r="M399" s="1342"/>
    </row>
    <row r="400" spans="3:13" ht="37.5" customHeight="1">
      <c r="C400" s="899"/>
      <c r="E400" s="1390"/>
      <c r="F400" s="1342"/>
      <c r="G400" s="1342"/>
      <c r="H400" s="1342"/>
      <c r="I400" s="1342"/>
      <c r="J400" s="1342"/>
      <c r="K400" s="1342"/>
      <c r="L400" s="1342"/>
      <c r="M400" s="1342"/>
    </row>
    <row r="401" spans="3:15" ht="11.25" customHeight="1">
      <c r="C401" s="899"/>
      <c r="E401" s="1390"/>
      <c r="F401" s="532"/>
      <c r="G401" s="532"/>
      <c r="H401" s="532"/>
      <c r="I401" s="532"/>
      <c r="J401" s="532"/>
      <c r="K401" s="532"/>
      <c r="L401" s="532"/>
      <c r="M401" s="531"/>
    </row>
    <row r="402" spans="3:15" ht="14.45" customHeight="1">
      <c r="C402" s="899"/>
      <c r="E402" s="530" t="s">
        <v>1255</v>
      </c>
      <c r="F402" s="532"/>
      <c r="G402" s="532"/>
      <c r="H402" s="532"/>
      <c r="I402" s="532"/>
      <c r="J402" s="532"/>
      <c r="K402" s="532"/>
      <c r="L402" s="531"/>
      <c r="M402" s="531"/>
    </row>
    <row r="403" spans="3:15" ht="14.45" customHeight="1">
      <c r="C403" s="899"/>
      <c r="D403" s="530"/>
      <c r="E403" s="532"/>
      <c r="F403" s="532"/>
      <c r="G403" s="532"/>
      <c r="H403" s="532"/>
      <c r="I403" s="532"/>
      <c r="J403" s="532"/>
      <c r="K403" s="532"/>
      <c r="L403" s="531"/>
      <c r="M403" s="531"/>
    </row>
    <row r="404" spans="3:15" ht="14.45" customHeight="1">
      <c r="C404" s="899"/>
      <c r="E404" s="1343" t="s">
        <v>1014</v>
      </c>
      <c r="F404" s="1366" t="s">
        <v>1081</v>
      </c>
      <c r="G404" s="1366" t="s">
        <v>639</v>
      </c>
      <c r="H404" s="1366" t="s">
        <v>1083</v>
      </c>
      <c r="I404" s="1366" t="s">
        <v>1015</v>
      </c>
      <c r="J404" s="1391" t="s">
        <v>1683</v>
      </c>
      <c r="K404" s="1391"/>
      <c r="L404" s="1391"/>
      <c r="M404" s="1392"/>
      <c r="O404" s="612"/>
    </row>
    <row r="405" spans="3:15" ht="14.45" customHeight="1">
      <c r="C405" s="899"/>
      <c r="E405" s="1344"/>
      <c r="F405" s="1367"/>
      <c r="G405" s="1367"/>
      <c r="H405" s="1367"/>
      <c r="I405" s="1367"/>
      <c r="J405" s="438" t="s">
        <v>277</v>
      </c>
      <c r="K405" s="438" t="s">
        <v>278</v>
      </c>
      <c r="L405" s="438" t="s">
        <v>279</v>
      </c>
      <c r="M405" s="439" t="s">
        <v>15</v>
      </c>
      <c r="O405" s="612"/>
    </row>
    <row r="406" spans="3:15" ht="53.25" customHeight="1">
      <c r="C406" s="899"/>
      <c r="E406" s="879" t="s">
        <v>1256</v>
      </c>
      <c r="F406" s="1393" t="s">
        <v>1583</v>
      </c>
      <c r="G406" s="534" t="s">
        <v>1584</v>
      </c>
      <c r="H406" s="535" t="s">
        <v>1585</v>
      </c>
      <c r="I406" s="536">
        <v>10</v>
      </c>
      <c r="J406" s="912"/>
      <c r="K406" s="912"/>
      <c r="L406" s="912"/>
      <c r="M406" s="913"/>
      <c r="O406" s="612">
        <v>10000</v>
      </c>
    </row>
    <row r="407" spans="3:15" ht="118.5" customHeight="1">
      <c r="C407" s="899"/>
      <c r="E407" s="911"/>
      <c r="F407" s="1394"/>
      <c r="G407" s="534" t="s">
        <v>1586</v>
      </c>
      <c r="H407" s="452" t="s">
        <v>1587</v>
      </c>
      <c r="I407" s="536">
        <v>1000</v>
      </c>
      <c r="J407" s="912"/>
      <c r="K407" s="912"/>
      <c r="L407" s="912"/>
      <c r="M407" s="913"/>
      <c r="O407" s="612">
        <v>50000</v>
      </c>
    </row>
    <row r="408" spans="3:15" ht="102.75" customHeight="1">
      <c r="C408" s="899"/>
      <c r="E408" s="911"/>
      <c r="F408" s="1394"/>
      <c r="G408" s="449" t="s">
        <v>1588</v>
      </c>
      <c r="H408" s="452" t="s">
        <v>1589</v>
      </c>
      <c r="I408" s="536">
        <v>10</v>
      </c>
      <c r="J408" s="912"/>
      <c r="K408" s="912"/>
      <c r="L408" s="912"/>
      <c r="M408" s="913"/>
      <c r="O408" s="612">
        <v>10000</v>
      </c>
    </row>
    <row r="409" spans="3:15" ht="103.5" customHeight="1">
      <c r="C409" s="899"/>
      <c r="E409" s="911"/>
      <c r="F409" s="1394"/>
      <c r="G409" s="449" t="s">
        <v>1590</v>
      </c>
      <c r="H409" s="452" t="s">
        <v>1591</v>
      </c>
      <c r="I409" s="536">
        <v>200</v>
      </c>
      <c r="J409" s="912"/>
      <c r="K409" s="912"/>
      <c r="L409" s="912"/>
      <c r="M409" s="913"/>
      <c r="O409" s="612">
        <v>30000</v>
      </c>
    </row>
    <row r="410" spans="3:15" ht="43.5" customHeight="1">
      <c r="C410" s="899"/>
      <c r="E410" s="537"/>
      <c r="F410" s="1395"/>
      <c r="G410" s="449" t="s">
        <v>1592</v>
      </c>
      <c r="H410" s="452" t="s">
        <v>1593</v>
      </c>
      <c r="I410" s="536">
        <v>200</v>
      </c>
      <c r="J410" s="1010"/>
      <c r="K410" s="912"/>
      <c r="L410" s="912"/>
      <c r="M410" s="913"/>
      <c r="O410" s="612">
        <v>30000</v>
      </c>
    </row>
    <row r="411" spans="3:15" ht="91.5" customHeight="1">
      <c r="C411" s="899"/>
      <c r="E411" s="879" t="s">
        <v>1256</v>
      </c>
      <c r="F411" s="1393" t="s">
        <v>1257</v>
      </c>
      <c r="G411" s="1393" t="s">
        <v>1615</v>
      </c>
      <c r="H411" s="535" t="s">
        <v>1886</v>
      </c>
      <c r="I411" s="536">
        <v>85</v>
      </c>
      <c r="J411" s="1396">
        <f>'LBP NO. 2'!M672</f>
        <v>4633994.8</v>
      </c>
      <c r="K411" s="1397">
        <f>'LBP NO. 2'!M683</f>
        <v>8503040</v>
      </c>
      <c r="L411" s="1397">
        <f>'LBP NO. 2'!M689</f>
        <v>675000</v>
      </c>
      <c r="M411" s="1398">
        <f>SUM(J411:L423)</f>
        <v>13812034.800000001</v>
      </c>
      <c r="O411" s="612">
        <v>150000</v>
      </c>
    </row>
    <row r="412" spans="3:15" ht="57" customHeight="1">
      <c r="C412" s="899"/>
      <c r="E412" s="911"/>
      <c r="F412" s="1394"/>
      <c r="G412" s="1394"/>
      <c r="H412" s="452" t="s">
        <v>1581</v>
      </c>
      <c r="I412" s="536">
        <v>100</v>
      </c>
      <c r="J412" s="1396"/>
      <c r="K412" s="1397"/>
      <c r="L412" s="1397"/>
      <c r="M412" s="1398"/>
      <c r="O412" s="612">
        <v>20000</v>
      </c>
    </row>
    <row r="413" spans="3:15" ht="59.25" customHeight="1">
      <c r="C413" s="899"/>
      <c r="E413" s="537"/>
      <c r="F413" s="1395"/>
      <c r="G413" s="1395"/>
      <c r="H413" s="452" t="s">
        <v>1582</v>
      </c>
      <c r="I413" s="536">
        <v>21</v>
      </c>
      <c r="J413" s="1396"/>
      <c r="K413" s="1397"/>
      <c r="L413" s="1397"/>
      <c r="M413" s="1398"/>
      <c r="O413" s="612">
        <v>14280</v>
      </c>
    </row>
    <row r="414" spans="3:15" ht="87.75" customHeight="1">
      <c r="C414" s="899"/>
      <c r="E414" s="538" t="s">
        <v>1256</v>
      </c>
      <c r="F414" s="449" t="s">
        <v>1882</v>
      </c>
      <c r="G414" s="449" t="s">
        <v>1594</v>
      </c>
      <c r="H414" s="452" t="s">
        <v>1887</v>
      </c>
      <c r="I414" s="536">
        <v>105</v>
      </c>
      <c r="J414" s="1396"/>
      <c r="K414" s="1397"/>
      <c r="L414" s="1397"/>
      <c r="M414" s="1398"/>
      <c r="O414" s="612">
        <v>100000</v>
      </c>
    </row>
    <row r="415" spans="3:15" ht="108" customHeight="1">
      <c r="C415" s="899"/>
      <c r="E415" s="538" t="s">
        <v>1256</v>
      </c>
      <c r="F415" s="449" t="s">
        <v>1595</v>
      </c>
      <c r="G415" s="452" t="s">
        <v>1596</v>
      </c>
      <c r="H415" s="452" t="s">
        <v>1597</v>
      </c>
      <c r="I415" s="536">
        <v>1000</v>
      </c>
      <c r="J415" s="1396"/>
      <c r="K415" s="1397"/>
      <c r="L415" s="1397"/>
      <c r="M415" s="1398"/>
      <c r="O415" s="612">
        <v>14280</v>
      </c>
    </row>
    <row r="416" spans="3:15" ht="71.25" customHeight="1">
      <c r="C416" s="899"/>
      <c r="E416" s="537" t="s">
        <v>1256</v>
      </c>
      <c r="F416" s="449" t="s">
        <v>1258</v>
      </c>
      <c r="G416" s="452" t="s">
        <v>1598</v>
      </c>
      <c r="H416" s="452" t="s">
        <v>1599</v>
      </c>
      <c r="I416" s="536">
        <v>1200</v>
      </c>
      <c r="J416" s="1396"/>
      <c r="K416" s="1397"/>
      <c r="L416" s="1397"/>
      <c r="M416" s="1398"/>
      <c r="O416" s="612">
        <v>50000</v>
      </c>
    </row>
    <row r="417" spans="3:15" ht="84" customHeight="1">
      <c r="C417" s="899"/>
      <c r="E417" s="533" t="s">
        <v>1256</v>
      </c>
      <c r="F417" s="534" t="s">
        <v>1883</v>
      </c>
      <c r="G417" s="535" t="s">
        <v>1600</v>
      </c>
      <c r="H417" s="535" t="s">
        <v>1601</v>
      </c>
      <c r="I417" s="536">
        <v>24</v>
      </c>
      <c r="J417" s="1396"/>
      <c r="K417" s="1397"/>
      <c r="L417" s="1397"/>
      <c r="M417" s="1398"/>
      <c r="O417" s="612">
        <v>50000</v>
      </c>
    </row>
    <row r="418" spans="3:15" ht="123" customHeight="1">
      <c r="C418" s="899"/>
      <c r="E418" s="533" t="s">
        <v>1256</v>
      </c>
      <c r="F418" s="534" t="s">
        <v>1602</v>
      </c>
      <c r="G418" s="535" t="s">
        <v>1604</v>
      </c>
      <c r="H418" s="535" t="s">
        <v>1888</v>
      </c>
      <c r="I418" s="536">
        <v>92</v>
      </c>
      <c r="J418" s="1396"/>
      <c r="K418" s="1397"/>
      <c r="L418" s="1397"/>
      <c r="M418" s="1398"/>
      <c r="O418" s="612">
        <v>25000</v>
      </c>
    </row>
    <row r="419" spans="3:15" ht="78.75" customHeight="1">
      <c r="C419" s="899"/>
      <c r="E419" s="533" t="s">
        <v>1256</v>
      </c>
      <c r="F419" s="534" t="s">
        <v>1884</v>
      </c>
      <c r="G419" s="535" t="s">
        <v>1603</v>
      </c>
      <c r="H419" s="535" t="s">
        <v>1605</v>
      </c>
      <c r="I419" s="536">
        <v>279</v>
      </c>
      <c r="J419" s="1396"/>
      <c r="K419" s="1397"/>
      <c r="L419" s="1397"/>
      <c r="M419" s="1398"/>
      <c r="O419" s="612">
        <v>15000</v>
      </c>
    </row>
    <row r="420" spans="3:15" ht="109.5" customHeight="1">
      <c r="C420" s="899"/>
      <c r="E420" s="879" t="s">
        <v>1256</v>
      </c>
      <c r="F420" s="449" t="s">
        <v>1885</v>
      </c>
      <c r="G420" s="452" t="s">
        <v>1606</v>
      </c>
      <c r="H420" s="452" t="s">
        <v>1607</v>
      </c>
      <c r="I420" s="536">
        <v>42</v>
      </c>
      <c r="J420" s="1396"/>
      <c r="K420" s="1397"/>
      <c r="L420" s="1397"/>
      <c r="M420" s="1398"/>
      <c r="O420" s="612">
        <v>20000</v>
      </c>
    </row>
    <row r="421" spans="3:15" ht="109.5" customHeight="1">
      <c r="C421" s="899"/>
      <c r="E421" s="879" t="s">
        <v>1256</v>
      </c>
      <c r="F421" s="449" t="s">
        <v>1608</v>
      </c>
      <c r="G421" s="452" t="s">
        <v>1609</v>
      </c>
      <c r="H421" s="452" t="s">
        <v>1889</v>
      </c>
      <c r="I421" s="536">
        <v>21</v>
      </c>
      <c r="J421" s="1396"/>
      <c r="K421" s="1397"/>
      <c r="L421" s="1397"/>
      <c r="M421" s="1398"/>
      <c r="O421" s="612">
        <v>50000</v>
      </c>
    </row>
    <row r="422" spans="3:15" ht="109.5" customHeight="1">
      <c r="C422" s="899"/>
      <c r="E422" s="533" t="s">
        <v>1256</v>
      </c>
      <c r="F422" s="534" t="s">
        <v>1610</v>
      </c>
      <c r="G422" s="535" t="s">
        <v>1611</v>
      </c>
      <c r="H422" s="535" t="s">
        <v>1612</v>
      </c>
      <c r="I422" s="536">
        <v>224</v>
      </c>
      <c r="J422" s="1396"/>
      <c r="K422" s="1397"/>
      <c r="L422" s="1397"/>
      <c r="M422" s="1398"/>
      <c r="O422" s="612">
        <v>530000</v>
      </c>
    </row>
    <row r="423" spans="3:15" ht="110.25" customHeight="1">
      <c r="C423" s="899"/>
      <c r="E423" s="537" t="s">
        <v>1256</v>
      </c>
      <c r="F423" s="449" t="s">
        <v>1259</v>
      </c>
      <c r="G423" s="452" t="s">
        <v>1613</v>
      </c>
      <c r="H423" s="452" t="s">
        <v>1614</v>
      </c>
      <c r="I423" s="1223">
        <v>15</v>
      </c>
      <c r="J423" s="1396"/>
      <c r="K423" s="1397"/>
      <c r="L423" s="1397"/>
      <c r="M423" s="1398"/>
      <c r="O423" s="612">
        <v>40000</v>
      </c>
    </row>
    <row r="424" spans="3:15" ht="16.5" customHeight="1">
      <c r="C424" s="1355"/>
      <c r="D424" s="540"/>
      <c r="E424" s="541"/>
      <c r="F424" s="534"/>
      <c r="G424" s="535"/>
      <c r="H424" s="535"/>
      <c r="I424" s="539"/>
      <c r="J424" s="542">
        <f>SUM(J411:J423)</f>
        <v>4633994.8</v>
      </c>
      <c r="K424" s="543">
        <f>SUM(K411:K423)</f>
        <v>8503040</v>
      </c>
      <c r="L424" s="543">
        <f>'LBP NO. 2'!M689</f>
        <v>675000</v>
      </c>
      <c r="M424" s="544">
        <f>SUM(M411:M423)</f>
        <v>13812034.800000001</v>
      </c>
      <c r="O424" s="612">
        <f>SUM(O406:O423)</f>
        <v>1208560</v>
      </c>
    </row>
    <row r="425" spans="3:15" ht="14.45" customHeight="1">
      <c r="C425" s="1355"/>
      <c r="D425" s="540"/>
      <c r="E425" s="431"/>
      <c r="F425" s="545"/>
      <c r="G425" s="546"/>
      <c r="H425" s="546"/>
      <c r="I425" s="547"/>
      <c r="J425" s="548"/>
      <c r="K425" s="548"/>
      <c r="L425" s="548"/>
      <c r="M425" s="548"/>
    </row>
    <row r="426" spans="3:15" ht="14.45" customHeight="1">
      <c r="C426" s="1355"/>
      <c r="D426" s="540"/>
      <c r="E426" s="431"/>
      <c r="F426" s="545"/>
      <c r="G426" s="546"/>
      <c r="H426" s="546"/>
      <c r="I426" s="547"/>
      <c r="J426" s="548"/>
      <c r="K426" s="548"/>
      <c r="L426" s="548"/>
      <c r="M426" s="548"/>
    </row>
    <row r="427" spans="3:15" ht="14.45" customHeight="1">
      <c r="C427" s="1355"/>
      <c r="D427" s="549"/>
      <c r="E427" s="549"/>
      <c r="F427" s="550"/>
      <c r="G427" s="546"/>
      <c r="H427" s="456"/>
      <c r="I427" s="456"/>
      <c r="J427" s="468"/>
      <c r="K427" s="468"/>
      <c r="L427" s="468"/>
      <c r="M427" s="468"/>
    </row>
    <row r="428" spans="3:15" ht="14.45" customHeight="1">
      <c r="C428" s="1355"/>
      <c r="E428" s="431" t="s">
        <v>1044</v>
      </c>
      <c r="F428" s="469"/>
      <c r="G428" s="469" t="s">
        <v>1045</v>
      </c>
      <c r="H428" s="469"/>
      <c r="I428" s="469"/>
      <c r="J428" s="468"/>
      <c r="K428" s="468"/>
      <c r="L428" s="468"/>
      <c r="M428" s="468"/>
    </row>
    <row r="429" spans="3:15" ht="14.45" customHeight="1">
      <c r="C429" s="1355"/>
      <c r="D429" s="431"/>
      <c r="E429" s="431"/>
      <c r="F429" s="431"/>
      <c r="G429" s="431"/>
      <c r="H429" s="431"/>
      <c r="I429" s="431"/>
      <c r="J429" s="431"/>
      <c r="K429" s="431"/>
      <c r="L429" s="431"/>
      <c r="M429" s="431"/>
    </row>
    <row r="430" spans="3:15" ht="14.45" customHeight="1">
      <c r="C430" s="1355"/>
      <c r="E430" s="1380" t="s">
        <v>923</v>
      </c>
      <c r="F430" s="1380"/>
      <c r="G430" s="1381" t="s">
        <v>254</v>
      </c>
      <c r="H430" s="1381"/>
      <c r="I430" s="1382" t="s">
        <v>17</v>
      </c>
      <c r="J430" s="1382"/>
      <c r="K430" s="467"/>
      <c r="L430" s="1333" t="s">
        <v>88</v>
      </c>
      <c r="M430" s="1333"/>
    </row>
    <row r="431" spans="3:15" ht="14.45" customHeight="1">
      <c r="C431" s="1355"/>
      <c r="E431" s="1383" t="s">
        <v>1260</v>
      </c>
      <c r="F431" s="1383"/>
      <c r="G431" s="1384" t="s">
        <v>13</v>
      </c>
      <c r="H431" s="1384"/>
      <c r="I431" s="1385" t="s">
        <v>18</v>
      </c>
      <c r="J431" s="1385"/>
      <c r="K431" s="467"/>
      <c r="L431" s="1334" t="s">
        <v>1000</v>
      </c>
      <c r="M431" s="1334"/>
    </row>
    <row r="432" spans="3:15" ht="14.45" customHeight="1">
      <c r="C432" s="1355"/>
      <c r="E432" s="551"/>
      <c r="F432" s="551"/>
      <c r="G432" s="471"/>
      <c r="H432" s="471"/>
      <c r="I432" s="552"/>
      <c r="J432" s="552"/>
      <c r="K432" s="467"/>
      <c r="L432" s="471"/>
      <c r="M432" s="471"/>
    </row>
    <row r="433" spans="3:13" ht="14.45" customHeight="1">
      <c r="C433" s="1355"/>
      <c r="E433" s="472" t="s">
        <v>258</v>
      </c>
      <c r="F433" s="431"/>
      <c r="G433" s="431"/>
      <c r="H433" s="431"/>
      <c r="I433" s="473"/>
      <c r="J433" s="431"/>
      <c r="K433" s="431"/>
      <c r="L433" s="473"/>
      <c r="M433" s="431"/>
    </row>
    <row r="434" spans="3:13" ht="14.45" customHeight="1">
      <c r="C434" s="1355"/>
      <c r="D434" s="474"/>
      <c r="E434" s="474"/>
      <c r="F434" s="431"/>
      <c r="G434" s="431"/>
      <c r="H434" s="431"/>
      <c r="I434" s="475"/>
      <c r="J434" s="431"/>
      <c r="K434" s="431"/>
      <c r="L434" s="475"/>
      <c r="M434" s="431"/>
    </row>
    <row r="435" spans="3:13" ht="14.45" customHeight="1">
      <c r="C435" s="1355"/>
      <c r="E435" s="1333" t="s">
        <v>1456</v>
      </c>
      <c r="F435" s="1333"/>
      <c r="G435" s="477"/>
      <c r="H435" s="478"/>
      <c r="I435" s="478"/>
      <c r="J435" s="553"/>
      <c r="K435" s="474"/>
      <c r="L435" s="472"/>
      <c r="M435" s="472"/>
    </row>
    <row r="436" spans="3:13" ht="14.45" customHeight="1">
      <c r="C436" s="1355"/>
      <c r="E436" s="1334" t="s">
        <v>14</v>
      </c>
      <c r="F436" s="1334"/>
      <c r="G436" s="479"/>
      <c r="H436" s="480"/>
      <c r="I436" s="478"/>
      <c r="J436" s="553"/>
      <c r="K436" s="474"/>
      <c r="L436" s="476"/>
      <c r="M436" s="472"/>
    </row>
    <row r="437" spans="3:13" ht="14.45" customHeight="1">
      <c r="E437" s="471"/>
      <c r="F437" s="471"/>
      <c r="G437" s="479"/>
      <c r="H437" s="480"/>
      <c r="I437" s="478"/>
      <c r="J437" s="553"/>
      <c r="K437" s="474"/>
      <c r="L437" s="476"/>
      <c r="M437" s="472"/>
    </row>
    <row r="438" spans="3:13" ht="14.45" customHeight="1">
      <c r="E438" s="471"/>
      <c r="F438" s="471"/>
      <c r="G438" s="479"/>
      <c r="H438" s="480"/>
      <c r="I438" s="478"/>
      <c r="J438" s="553"/>
      <c r="K438" s="474"/>
      <c r="L438" s="476"/>
      <c r="M438" s="472"/>
    </row>
    <row r="439" spans="3:13" ht="14.45" customHeight="1">
      <c r="E439" s="471"/>
      <c r="F439" s="471"/>
      <c r="G439" s="479"/>
      <c r="H439" s="480"/>
      <c r="I439" s="478"/>
      <c r="J439" s="553"/>
      <c r="K439" s="474"/>
      <c r="L439" s="476"/>
      <c r="M439" s="472"/>
    </row>
    <row r="440" spans="3:13" ht="14.45" customHeight="1">
      <c r="E440" s="471"/>
      <c r="F440" s="471"/>
      <c r="G440" s="479"/>
      <c r="H440" s="480"/>
      <c r="I440" s="478"/>
      <c r="J440" s="553"/>
      <c r="K440" s="474"/>
      <c r="L440" s="476"/>
      <c r="M440" s="472"/>
    </row>
    <row r="441" spans="3:13" ht="14.45" customHeight="1">
      <c r="E441" s="471"/>
      <c r="F441" s="471"/>
      <c r="G441" s="479"/>
      <c r="H441" s="480"/>
      <c r="I441" s="478"/>
      <c r="J441" s="553"/>
      <c r="K441" s="474"/>
      <c r="L441" s="476"/>
      <c r="M441" s="472"/>
    </row>
    <row r="442" spans="3:13" ht="14.45" customHeight="1">
      <c r="E442" s="471"/>
      <c r="F442" s="471"/>
      <c r="G442" s="479"/>
      <c r="H442" s="480"/>
      <c r="I442" s="478"/>
      <c r="J442" s="553"/>
      <c r="K442" s="474"/>
      <c r="L442" s="476"/>
      <c r="M442" s="472"/>
    </row>
    <row r="443" spans="3:13" ht="14.45" customHeight="1">
      <c r="E443" s="471"/>
      <c r="F443" s="471"/>
      <c r="G443" s="479"/>
      <c r="H443" s="480"/>
      <c r="I443" s="478"/>
      <c r="J443" s="553"/>
      <c r="K443" s="474"/>
      <c r="L443" s="476"/>
      <c r="M443" s="472"/>
    </row>
    <row r="444" spans="3:13" ht="14.45" customHeight="1">
      <c r="E444" s="471"/>
      <c r="F444" s="471"/>
      <c r="G444" s="479"/>
      <c r="H444" s="480"/>
      <c r="I444" s="478"/>
      <c r="J444" s="553"/>
      <c r="K444" s="474"/>
      <c r="L444" s="476"/>
      <c r="M444" s="472"/>
    </row>
    <row r="445" spans="3:13" ht="14.45" customHeight="1">
      <c r="E445" s="471"/>
      <c r="F445" s="471"/>
      <c r="G445" s="479"/>
      <c r="H445" s="480"/>
      <c r="I445" s="478"/>
      <c r="J445" s="553"/>
      <c r="K445" s="474"/>
      <c r="L445" s="476"/>
      <c r="M445" s="472"/>
    </row>
    <row r="446" spans="3:13" ht="14.45" customHeight="1">
      <c r="E446" s="471"/>
      <c r="F446" s="471"/>
      <c r="G446" s="479"/>
      <c r="H446" s="480"/>
      <c r="I446" s="478"/>
      <c r="J446" s="553"/>
      <c r="K446" s="474"/>
      <c r="L446" s="476"/>
      <c r="M446" s="472"/>
    </row>
    <row r="447" spans="3:13" ht="14.45" customHeight="1">
      <c r="E447" s="471"/>
      <c r="F447" s="471"/>
      <c r="G447" s="479"/>
      <c r="H447" s="480"/>
      <c r="I447" s="478"/>
      <c r="J447" s="553"/>
      <c r="K447" s="474"/>
      <c r="L447" s="476"/>
      <c r="M447" s="472"/>
    </row>
    <row r="448" spans="3:13" ht="14.45" customHeight="1">
      <c r="E448" s="471"/>
      <c r="F448" s="471"/>
      <c r="G448" s="479"/>
      <c r="H448" s="480"/>
      <c r="I448" s="478"/>
      <c r="J448" s="553"/>
      <c r="K448" s="474"/>
      <c r="L448" s="476"/>
      <c r="M448" s="472"/>
    </row>
    <row r="449" spans="5:13" ht="14.45" customHeight="1">
      <c r="E449" s="471"/>
      <c r="F449" s="471"/>
      <c r="G449" s="479"/>
      <c r="H449" s="480"/>
      <c r="I449" s="478"/>
      <c r="J449" s="553"/>
      <c r="K449" s="474"/>
      <c r="L449" s="476"/>
      <c r="M449" s="472"/>
    </row>
    <row r="450" spans="5:13" ht="14.45" customHeight="1">
      <c r="E450" s="471"/>
      <c r="F450" s="471"/>
      <c r="G450" s="479"/>
      <c r="H450" s="480"/>
      <c r="I450" s="478"/>
      <c r="J450" s="553"/>
      <c r="K450" s="474"/>
      <c r="L450" s="476"/>
      <c r="M450" s="472"/>
    </row>
    <row r="451" spans="5:13" ht="14.45" customHeight="1">
      <c r="E451" s="471"/>
      <c r="F451" s="471"/>
      <c r="G451" s="479"/>
      <c r="H451" s="480"/>
      <c r="I451" s="478"/>
      <c r="J451" s="553"/>
      <c r="K451" s="474"/>
      <c r="L451" s="476"/>
      <c r="M451" s="472"/>
    </row>
    <row r="452" spans="5:13" ht="14.45" customHeight="1">
      <c r="E452" s="471"/>
      <c r="F452" s="471"/>
      <c r="G452" s="479"/>
      <c r="H452" s="480"/>
      <c r="I452" s="478"/>
      <c r="J452" s="553"/>
      <c r="K452" s="474"/>
      <c r="L452" s="476"/>
      <c r="M452" s="472"/>
    </row>
    <row r="453" spans="5:13" ht="14.45" customHeight="1">
      <c r="E453" s="471"/>
      <c r="F453" s="471"/>
      <c r="G453" s="479"/>
      <c r="H453" s="480"/>
      <c r="I453" s="478"/>
      <c r="J453" s="553"/>
      <c r="K453" s="474"/>
      <c r="L453" s="476"/>
      <c r="M453" s="472"/>
    </row>
    <row r="454" spans="5:13" ht="14.45" customHeight="1">
      <c r="E454" s="471"/>
      <c r="F454" s="471"/>
      <c r="G454" s="479"/>
      <c r="H454" s="480"/>
      <c r="I454" s="478"/>
      <c r="J454" s="553"/>
      <c r="K454" s="474"/>
      <c r="L454" s="476"/>
      <c r="M454" s="472"/>
    </row>
    <row r="455" spans="5:13" ht="14.45" customHeight="1">
      <c r="E455" s="471"/>
      <c r="F455" s="471"/>
      <c r="G455" s="479"/>
      <c r="H455" s="480"/>
      <c r="I455" s="478"/>
      <c r="J455" s="553"/>
      <c r="K455" s="474"/>
      <c r="L455" s="476"/>
      <c r="M455" s="472"/>
    </row>
    <row r="456" spans="5:13" ht="14.45" customHeight="1">
      <c r="E456" s="471"/>
      <c r="F456" s="471"/>
      <c r="G456" s="479"/>
      <c r="H456" s="480"/>
      <c r="I456" s="478"/>
      <c r="J456" s="553"/>
      <c r="K456" s="474"/>
      <c r="L456" s="476"/>
      <c r="M456" s="472"/>
    </row>
    <row r="457" spans="5:13" ht="14.45" customHeight="1">
      <c r="E457" s="471"/>
      <c r="F457" s="471"/>
      <c r="G457" s="479"/>
      <c r="H457" s="480"/>
      <c r="I457" s="478"/>
      <c r="J457" s="553"/>
      <c r="K457" s="474"/>
      <c r="L457" s="476"/>
      <c r="M457" s="472"/>
    </row>
    <row r="458" spans="5:13" ht="14.45" customHeight="1">
      <c r="E458" s="471"/>
      <c r="F458" s="471"/>
      <c r="G458" s="479"/>
      <c r="H458" s="480"/>
      <c r="I458" s="478"/>
      <c r="J458" s="553"/>
      <c r="K458" s="474"/>
      <c r="L458" s="476"/>
      <c r="M458" s="472"/>
    </row>
    <row r="459" spans="5:13" ht="14.45" customHeight="1">
      <c r="E459" s="471"/>
      <c r="F459" s="471"/>
      <c r="G459" s="479"/>
      <c r="H459" s="480"/>
      <c r="I459" s="478"/>
      <c r="J459" s="553"/>
      <c r="K459" s="474"/>
      <c r="L459" s="476"/>
      <c r="M459" s="472"/>
    </row>
    <row r="460" spans="5:13" ht="14.45" customHeight="1">
      <c r="E460" s="471"/>
      <c r="F460" s="471"/>
      <c r="G460" s="479"/>
      <c r="H460" s="480"/>
      <c r="I460" s="478"/>
      <c r="J460" s="553"/>
      <c r="K460" s="474"/>
      <c r="L460" s="476"/>
      <c r="M460" s="472"/>
    </row>
    <row r="461" spans="5:13" ht="14.45" customHeight="1">
      <c r="E461" s="471"/>
      <c r="F461" s="471"/>
      <c r="G461" s="479"/>
      <c r="H461" s="480"/>
      <c r="I461" s="478"/>
      <c r="J461" s="553"/>
      <c r="K461" s="474"/>
      <c r="L461" s="476"/>
      <c r="M461" s="472"/>
    </row>
    <row r="462" spans="5:13" ht="14.45" customHeight="1">
      <c r="E462" s="471"/>
      <c r="F462" s="471"/>
      <c r="G462" s="479"/>
      <c r="H462" s="480"/>
      <c r="I462" s="478"/>
      <c r="J462" s="553"/>
      <c r="K462" s="474"/>
      <c r="L462" s="476"/>
      <c r="M462" s="472"/>
    </row>
    <row r="463" spans="5:13" ht="14.45" customHeight="1">
      <c r="E463" s="471"/>
      <c r="F463" s="471"/>
      <c r="G463" s="479"/>
      <c r="H463" s="480"/>
      <c r="I463" s="478"/>
      <c r="J463" s="553"/>
      <c r="K463" s="474"/>
      <c r="L463" s="476"/>
      <c r="M463" s="472"/>
    </row>
    <row r="464" spans="5:13" ht="15.95" customHeight="1">
      <c r="E464" s="471"/>
      <c r="F464" s="471"/>
      <c r="G464" s="479"/>
      <c r="H464" s="480"/>
      <c r="I464" s="478"/>
      <c r="J464" s="553"/>
      <c r="K464" s="474"/>
      <c r="L464" s="476"/>
      <c r="M464" s="472"/>
    </row>
    <row r="465" spans="3:14" ht="14.45" customHeight="1">
      <c r="D465" s="431"/>
      <c r="E465" s="431"/>
      <c r="F465" s="431"/>
      <c r="G465" s="431"/>
      <c r="H465" s="431"/>
      <c r="I465" s="431"/>
      <c r="J465" s="431"/>
      <c r="K465" s="431"/>
      <c r="L465" s="431"/>
      <c r="M465" s="431"/>
      <c r="N465" s="431"/>
    </row>
    <row r="466" spans="3:14" ht="14.45" customHeight="1">
      <c r="C466" s="899"/>
      <c r="D466" s="1387" t="s">
        <v>1677</v>
      </c>
      <c r="E466" s="1387"/>
      <c r="F466" s="1387"/>
      <c r="G466" s="1387"/>
      <c r="H466" s="1387"/>
      <c r="I466" s="1387"/>
      <c r="J466" s="1387"/>
      <c r="K466" s="1387"/>
      <c r="L466" s="1387"/>
      <c r="M466" s="1387"/>
      <c r="N466" s="1387"/>
    </row>
    <row r="467" spans="3:14" ht="14.45" customHeight="1">
      <c r="C467" s="900"/>
      <c r="D467" s="1388" t="s">
        <v>178</v>
      </c>
      <c r="E467" s="1388"/>
      <c r="F467" s="1388"/>
      <c r="G467" s="1388"/>
      <c r="H467" s="1388"/>
      <c r="I467" s="1388"/>
      <c r="J467" s="1388"/>
      <c r="K467" s="1388"/>
      <c r="L467" s="1388"/>
      <c r="M467" s="1388"/>
      <c r="N467" s="1388"/>
    </row>
    <row r="468" spans="3:14" ht="14.45" customHeight="1">
      <c r="C468" s="900"/>
      <c r="D468" s="1156"/>
      <c r="E468" s="1156"/>
      <c r="F468" s="1156"/>
      <c r="G468" s="1156"/>
      <c r="H468" s="1156"/>
      <c r="I468" s="1156"/>
      <c r="J468" s="1156"/>
      <c r="K468" s="1156"/>
      <c r="L468" s="1156"/>
      <c r="M468" s="1156"/>
      <c r="N468" s="1156"/>
    </row>
    <row r="469" spans="3:14" ht="14.45" customHeight="1">
      <c r="C469" s="900"/>
      <c r="E469" s="528" t="s">
        <v>1005</v>
      </c>
      <c r="F469" s="529" t="s">
        <v>1261</v>
      </c>
      <c r="G469" s="530"/>
      <c r="H469" s="530"/>
      <c r="I469" s="530"/>
      <c r="J469" s="530"/>
      <c r="K469" s="530"/>
      <c r="L469" s="530"/>
      <c r="M469" s="530"/>
      <c r="N469" s="531"/>
    </row>
    <row r="470" spans="3:14" ht="14.45" customHeight="1">
      <c r="C470" s="900"/>
      <c r="E470" s="528" t="s">
        <v>1007</v>
      </c>
      <c r="F470" s="554" t="s">
        <v>1262</v>
      </c>
      <c r="G470" s="530"/>
      <c r="H470" s="530"/>
      <c r="I470" s="530"/>
      <c r="J470" s="530"/>
      <c r="K470" s="530"/>
      <c r="L470" s="530"/>
      <c r="M470" s="530"/>
      <c r="N470" s="531"/>
    </row>
    <row r="471" spans="3:14" ht="14.45" customHeight="1">
      <c r="C471" s="900"/>
      <c r="E471" s="528" t="s">
        <v>1009</v>
      </c>
      <c r="F471" s="1342" t="s">
        <v>1263</v>
      </c>
      <c r="G471" s="1342"/>
      <c r="H471" s="1342"/>
      <c r="I471" s="1342"/>
      <c r="J471" s="1342"/>
      <c r="K471" s="1342"/>
      <c r="L471" s="1342"/>
      <c r="M471" s="1342"/>
      <c r="N471" s="1342"/>
    </row>
    <row r="472" spans="3:14" ht="18.75" customHeight="1">
      <c r="C472" s="900"/>
      <c r="E472" s="530"/>
      <c r="F472" s="1342"/>
      <c r="G472" s="1342"/>
      <c r="H472" s="1342"/>
      <c r="I472" s="1342"/>
      <c r="J472" s="1342"/>
      <c r="K472" s="1342"/>
      <c r="L472" s="1342"/>
      <c r="M472" s="1342"/>
      <c r="N472" s="1342"/>
    </row>
    <row r="473" spans="3:14" ht="14.45" customHeight="1">
      <c r="C473" s="900"/>
      <c r="E473" s="528" t="s">
        <v>1011</v>
      </c>
      <c r="F473" s="1342" t="s">
        <v>1264</v>
      </c>
      <c r="G473" s="1342"/>
      <c r="H473" s="1342"/>
      <c r="I473" s="1342"/>
      <c r="J473" s="1342"/>
      <c r="K473" s="1342"/>
      <c r="L473" s="1342"/>
      <c r="M473" s="1342"/>
      <c r="N473" s="1342"/>
    </row>
    <row r="474" spans="3:14" ht="18.75" customHeight="1">
      <c r="C474" s="900"/>
      <c r="E474" s="530"/>
      <c r="F474" s="1342"/>
      <c r="G474" s="1342"/>
      <c r="H474" s="1342"/>
      <c r="I474" s="1342"/>
      <c r="J474" s="1342"/>
      <c r="K474" s="1342"/>
      <c r="L474" s="1342"/>
      <c r="M474" s="1342"/>
      <c r="N474" s="1342"/>
    </row>
    <row r="475" spans="3:14" ht="18.75" customHeight="1">
      <c r="C475" s="900"/>
      <c r="E475" s="528" t="s">
        <v>1265</v>
      </c>
      <c r="F475" s="532"/>
      <c r="G475" s="532"/>
      <c r="H475" s="532"/>
      <c r="I475" s="532"/>
      <c r="J475" s="532"/>
      <c r="K475" s="532"/>
      <c r="L475" s="532"/>
      <c r="M475" s="532"/>
      <c r="N475" s="531"/>
    </row>
    <row r="476" spans="3:14" ht="14.45" customHeight="1">
      <c r="C476" s="900"/>
      <c r="D476" s="530"/>
      <c r="F476" s="555" t="s">
        <v>1266</v>
      </c>
      <c r="G476" s="555"/>
      <c r="H476" s="555"/>
      <c r="I476" s="555"/>
      <c r="J476" s="555"/>
      <c r="K476" s="555"/>
      <c r="L476" s="555"/>
      <c r="M476" s="555"/>
      <c r="N476" s="531"/>
    </row>
    <row r="477" spans="3:14" ht="14.45" customHeight="1">
      <c r="C477" s="900"/>
      <c r="D477" s="431"/>
      <c r="E477" s="431"/>
      <c r="F477" s="431"/>
      <c r="G477" s="431"/>
      <c r="H477" s="431"/>
      <c r="I477" s="431"/>
      <c r="J477" s="431"/>
      <c r="K477" s="431"/>
      <c r="L477" s="431"/>
      <c r="M477" s="431"/>
      <c r="N477" s="431"/>
    </row>
    <row r="478" spans="3:14" ht="14.45" customHeight="1">
      <c r="C478" s="900"/>
      <c r="D478" s="1386"/>
      <c r="E478" s="1343" t="s">
        <v>1014</v>
      </c>
      <c r="F478" s="1366" t="s">
        <v>1081</v>
      </c>
      <c r="G478" s="1366" t="s">
        <v>639</v>
      </c>
      <c r="H478" s="1366" t="s">
        <v>1083</v>
      </c>
      <c r="I478" s="1366" t="s">
        <v>1015</v>
      </c>
      <c r="J478" s="1368" t="s">
        <v>1683</v>
      </c>
      <c r="K478" s="1369"/>
      <c r="L478" s="1369"/>
      <c r="M478" s="1370"/>
    </row>
    <row r="479" spans="3:14" ht="18" customHeight="1">
      <c r="C479" s="900"/>
      <c r="D479" s="1386"/>
      <c r="E479" s="1344"/>
      <c r="F479" s="1367"/>
      <c r="G479" s="1367"/>
      <c r="H479" s="1367"/>
      <c r="I479" s="1367"/>
      <c r="J479" s="438" t="s">
        <v>277</v>
      </c>
      <c r="K479" s="438" t="s">
        <v>278</v>
      </c>
      <c r="L479" s="438" t="s">
        <v>279</v>
      </c>
      <c r="M479" s="439" t="s">
        <v>15</v>
      </c>
    </row>
    <row r="480" spans="3:14" ht="14.45" customHeight="1">
      <c r="C480" s="900"/>
      <c r="D480" s="556"/>
      <c r="E480" s="557" t="s">
        <v>1267</v>
      </c>
      <c r="F480" s="558" t="s">
        <v>1268</v>
      </c>
      <c r="G480" s="559"/>
      <c r="H480" s="457" t="s">
        <v>1106</v>
      </c>
      <c r="I480" s="560"/>
      <c r="J480" s="1371">
        <f>'LBP NO. 2'!M739</f>
        <v>5666060</v>
      </c>
      <c r="K480" s="1374">
        <f>'LBP NO. 2'!M750</f>
        <v>6276932.2000000002</v>
      </c>
      <c r="L480" s="1374">
        <f>'LBP NO. 2'!M756</f>
        <v>120000</v>
      </c>
      <c r="M480" s="1377">
        <f>SUM(J480:L507)</f>
        <v>12062992.199999999</v>
      </c>
    </row>
    <row r="481" spans="3:13" ht="14.45" customHeight="1">
      <c r="C481" s="900"/>
      <c r="D481" s="549"/>
      <c r="E481" s="561"/>
      <c r="F481" s="458"/>
      <c r="G481" s="559"/>
      <c r="H481" s="457"/>
      <c r="I481" s="560"/>
      <c r="J481" s="1372"/>
      <c r="K481" s="1375"/>
      <c r="L481" s="1375"/>
      <c r="M481" s="1378"/>
    </row>
    <row r="482" spans="3:13" ht="34.5" customHeight="1">
      <c r="C482" s="900"/>
      <c r="D482" s="549"/>
      <c r="E482" s="561"/>
      <c r="F482" s="458" t="s">
        <v>296</v>
      </c>
      <c r="G482" s="546" t="s">
        <v>1483</v>
      </c>
      <c r="H482" s="457" t="s">
        <v>1269</v>
      </c>
      <c r="I482" s="546" t="s">
        <v>1484</v>
      </c>
      <c r="J482" s="1372"/>
      <c r="K482" s="1375"/>
      <c r="L482" s="1375"/>
      <c r="M482" s="1378"/>
    </row>
    <row r="483" spans="3:13" ht="12" customHeight="1">
      <c r="C483" s="900"/>
      <c r="D483" s="549"/>
      <c r="E483" s="561"/>
      <c r="F483" s="458"/>
      <c r="G483" s="546"/>
      <c r="H483" s="457"/>
      <c r="I483" s="546"/>
      <c r="J483" s="1372"/>
      <c r="K483" s="1375"/>
      <c r="L483" s="1375"/>
      <c r="M483" s="1378"/>
    </row>
    <row r="484" spans="3:13" ht="14.45" customHeight="1">
      <c r="C484" s="900"/>
      <c r="D484" s="556"/>
      <c r="E484" s="557" t="s">
        <v>1267</v>
      </c>
      <c r="F484" s="562" t="s">
        <v>1270</v>
      </c>
      <c r="G484" s="546"/>
      <c r="H484" s="465"/>
      <c r="I484" s="458"/>
      <c r="J484" s="1372"/>
      <c r="K484" s="1375"/>
      <c r="L484" s="1375"/>
      <c r="M484" s="1378"/>
    </row>
    <row r="485" spans="3:13" ht="53.25" customHeight="1">
      <c r="C485" s="900"/>
      <c r="D485" s="549"/>
      <c r="E485" s="561"/>
      <c r="F485" s="458" t="s">
        <v>1271</v>
      </c>
      <c r="G485" s="546" t="s">
        <v>1272</v>
      </c>
      <c r="H485" s="457" t="s">
        <v>1273</v>
      </c>
      <c r="I485" s="457" t="s">
        <v>1274</v>
      </c>
      <c r="J485" s="1372"/>
      <c r="K485" s="1375"/>
      <c r="L485" s="1375"/>
      <c r="M485" s="1378"/>
    </row>
    <row r="486" spans="3:13" ht="40.5" customHeight="1">
      <c r="C486" s="900"/>
      <c r="D486" s="549"/>
      <c r="E486" s="561"/>
      <c r="F486" s="563" t="s">
        <v>1275</v>
      </c>
      <c r="G486" s="546" t="s">
        <v>1276</v>
      </c>
      <c r="H486" s="457" t="s">
        <v>1277</v>
      </c>
      <c r="I486" s="457" t="s">
        <v>1278</v>
      </c>
      <c r="J486" s="1372"/>
      <c r="K486" s="1375"/>
      <c r="L486" s="1375"/>
      <c r="M486" s="1378"/>
    </row>
    <row r="487" spans="3:13" ht="69.75" customHeight="1">
      <c r="C487" s="900"/>
      <c r="D487" s="556"/>
      <c r="E487" s="557"/>
      <c r="F487" s="458" t="s">
        <v>1279</v>
      </c>
      <c r="G487" s="546" t="s">
        <v>1280</v>
      </c>
      <c r="H487" s="457" t="s">
        <v>1273</v>
      </c>
      <c r="I487" s="457" t="s">
        <v>1274</v>
      </c>
      <c r="J487" s="1372"/>
      <c r="K487" s="1375"/>
      <c r="L487" s="1375"/>
      <c r="M487" s="1378"/>
    </row>
    <row r="488" spans="3:13" ht="36.75" customHeight="1">
      <c r="C488" s="900"/>
      <c r="D488" s="556"/>
      <c r="E488" s="564"/>
      <c r="F488" s="449" t="s">
        <v>1275</v>
      </c>
      <c r="G488" s="448" t="s">
        <v>1276</v>
      </c>
      <c r="H488" s="452" t="s">
        <v>1277</v>
      </c>
      <c r="I488" s="452" t="s">
        <v>1278</v>
      </c>
      <c r="J488" s="1372"/>
      <c r="K488" s="1375"/>
      <c r="L488" s="1375"/>
      <c r="M488" s="1378"/>
    </row>
    <row r="489" spans="3:13" ht="90.75" customHeight="1">
      <c r="C489" s="900"/>
      <c r="D489" s="556"/>
      <c r="E489" s="564"/>
      <c r="F489" s="449" t="s">
        <v>1281</v>
      </c>
      <c r="G489" s="448" t="s">
        <v>1282</v>
      </c>
      <c r="H489" s="466" t="s">
        <v>1283</v>
      </c>
      <c r="I489" s="565" t="s">
        <v>1284</v>
      </c>
      <c r="J489" s="1372"/>
      <c r="K489" s="1375"/>
      <c r="L489" s="1375"/>
      <c r="M489" s="1378"/>
    </row>
    <row r="490" spans="3:13" ht="14.45" customHeight="1">
      <c r="C490" s="900"/>
      <c r="D490" s="556"/>
      <c r="E490" s="566"/>
      <c r="F490" s="567" t="s">
        <v>1285</v>
      </c>
      <c r="G490" s="568"/>
      <c r="H490" s="569"/>
      <c r="I490" s="570"/>
      <c r="J490" s="1372"/>
      <c r="K490" s="1375"/>
      <c r="L490" s="1375"/>
      <c r="M490" s="1378"/>
    </row>
    <row r="491" spans="3:13" ht="66.75" customHeight="1">
      <c r="C491" s="900"/>
      <c r="D491" s="556"/>
      <c r="E491" s="557"/>
      <c r="F491" s="458" t="s">
        <v>1286</v>
      </c>
      <c r="G491" s="546" t="s">
        <v>1287</v>
      </c>
      <c r="H491" s="465" t="s">
        <v>1288</v>
      </c>
      <c r="I491" s="560" t="s">
        <v>1274</v>
      </c>
      <c r="J491" s="1372"/>
      <c r="K491" s="1375"/>
      <c r="L491" s="1375"/>
      <c r="M491" s="1378"/>
    </row>
    <row r="492" spans="3:13" ht="24.75" customHeight="1">
      <c r="C492" s="900"/>
      <c r="D492" s="556"/>
      <c r="E492" s="564"/>
      <c r="F492" s="449"/>
      <c r="G492" s="448"/>
      <c r="H492" s="466"/>
      <c r="I492" s="565"/>
      <c r="J492" s="1372"/>
      <c r="K492" s="1375"/>
      <c r="L492" s="1375"/>
      <c r="M492" s="1378"/>
    </row>
    <row r="493" spans="3:13" ht="14.45" customHeight="1">
      <c r="C493" s="900"/>
      <c r="D493" s="556"/>
      <c r="E493" s="557" t="s">
        <v>1267</v>
      </c>
      <c r="F493" s="567" t="s">
        <v>1289</v>
      </c>
      <c r="G493" s="546"/>
      <c r="H493" s="465"/>
      <c r="I493" s="560"/>
      <c r="J493" s="1372"/>
      <c r="K493" s="1375"/>
      <c r="L493" s="1375"/>
      <c r="M493" s="1378"/>
    </row>
    <row r="494" spans="3:13" ht="80.099999999999994" customHeight="1">
      <c r="C494" s="900"/>
      <c r="D494" s="556"/>
      <c r="E494" s="557"/>
      <c r="F494" s="458" t="s">
        <v>1290</v>
      </c>
      <c r="G494" s="546" t="s">
        <v>1291</v>
      </c>
      <c r="H494" s="465" t="s">
        <v>1292</v>
      </c>
      <c r="I494" s="465" t="s">
        <v>1293</v>
      </c>
      <c r="J494" s="1372"/>
      <c r="K494" s="1375"/>
      <c r="L494" s="1375"/>
      <c r="M494" s="1378"/>
    </row>
    <row r="495" spans="3:13" ht="14.45" customHeight="1">
      <c r="C495" s="1355"/>
      <c r="D495" s="556"/>
      <c r="E495" s="564"/>
      <c r="F495" s="449" t="s">
        <v>1294</v>
      </c>
      <c r="G495" s="448"/>
      <c r="H495" s="466"/>
      <c r="I495" s="466"/>
      <c r="J495" s="1372"/>
      <c r="K495" s="1375"/>
      <c r="L495" s="1375"/>
      <c r="M495" s="1378"/>
    </row>
    <row r="496" spans="3:13" ht="80.099999999999994" customHeight="1">
      <c r="C496" s="1355"/>
      <c r="D496" s="556"/>
      <c r="E496" s="571"/>
      <c r="F496" s="534" t="s">
        <v>1295</v>
      </c>
      <c r="G496" s="572" t="s">
        <v>1296</v>
      </c>
      <c r="H496" s="573" t="s">
        <v>1297</v>
      </c>
      <c r="I496" s="573" t="s">
        <v>1298</v>
      </c>
      <c r="J496" s="1372"/>
      <c r="K496" s="1375"/>
      <c r="L496" s="1375"/>
      <c r="M496" s="1378"/>
    </row>
    <row r="497" spans="3:14" ht="80.099999999999994" customHeight="1">
      <c r="C497" s="1355"/>
      <c r="D497" s="556"/>
      <c r="E497" s="557"/>
      <c r="F497" s="458" t="s">
        <v>1299</v>
      </c>
      <c r="G497" s="546" t="s">
        <v>1300</v>
      </c>
      <c r="H497" s="465" t="s">
        <v>1301</v>
      </c>
      <c r="I497" s="560" t="s">
        <v>1274</v>
      </c>
      <c r="J497" s="1372"/>
      <c r="K497" s="1375"/>
      <c r="L497" s="1375"/>
      <c r="M497" s="1378"/>
    </row>
    <row r="498" spans="3:14" ht="14.45" customHeight="1">
      <c r="C498" s="1355"/>
      <c r="D498" s="556"/>
      <c r="E498" s="564"/>
      <c r="F498" s="449"/>
      <c r="G498" s="448" t="s">
        <v>1276</v>
      </c>
      <c r="H498" s="466"/>
      <c r="I498" s="565"/>
      <c r="J498" s="1372"/>
      <c r="K498" s="1375"/>
      <c r="L498" s="1375"/>
      <c r="M498" s="1378"/>
    </row>
    <row r="499" spans="3:14" ht="14.45" customHeight="1">
      <c r="C499" s="1355"/>
      <c r="D499" s="556"/>
      <c r="E499" s="557" t="s">
        <v>1267</v>
      </c>
      <c r="F499" s="567" t="s">
        <v>1302</v>
      </c>
      <c r="G499" s="546"/>
      <c r="H499" s="465"/>
      <c r="I499" s="560"/>
      <c r="J499" s="1372"/>
      <c r="K499" s="1375"/>
      <c r="L499" s="1375"/>
      <c r="M499" s="1378"/>
    </row>
    <row r="500" spans="3:14" ht="19.5" customHeight="1">
      <c r="C500" s="1355"/>
      <c r="D500" s="556"/>
      <c r="E500" s="557"/>
      <c r="F500" s="458" t="s">
        <v>1303</v>
      </c>
      <c r="G500" s="546"/>
      <c r="H500" s="465"/>
      <c r="I500" s="560"/>
      <c r="J500" s="1372"/>
      <c r="K500" s="1375"/>
      <c r="L500" s="1375"/>
      <c r="M500" s="1378"/>
    </row>
    <row r="501" spans="3:14" ht="69.75" customHeight="1">
      <c r="C501" s="1355"/>
      <c r="D501" s="556"/>
      <c r="E501" s="564"/>
      <c r="F501" s="449" t="s">
        <v>1304</v>
      </c>
      <c r="G501" s="448" t="s">
        <v>1305</v>
      </c>
      <c r="H501" s="466" t="s">
        <v>1306</v>
      </c>
      <c r="I501" s="466" t="s">
        <v>1307</v>
      </c>
      <c r="J501" s="1372"/>
      <c r="K501" s="1375"/>
      <c r="L501" s="1375"/>
      <c r="M501" s="1378"/>
    </row>
    <row r="502" spans="3:14" ht="80.099999999999994" customHeight="1">
      <c r="C502" s="1355"/>
      <c r="D502" s="556"/>
      <c r="E502" s="564"/>
      <c r="F502" s="573" t="s">
        <v>1308</v>
      </c>
      <c r="G502" s="572" t="s">
        <v>1309</v>
      </c>
      <c r="H502" s="573" t="s">
        <v>1310</v>
      </c>
      <c r="I502" s="573" t="s">
        <v>1311</v>
      </c>
      <c r="J502" s="1372"/>
      <c r="K502" s="1375"/>
      <c r="L502" s="1375"/>
      <c r="M502" s="1378"/>
    </row>
    <row r="503" spans="3:14" ht="80.099999999999994" customHeight="1">
      <c r="C503" s="1355"/>
      <c r="D503" s="549"/>
      <c r="E503" s="574"/>
      <c r="F503" s="573" t="s">
        <v>1312</v>
      </c>
      <c r="G503" s="572" t="s">
        <v>1313</v>
      </c>
      <c r="H503" s="573" t="s">
        <v>1314</v>
      </c>
      <c r="I503" s="573" t="s">
        <v>1315</v>
      </c>
      <c r="J503" s="1372"/>
      <c r="K503" s="1375"/>
      <c r="L503" s="1375"/>
      <c r="M503" s="1378"/>
    </row>
    <row r="504" spans="3:14" ht="60" customHeight="1">
      <c r="C504" s="1355"/>
      <c r="D504" s="549"/>
      <c r="E504" s="574"/>
      <c r="F504" s="573" t="s">
        <v>1316</v>
      </c>
      <c r="G504" s="572" t="s">
        <v>1317</v>
      </c>
      <c r="H504" s="573" t="s">
        <v>1318</v>
      </c>
      <c r="I504" s="573" t="s">
        <v>1274</v>
      </c>
      <c r="J504" s="1372"/>
      <c r="K504" s="1375"/>
      <c r="L504" s="1375"/>
      <c r="M504" s="1378"/>
    </row>
    <row r="505" spans="3:14" ht="14.45" customHeight="1">
      <c r="C505" s="1355"/>
      <c r="D505" s="556"/>
      <c r="E505" s="557" t="s">
        <v>1267</v>
      </c>
      <c r="F505" s="575" t="s">
        <v>1319</v>
      </c>
      <c r="G505" s="546"/>
      <c r="H505" s="465"/>
      <c r="I505" s="465"/>
      <c r="J505" s="1372"/>
      <c r="K505" s="1375"/>
      <c r="L505" s="1375"/>
      <c r="M505" s="1378"/>
    </row>
    <row r="506" spans="3:14" ht="60" customHeight="1">
      <c r="C506" s="1355"/>
      <c r="D506" s="549"/>
      <c r="E506" s="576"/>
      <c r="F506" s="466" t="s">
        <v>1320</v>
      </c>
      <c r="G506" s="448" t="s">
        <v>1321</v>
      </c>
      <c r="H506" s="466" t="s">
        <v>1322</v>
      </c>
      <c r="I506" s="466" t="s">
        <v>1323</v>
      </c>
      <c r="J506" s="1372"/>
      <c r="K506" s="1375"/>
      <c r="L506" s="1375"/>
      <c r="M506" s="1378"/>
    </row>
    <row r="507" spans="3:14" ht="80.099999999999994" customHeight="1">
      <c r="C507" s="1355"/>
      <c r="D507" s="540"/>
      <c r="E507" s="577" t="s">
        <v>1267</v>
      </c>
      <c r="F507" s="575" t="s">
        <v>1324</v>
      </c>
      <c r="G507" s="546"/>
      <c r="H507" s="465" t="s">
        <v>1325</v>
      </c>
      <c r="I507" s="465"/>
      <c r="J507" s="1372"/>
      <c r="K507" s="1375"/>
      <c r="L507" s="1375"/>
      <c r="M507" s="1378"/>
    </row>
    <row r="508" spans="3:14" ht="80.099999999999994" customHeight="1">
      <c r="C508" s="1355"/>
      <c r="D508" s="549"/>
      <c r="E508" s="561"/>
      <c r="F508" s="465" t="s">
        <v>1326</v>
      </c>
      <c r="G508" s="457"/>
      <c r="H508" s="465"/>
      <c r="I508" s="465"/>
      <c r="J508" s="1373"/>
      <c r="K508" s="1376"/>
      <c r="L508" s="1376"/>
      <c r="M508" s="1379"/>
    </row>
    <row r="509" spans="3:14" ht="20.100000000000001" customHeight="1" thickBot="1">
      <c r="C509" s="1355"/>
      <c r="D509" s="549"/>
      <c r="E509" s="578"/>
      <c r="F509" s="579"/>
      <c r="G509" s="580"/>
      <c r="H509" s="572"/>
      <c r="I509" s="581"/>
      <c r="J509" s="582">
        <f>SUM(J480:J508)</f>
        <v>5666060</v>
      </c>
      <c r="K509" s="583">
        <f>SUM(K480:K508)</f>
        <v>6276932.2000000002</v>
      </c>
      <c r="L509" s="583">
        <f>SUM(L480:L508)</f>
        <v>120000</v>
      </c>
      <c r="M509" s="584">
        <f>SUM(M480:M508)</f>
        <v>12062992.199999999</v>
      </c>
      <c r="N509" s="585"/>
    </row>
    <row r="510" spans="3:14" ht="14.45" customHeight="1" thickTop="1">
      <c r="C510" s="1355"/>
      <c r="D510" s="549"/>
      <c r="E510" s="549"/>
      <c r="F510" s="549"/>
      <c r="G510" s="456"/>
      <c r="H510" s="546"/>
      <c r="I510" s="456"/>
      <c r="J510" s="456"/>
      <c r="K510" s="585"/>
      <c r="L510" s="585"/>
      <c r="M510" s="585"/>
      <c r="N510" s="585"/>
    </row>
    <row r="511" spans="3:14" ht="14.45" customHeight="1">
      <c r="C511" s="1355"/>
      <c r="D511" s="549"/>
      <c r="E511" s="549"/>
      <c r="F511" s="549"/>
      <c r="G511" s="456"/>
      <c r="H511" s="546"/>
      <c r="I511" s="456"/>
      <c r="J511" s="456"/>
      <c r="K511" s="585"/>
      <c r="L511" s="585"/>
      <c r="M511" s="585"/>
      <c r="N511" s="585"/>
    </row>
    <row r="512" spans="3:14" ht="14.45" customHeight="1" thickTop="1">
      <c r="C512" s="1337"/>
      <c r="E512" s="431" t="s">
        <v>1044</v>
      </c>
      <c r="F512" s="431"/>
      <c r="G512" s="469" t="s">
        <v>1045</v>
      </c>
      <c r="I512" s="469"/>
      <c r="J512" s="469"/>
      <c r="K512" s="468"/>
      <c r="L512" s="468"/>
      <c r="M512" s="468"/>
      <c r="N512" s="468"/>
    </row>
    <row r="513" spans="3:14" ht="14.45" customHeight="1">
      <c r="C513" s="1355"/>
      <c r="E513" s="431"/>
      <c r="F513" s="431"/>
      <c r="G513" s="431"/>
      <c r="H513" s="431"/>
      <c r="I513" s="431"/>
      <c r="J513" s="431"/>
      <c r="K513" s="431"/>
      <c r="L513" s="431"/>
      <c r="M513" s="431"/>
      <c r="N513" s="431"/>
    </row>
    <row r="514" spans="3:14" ht="14.45" customHeight="1">
      <c r="C514" s="1355"/>
      <c r="E514" s="1380" t="s">
        <v>432</v>
      </c>
      <c r="F514" s="1380"/>
      <c r="G514" s="1381" t="s">
        <v>254</v>
      </c>
      <c r="H514" s="1381"/>
      <c r="I514" s="1382" t="s">
        <v>17</v>
      </c>
      <c r="J514" s="1382"/>
      <c r="L514" s="1333" t="s">
        <v>88</v>
      </c>
      <c r="M514" s="1333"/>
    </row>
    <row r="515" spans="3:14" ht="14.45" customHeight="1">
      <c r="C515" s="1355"/>
      <c r="E515" s="1383" t="s">
        <v>863</v>
      </c>
      <c r="F515" s="1383"/>
      <c r="G515" s="1384" t="s">
        <v>13</v>
      </c>
      <c r="H515" s="1384"/>
      <c r="I515" s="1385" t="s">
        <v>18</v>
      </c>
      <c r="J515" s="1385"/>
      <c r="L515" s="1334" t="s">
        <v>1000</v>
      </c>
      <c r="M515" s="1334"/>
    </row>
    <row r="516" spans="3:14" ht="14.45" customHeight="1">
      <c r="C516" s="1355"/>
      <c r="E516" s="472" t="s">
        <v>258</v>
      </c>
      <c r="F516" s="472"/>
      <c r="G516" s="431"/>
      <c r="H516" s="431"/>
      <c r="I516" s="431"/>
      <c r="J516" s="473"/>
      <c r="K516" s="431"/>
      <c r="L516" s="431"/>
      <c r="M516" s="473"/>
      <c r="N516" s="431"/>
    </row>
    <row r="517" spans="3:14" ht="14.45" customHeight="1">
      <c r="C517" s="1355"/>
      <c r="E517" s="474"/>
      <c r="F517" s="474"/>
      <c r="G517" s="431"/>
      <c r="H517" s="431"/>
      <c r="I517" s="431"/>
      <c r="J517" s="475"/>
      <c r="K517" s="431"/>
      <c r="L517" s="431"/>
      <c r="M517" s="475"/>
      <c r="N517" s="431"/>
    </row>
    <row r="518" spans="3:14" ht="14.45" customHeight="1">
      <c r="C518" s="1355"/>
      <c r="E518" s="1333" t="s">
        <v>1456</v>
      </c>
      <c r="F518" s="1333"/>
      <c r="G518" s="477"/>
      <c r="H518" s="477"/>
      <c r="I518" s="478"/>
      <c r="J518" s="478"/>
      <c r="K518" s="553"/>
      <c r="L518" s="474"/>
      <c r="M518" s="472"/>
      <c r="N518" s="472"/>
    </row>
    <row r="519" spans="3:14" ht="14.45" customHeight="1">
      <c r="C519" s="1355"/>
      <c r="E519" s="1334" t="s">
        <v>14</v>
      </c>
      <c r="F519" s="1334"/>
      <c r="G519" s="479"/>
      <c r="H519" s="479"/>
      <c r="I519" s="480"/>
      <c r="J519" s="478"/>
      <c r="K519" s="553"/>
      <c r="L519" s="474"/>
      <c r="M519" s="476"/>
      <c r="N519" s="472"/>
    </row>
    <row r="520" spans="3:14" ht="14.45" customHeight="1">
      <c r="E520" s="471"/>
      <c r="F520" s="471"/>
      <c r="G520" s="479"/>
      <c r="H520" s="479"/>
      <c r="I520" s="480"/>
      <c r="J520" s="478"/>
      <c r="K520" s="553"/>
      <c r="L520" s="474"/>
      <c r="M520" s="476"/>
      <c r="N520" s="472"/>
    </row>
    <row r="521" spans="3:14" ht="14.45" customHeight="1">
      <c r="E521" s="471"/>
      <c r="F521" s="471"/>
      <c r="G521" s="479"/>
      <c r="H521" s="479"/>
      <c r="I521" s="480"/>
      <c r="J521" s="478"/>
      <c r="K521" s="553"/>
      <c r="L521" s="474"/>
      <c r="M521" s="476"/>
      <c r="N521" s="472"/>
    </row>
    <row r="522" spans="3:14" ht="14.45" customHeight="1">
      <c r="E522" s="471"/>
      <c r="F522" s="471"/>
      <c r="G522" s="479"/>
      <c r="H522" s="479"/>
      <c r="I522" s="480"/>
      <c r="J522" s="478"/>
      <c r="K522" s="553"/>
      <c r="L522" s="474"/>
      <c r="M522" s="476"/>
      <c r="N522" s="472"/>
    </row>
    <row r="523" spans="3:14" ht="14.45" customHeight="1">
      <c r="E523" s="471"/>
      <c r="F523" s="471"/>
      <c r="G523" s="479"/>
      <c r="H523" s="479"/>
      <c r="I523" s="480"/>
      <c r="J523" s="478"/>
      <c r="K523" s="553"/>
      <c r="L523" s="474"/>
      <c r="M523" s="476"/>
      <c r="N523" s="472"/>
    </row>
    <row r="524" spans="3:14" ht="14.45" customHeight="1">
      <c r="E524" s="471"/>
      <c r="F524" s="471"/>
      <c r="G524" s="479"/>
      <c r="H524" s="479"/>
      <c r="I524" s="480"/>
      <c r="J524" s="478"/>
      <c r="K524" s="553"/>
      <c r="L524" s="474"/>
      <c r="M524" s="476"/>
      <c r="N524" s="472"/>
    </row>
    <row r="525" spans="3:14" ht="14.45" customHeight="1">
      <c r="E525" s="471"/>
      <c r="F525" s="471"/>
      <c r="G525" s="479"/>
      <c r="H525" s="479"/>
      <c r="I525" s="480"/>
      <c r="J525" s="478"/>
      <c r="K525" s="553"/>
      <c r="L525" s="474"/>
      <c r="M525" s="476"/>
      <c r="N525" s="472"/>
    </row>
    <row r="526" spans="3:14" ht="14.45" customHeight="1">
      <c r="E526" s="471"/>
      <c r="F526" s="471"/>
      <c r="G526" s="479"/>
      <c r="H526" s="479"/>
      <c r="I526" s="480"/>
      <c r="J526" s="478"/>
      <c r="K526" s="553"/>
      <c r="L526" s="474"/>
      <c r="M526" s="476"/>
      <c r="N526" s="472"/>
    </row>
    <row r="527" spans="3:14" ht="14.45" customHeight="1">
      <c r="E527" s="471"/>
      <c r="F527" s="471"/>
      <c r="G527" s="479"/>
      <c r="H527" s="479"/>
      <c r="I527" s="480"/>
      <c r="J527" s="478"/>
      <c r="K527" s="553"/>
      <c r="L527" s="474"/>
      <c r="M527" s="476"/>
      <c r="N527" s="472"/>
    </row>
    <row r="528" spans="3:14" ht="14.45" customHeight="1">
      <c r="E528" s="471"/>
      <c r="F528" s="471"/>
      <c r="G528" s="479"/>
      <c r="H528" s="479"/>
      <c r="I528" s="480"/>
      <c r="J528" s="478"/>
      <c r="K528" s="553"/>
      <c r="L528" s="474"/>
      <c r="M528" s="476"/>
      <c r="N528" s="472"/>
    </row>
    <row r="529" spans="5:14" ht="14.45" customHeight="1">
      <c r="E529" s="471"/>
      <c r="F529" s="471"/>
      <c r="G529" s="479"/>
      <c r="H529" s="479"/>
      <c r="I529" s="480"/>
      <c r="J529" s="478"/>
      <c r="K529" s="553"/>
      <c r="L529" s="474"/>
      <c r="M529" s="476"/>
      <c r="N529" s="472"/>
    </row>
    <row r="530" spans="5:14" ht="14.45" customHeight="1">
      <c r="E530" s="471"/>
      <c r="F530" s="471"/>
      <c r="G530" s="479"/>
      <c r="H530" s="479"/>
      <c r="I530" s="480"/>
      <c r="J530" s="478"/>
      <c r="K530" s="553"/>
      <c r="L530" s="474"/>
      <c r="M530" s="476"/>
      <c r="N530" s="472"/>
    </row>
    <row r="531" spans="5:14" ht="14.45" customHeight="1">
      <c r="E531" s="471"/>
      <c r="F531" s="471"/>
      <c r="G531" s="479"/>
      <c r="H531" s="479"/>
      <c r="I531" s="480"/>
      <c r="J531" s="478"/>
      <c r="K531" s="553"/>
      <c r="L531" s="474"/>
      <c r="M531" s="476"/>
      <c r="N531" s="472"/>
    </row>
    <row r="532" spans="5:14" ht="14.45" customHeight="1">
      <c r="E532" s="471"/>
      <c r="F532" s="471"/>
      <c r="G532" s="479"/>
      <c r="H532" s="479"/>
      <c r="I532" s="480"/>
      <c r="J532" s="478"/>
      <c r="K532" s="553"/>
      <c r="L532" s="474"/>
      <c r="M532" s="476"/>
      <c r="N532" s="472"/>
    </row>
    <row r="533" spans="5:14" ht="14.45" customHeight="1">
      <c r="E533" s="471"/>
      <c r="F533" s="471"/>
      <c r="G533" s="479"/>
      <c r="H533" s="479"/>
      <c r="I533" s="480"/>
      <c r="J533" s="478"/>
      <c r="K533" s="553"/>
      <c r="L533" s="474"/>
      <c r="M533" s="476"/>
      <c r="N533" s="472"/>
    </row>
    <row r="534" spans="5:14" ht="14.45" customHeight="1">
      <c r="E534" s="471"/>
      <c r="F534" s="471"/>
      <c r="G534" s="479"/>
      <c r="H534" s="479"/>
      <c r="I534" s="480"/>
      <c r="J534" s="478"/>
      <c r="K534" s="553"/>
      <c r="L534" s="474"/>
      <c r="M534" s="476"/>
      <c r="N534" s="472"/>
    </row>
    <row r="535" spans="5:14" ht="14.45" customHeight="1">
      <c r="E535" s="471"/>
      <c r="F535" s="471"/>
      <c r="G535" s="479"/>
      <c r="H535" s="479"/>
      <c r="I535" s="480"/>
      <c r="J535" s="478"/>
      <c r="K535" s="553"/>
      <c r="L535" s="474"/>
      <c r="M535" s="476"/>
      <c r="N535" s="472"/>
    </row>
    <row r="536" spans="5:14" ht="14.45" customHeight="1">
      <c r="E536" s="471"/>
      <c r="F536" s="471"/>
      <c r="G536" s="479"/>
      <c r="H536" s="479"/>
      <c r="I536" s="480"/>
      <c r="J536" s="478"/>
      <c r="K536" s="553"/>
      <c r="L536" s="474"/>
      <c r="M536" s="476"/>
      <c r="N536" s="472"/>
    </row>
    <row r="537" spans="5:14" ht="14.45" customHeight="1">
      <c r="E537" s="471"/>
      <c r="F537" s="471"/>
      <c r="G537" s="479"/>
      <c r="H537" s="479"/>
      <c r="I537" s="480"/>
      <c r="J537" s="478"/>
      <c r="K537" s="553"/>
      <c r="L537" s="474"/>
      <c r="M537" s="476"/>
      <c r="N537" s="472"/>
    </row>
    <row r="538" spans="5:14" ht="14.45" customHeight="1">
      <c r="E538" s="471"/>
      <c r="F538" s="471"/>
      <c r="G538" s="479"/>
      <c r="H538" s="479"/>
      <c r="I538" s="480"/>
      <c r="J538" s="478"/>
      <c r="K538" s="553"/>
      <c r="L538" s="474"/>
      <c r="M538" s="476"/>
      <c r="N538" s="472"/>
    </row>
    <row r="539" spans="5:14" ht="14.45" customHeight="1">
      <c r="E539" s="471"/>
      <c r="F539" s="471"/>
      <c r="G539" s="479"/>
      <c r="H539" s="479"/>
      <c r="I539" s="480"/>
      <c r="J539" s="478"/>
      <c r="K539" s="553"/>
      <c r="L539" s="474"/>
      <c r="M539" s="476"/>
      <c r="N539" s="472"/>
    </row>
    <row r="540" spans="5:14" ht="14.45" customHeight="1">
      <c r="E540" s="471"/>
      <c r="F540" s="471"/>
      <c r="G540" s="479"/>
      <c r="H540" s="479"/>
      <c r="I540" s="480"/>
      <c r="J540" s="478"/>
      <c r="K540" s="553"/>
      <c r="L540" s="474"/>
      <c r="M540" s="476"/>
      <c r="N540" s="472"/>
    </row>
    <row r="541" spans="5:14" ht="14.45" customHeight="1">
      <c r="E541" s="471"/>
      <c r="F541" s="471"/>
      <c r="G541" s="479"/>
      <c r="H541" s="479"/>
      <c r="I541" s="480"/>
      <c r="J541" s="478"/>
      <c r="K541" s="553"/>
      <c r="L541" s="474"/>
      <c r="M541" s="476"/>
      <c r="N541" s="472"/>
    </row>
    <row r="542" spans="5:14" ht="14.45" customHeight="1">
      <c r="E542" s="471"/>
      <c r="F542" s="471"/>
      <c r="G542" s="479"/>
      <c r="H542" s="479"/>
      <c r="I542" s="480"/>
      <c r="J542" s="478"/>
      <c r="K542" s="553"/>
      <c r="L542" s="474"/>
      <c r="M542" s="476"/>
      <c r="N542" s="472"/>
    </row>
    <row r="543" spans="5:14" ht="14.45" customHeight="1">
      <c r="E543" s="471"/>
      <c r="F543" s="471"/>
      <c r="G543" s="479"/>
      <c r="H543" s="479"/>
      <c r="I543" s="480"/>
      <c r="J543" s="478"/>
      <c r="K543" s="553"/>
      <c r="L543" s="474"/>
      <c r="M543" s="476"/>
      <c r="N543" s="472"/>
    </row>
    <row r="544" spans="5:14" ht="14.45" customHeight="1">
      <c r="E544" s="471"/>
      <c r="F544" s="471"/>
      <c r="G544" s="479"/>
      <c r="H544" s="479"/>
      <c r="I544" s="480"/>
      <c r="J544" s="478"/>
      <c r="K544" s="553"/>
      <c r="L544" s="474"/>
      <c r="M544" s="476"/>
      <c r="N544" s="472"/>
    </row>
    <row r="545" spans="3:14" ht="14.45" customHeight="1">
      <c r="E545" s="471"/>
      <c r="F545" s="471"/>
      <c r="G545" s="479"/>
      <c r="H545" s="479"/>
      <c r="I545" s="480"/>
      <c r="J545" s="478"/>
      <c r="K545" s="553"/>
      <c r="L545" s="474"/>
      <c r="M545" s="476"/>
      <c r="N545" s="472"/>
    </row>
    <row r="546" spans="3:14" ht="14.45" customHeight="1">
      <c r="E546" s="471"/>
      <c r="F546" s="471"/>
      <c r="G546" s="479"/>
      <c r="H546" s="479"/>
      <c r="I546" s="480"/>
      <c r="J546" s="478"/>
      <c r="K546" s="553"/>
      <c r="L546" s="474"/>
      <c r="M546" s="476"/>
      <c r="N546" s="472"/>
    </row>
    <row r="547" spans="3:14" ht="14.45" customHeight="1">
      <c r="E547" s="471"/>
      <c r="F547" s="471"/>
      <c r="G547" s="479"/>
      <c r="H547" s="479"/>
      <c r="I547" s="480"/>
      <c r="J547" s="478"/>
      <c r="K547" s="553"/>
      <c r="L547" s="474"/>
      <c r="M547" s="476"/>
      <c r="N547" s="472"/>
    </row>
    <row r="548" spans="3:14" ht="14.45" customHeight="1">
      <c r="E548" s="471"/>
      <c r="F548" s="471"/>
      <c r="G548" s="479"/>
      <c r="H548" s="479"/>
      <c r="I548" s="480"/>
      <c r="J548" s="478"/>
      <c r="K548" s="553"/>
      <c r="L548" s="474"/>
      <c r="M548" s="476"/>
      <c r="N548" s="472"/>
    </row>
    <row r="549" spans="3:14" ht="14.45" customHeight="1">
      <c r="E549" s="471"/>
      <c r="F549" s="471"/>
      <c r="G549" s="479"/>
      <c r="H549" s="479"/>
      <c r="I549" s="480"/>
      <c r="J549" s="478"/>
      <c r="K549" s="553"/>
      <c r="L549" s="474"/>
      <c r="M549" s="476"/>
      <c r="N549" s="472"/>
    </row>
    <row r="550" spans="3:14" ht="14.45" customHeight="1">
      <c r="E550" s="471"/>
      <c r="F550" s="471"/>
      <c r="G550" s="479"/>
      <c r="H550" s="479"/>
      <c r="I550" s="480"/>
      <c r="J550" s="478"/>
      <c r="K550" s="553"/>
      <c r="L550" s="474"/>
      <c r="M550" s="476"/>
      <c r="N550" s="472"/>
    </row>
    <row r="551" spans="3:14" ht="14.45" customHeight="1">
      <c r="E551" s="471"/>
      <c r="F551" s="471"/>
      <c r="G551" s="479"/>
      <c r="H551" s="479"/>
      <c r="I551" s="480"/>
      <c r="J551" s="478"/>
      <c r="K551" s="553"/>
      <c r="L551" s="474"/>
      <c r="M551" s="476"/>
      <c r="N551" s="472"/>
    </row>
    <row r="552" spans="3:14" ht="14.45" customHeight="1">
      <c r="E552" s="471"/>
      <c r="F552" s="471"/>
      <c r="G552" s="479"/>
      <c r="H552" s="479"/>
      <c r="I552" s="480"/>
      <c r="J552" s="478"/>
      <c r="K552" s="553"/>
      <c r="L552" s="474"/>
      <c r="M552" s="476"/>
      <c r="N552" s="472"/>
    </row>
    <row r="553" spans="3:14" ht="14.45" customHeight="1">
      <c r="E553" s="471"/>
      <c r="F553" s="471"/>
      <c r="G553" s="479"/>
      <c r="H553" s="479"/>
      <c r="I553" s="480"/>
      <c r="J553" s="478"/>
      <c r="K553" s="553"/>
      <c r="L553" s="474"/>
      <c r="M553" s="476"/>
      <c r="N553" s="472"/>
    </row>
    <row r="554" spans="3:14" ht="14.45" customHeight="1">
      <c r="E554" s="471"/>
      <c r="F554" s="471"/>
      <c r="G554" s="479"/>
      <c r="H554" s="479"/>
      <c r="I554" s="480"/>
      <c r="J554" s="478"/>
      <c r="K554" s="553"/>
      <c r="L554" s="474"/>
      <c r="M554" s="476"/>
      <c r="N554" s="472"/>
    </row>
    <row r="555" spans="3:14" ht="14.45" customHeight="1">
      <c r="E555" s="471"/>
      <c r="F555" s="471"/>
      <c r="G555" s="479"/>
      <c r="H555" s="479"/>
      <c r="I555" s="480"/>
      <c r="J555" s="478"/>
      <c r="K555" s="553"/>
      <c r="L555" s="474"/>
      <c r="M555" s="476"/>
      <c r="N555" s="472"/>
    </row>
    <row r="556" spans="3:14" ht="15.95" customHeight="1">
      <c r="E556" s="471"/>
      <c r="F556" s="471"/>
      <c r="G556" s="479"/>
      <c r="H556" s="479"/>
      <c r="I556" s="480"/>
      <c r="J556" s="478"/>
      <c r="K556" s="553"/>
      <c r="L556" s="474"/>
      <c r="M556" s="476"/>
      <c r="N556" s="472"/>
    </row>
    <row r="557" spans="3:14" ht="14.45" customHeight="1">
      <c r="C557" s="899"/>
      <c r="D557" s="383"/>
      <c r="F557" s="1340" t="s">
        <v>1677</v>
      </c>
      <c r="G557" s="1340"/>
      <c r="H557" s="1340"/>
      <c r="I557" s="1340"/>
      <c r="J557" s="1340"/>
      <c r="K557" s="1340"/>
      <c r="L557" s="1340"/>
      <c r="M557" s="358"/>
    </row>
    <row r="558" spans="3:14" ht="14.45" customHeight="1">
      <c r="C558" s="899"/>
      <c r="E558" s="1341" t="s">
        <v>178</v>
      </c>
      <c r="F558" s="1341"/>
      <c r="G558" s="1341"/>
      <c r="H558" s="1341"/>
      <c r="I558" s="1341"/>
      <c r="J558" s="1341"/>
      <c r="K558" s="1341"/>
      <c r="L558" s="1341"/>
      <c r="M558" s="1341"/>
    </row>
    <row r="559" spans="3:14" ht="14.45" customHeight="1">
      <c r="C559" s="899"/>
      <c r="E559" s="1151"/>
      <c r="F559" s="1151"/>
      <c r="G559" s="1151"/>
      <c r="H559" s="1151"/>
      <c r="I559" s="1151"/>
      <c r="J559" s="1151"/>
      <c r="K559" s="1151"/>
      <c r="L559" s="1151"/>
      <c r="M559" s="1151"/>
    </row>
    <row r="560" spans="3:14" ht="14.45" customHeight="1">
      <c r="C560" s="899"/>
      <c r="E560" s="356" t="s">
        <v>1005</v>
      </c>
      <c r="F560" s="360" t="s">
        <v>1327</v>
      </c>
    </row>
    <row r="561" spans="3:13" ht="14.45" customHeight="1">
      <c r="C561" s="899"/>
      <c r="E561" s="356" t="s">
        <v>1007</v>
      </c>
      <c r="F561" s="361" t="s">
        <v>1328</v>
      </c>
    </row>
    <row r="562" spans="3:13" ht="14.45" customHeight="1">
      <c r="C562" s="899"/>
      <c r="E562" s="356" t="s">
        <v>1009</v>
      </c>
      <c r="F562" s="1363" t="s">
        <v>1329</v>
      </c>
      <c r="G562" s="1363"/>
      <c r="H562" s="1363"/>
      <c r="I562" s="1363"/>
      <c r="J562" s="1363"/>
      <c r="K562" s="1363"/>
      <c r="L562" s="1363"/>
      <c r="M562" s="1363"/>
    </row>
    <row r="563" spans="3:13" ht="14.45" customHeight="1">
      <c r="C563" s="899"/>
      <c r="E563" s="356" t="s">
        <v>1011</v>
      </c>
      <c r="F563" s="1363" t="s">
        <v>1330</v>
      </c>
      <c r="G563" s="1363"/>
      <c r="H563" s="1363"/>
      <c r="I563" s="1363"/>
      <c r="J563" s="1363"/>
      <c r="K563" s="1363"/>
      <c r="L563" s="1363"/>
      <c r="M563" s="1363"/>
    </row>
    <row r="564" spans="3:13" ht="14.45" customHeight="1">
      <c r="C564" s="899"/>
      <c r="E564" s="364" t="s">
        <v>1331</v>
      </c>
      <c r="F564" s="364"/>
      <c r="G564" s="364"/>
      <c r="H564" s="364"/>
      <c r="I564" s="364"/>
      <c r="J564" s="364"/>
      <c r="K564" s="364"/>
      <c r="L564" s="364"/>
      <c r="M564" s="364"/>
    </row>
    <row r="565" spans="3:13" ht="14.45" customHeight="1">
      <c r="C565" s="899"/>
      <c r="E565" s="1343" t="s">
        <v>1014</v>
      </c>
      <c r="F565" s="520" t="s">
        <v>637</v>
      </c>
      <c r="G565" s="1345" t="s">
        <v>639</v>
      </c>
      <c r="H565" s="365" t="s">
        <v>640</v>
      </c>
      <c r="I565" s="1343" t="s">
        <v>1015</v>
      </c>
      <c r="J565" s="1347" t="s">
        <v>1678</v>
      </c>
      <c r="K565" s="1347"/>
      <c r="L565" s="1347"/>
      <c r="M565" s="1348"/>
    </row>
    <row r="566" spans="3:13" ht="14.45" customHeight="1">
      <c r="C566" s="899"/>
      <c r="E566" s="1364"/>
      <c r="F566" s="586" t="s">
        <v>638</v>
      </c>
      <c r="G566" s="1365"/>
      <c r="H566" s="366" t="s">
        <v>641</v>
      </c>
      <c r="I566" s="1364"/>
      <c r="J566" s="518" t="s">
        <v>277</v>
      </c>
      <c r="K566" s="519" t="s">
        <v>278</v>
      </c>
      <c r="L566" s="365" t="s">
        <v>279</v>
      </c>
      <c r="M566" s="520" t="s">
        <v>15</v>
      </c>
    </row>
    <row r="567" spans="3:13" ht="14.45" customHeight="1">
      <c r="C567" s="899"/>
      <c r="E567" s="523" t="s">
        <v>1332</v>
      </c>
      <c r="F567" s="502" t="s">
        <v>1333</v>
      </c>
      <c r="G567" s="401" t="s">
        <v>1334</v>
      </c>
      <c r="H567" s="401"/>
      <c r="I567" s="1358" t="s">
        <v>1072</v>
      </c>
      <c r="J567" s="1349">
        <f>'LBP NO. 2'!M809+'LBP NO. 2'!M873</f>
        <v>13332945</v>
      </c>
      <c r="K567" s="1349">
        <f>'LBP NO. 2'!M820+'LBP NO. 2'!M881</f>
        <v>10929446</v>
      </c>
      <c r="L567" s="1349">
        <f>'LBP NO. 2'!M825+'LBP NO. 2'!M886</f>
        <v>590000</v>
      </c>
      <c r="M567" s="1349">
        <f>SUM(J567:L599)</f>
        <v>24852391</v>
      </c>
    </row>
    <row r="568" spans="3:13" ht="49.5" customHeight="1">
      <c r="C568" s="899"/>
      <c r="E568" s="587"/>
      <c r="F568" s="507" t="s">
        <v>1335</v>
      </c>
      <c r="G568" s="403"/>
      <c r="H568" s="403" t="s">
        <v>1336</v>
      </c>
      <c r="I568" s="1352"/>
      <c r="J568" s="1350"/>
      <c r="K568" s="1350"/>
      <c r="L568" s="1350"/>
      <c r="M568" s="1350"/>
    </row>
    <row r="569" spans="3:13" ht="34.5" customHeight="1">
      <c r="C569" s="899"/>
      <c r="E569" s="587"/>
      <c r="F569" s="507" t="s">
        <v>1337</v>
      </c>
      <c r="G569" s="403"/>
      <c r="H569" s="403" t="s">
        <v>1338</v>
      </c>
      <c r="I569" s="1352"/>
      <c r="J569" s="1350"/>
      <c r="K569" s="1350"/>
      <c r="L569" s="1350"/>
      <c r="M569" s="1350"/>
    </row>
    <row r="570" spans="3:13" ht="32.25" customHeight="1">
      <c r="C570" s="899"/>
      <c r="E570" s="587"/>
      <c r="F570" s="507" t="s">
        <v>1339</v>
      </c>
      <c r="G570" s="403"/>
      <c r="H570" s="403" t="s">
        <v>1338</v>
      </c>
      <c r="I570" s="1352"/>
      <c r="J570" s="1350"/>
      <c r="K570" s="1350"/>
      <c r="L570" s="1350"/>
      <c r="M570" s="1350"/>
    </row>
    <row r="571" spans="3:13" ht="14.45" customHeight="1">
      <c r="C571" s="899"/>
      <c r="E571" s="587"/>
      <c r="F571" s="507" t="s">
        <v>1340</v>
      </c>
      <c r="G571" s="403"/>
      <c r="H571" s="381" t="s">
        <v>1341</v>
      </c>
      <c r="I571" s="1352"/>
      <c r="J571" s="1350"/>
      <c r="K571" s="1350"/>
      <c r="L571" s="1350"/>
      <c r="M571" s="1350"/>
    </row>
    <row r="572" spans="3:13" ht="14.45" customHeight="1">
      <c r="C572" s="899"/>
      <c r="E572" s="523" t="s">
        <v>1332</v>
      </c>
      <c r="F572" s="588" t="s">
        <v>1342</v>
      </c>
      <c r="G572" s="1358" t="s">
        <v>1343</v>
      </c>
      <c r="H572" s="483"/>
      <c r="I572" s="1358" t="s">
        <v>1072</v>
      </c>
      <c r="J572" s="1350"/>
      <c r="K572" s="1350"/>
      <c r="L572" s="1350"/>
      <c r="M572" s="1350"/>
    </row>
    <row r="573" spans="3:13" ht="14.45" customHeight="1">
      <c r="C573" s="899"/>
      <c r="E573" s="525"/>
      <c r="F573" s="507" t="s">
        <v>1344</v>
      </c>
      <c r="G573" s="1352"/>
      <c r="H573" s="403"/>
      <c r="I573" s="1352"/>
      <c r="J573" s="1350"/>
      <c r="K573" s="1350"/>
      <c r="L573" s="1350"/>
      <c r="M573" s="1350"/>
    </row>
    <row r="574" spans="3:13" ht="36.75" customHeight="1">
      <c r="C574" s="899"/>
      <c r="E574" s="525"/>
      <c r="F574" s="507" t="s">
        <v>1345</v>
      </c>
      <c r="G574" s="1352"/>
      <c r="H574" s="403" t="s">
        <v>1346</v>
      </c>
      <c r="I574" s="1352"/>
      <c r="J574" s="1350"/>
      <c r="K574" s="1350"/>
      <c r="L574" s="1350"/>
      <c r="M574" s="1350"/>
    </row>
    <row r="575" spans="3:13" ht="50.25" customHeight="1">
      <c r="C575" s="899"/>
      <c r="E575" s="525"/>
      <c r="F575" s="507" t="s">
        <v>1347</v>
      </c>
      <c r="G575" s="380"/>
      <c r="H575" s="589" t="s">
        <v>1348</v>
      </c>
      <c r="I575" s="380"/>
      <c r="J575" s="1350"/>
      <c r="K575" s="1350"/>
      <c r="L575" s="1350"/>
      <c r="M575" s="1350"/>
    </row>
    <row r="576" spans="3:13" ht="18.75" customHeight="1">
      <c r="C576" s="899"/>
      <c r="E576" s="525"/>
      <c r="F576" s="379" t="s">
        <v>1349</v>
      </c>
      <c r="G576" s="380" t="s">
        <v>1350</v>
      </c>
      <c r="H576" s="380" t="s">
        <v>1351</v>
      </c>
      <c r="I576" s="380"/>
      <c r="J576" s="1350"/>
      <c r="K576" s="1350"/>
      <c r="L576" s="1350"/>
      <c r="M576" s="1350"/>
    </row>
    <row r="577" spans="3:15" ht="34.5" customHeight="1">
      <c r="C577" s="899"/>
      <c r="E577" s="587"/>
      <c r="F577" s="507" t="s">
        <v>1352</v>
      </c>
      <c r="G577" s="380"/>
      <c r="H577" s="379" t="s">
        <v>1353</v>
      </c>
      <c r="I577" s="403"/>
      <c r="J577" s="1350"/>
      <c r="K577" s="1350"/>
      <c r="L577" s="1350"/>
      <c r="M577" s="1350"/>
    </row>
    <row r="578" spans="3:15" ht="18.75" customHeight="1">
      <c r="C578" s="899"/>
      <c r="E578" s="587"/>
      <c r="F578" s="507" t="s">
        <v>1354</v>
      </c>
      <c r="G578" s="380"/>
      <c r="H578" s="379" t="s">
        <v>1355</v>
      </c>
      <c r="I578" s="403"/>
      <c r="J578" s="1350"/>
      <c r="K578" s="1350"/>
      <c r="L578" s="1350"/>
      <c r="M578" s="1350"/>
    </row>
    <row r="579" spans="3:15" ht="68.099999999999994" customHeight="1">
      <c r="C579" s="899"/>
      <c r="E579" s="587"/>
      <c r="F579" s="507" t="s">
        <v>1356</v>
      </c>
      <c r="G579" s="380"/>
      <c r="H579" s="379" t="s">
        <v>1357</v>
      </c>
      <c r="I579" s="403"/>
      <c r="J579" s="1350"/>
      <c r="K579" s="1350"/>
      <c r="L579" s="1350"/>
      <c r="M579" s="1350"/>
    </row>
    <row r="580" spans="3:15" ht="14.45" customHeight="1">
      <c r="C580" s="899"/>
      <c r="E580" s="587"/>
      <c r="F580" s="507" t="s">
        <v>1358</v>
      </c>
      <c r="G580" s="380"/>
      <c r="H580" s="379"/>
      <c r="I580" s="403"/>
      <c r="J580" s="1350"/>
      <c r="K580" s="1350"/>
      <c r="L580" s="1350"/>
      <c r="M580" s="1350"/>
    </row>
    <row r="581" spans="3:15" ht="14.45" customHeight="1">
      <c r="C581" s="899"/>
      <c r="E581" s="587"/>
      <c r="F581" s="507" t="s">
        <v>1359</v>
      </c>
      <c r="G581" s="380"/>
      <c r="H581" s="379"/>
      <c r="I581" s="403"/>
      <c r="J581" s="1350"/>
      <c r="K581" s="1350"/>
      <c r="L581" s="1350"/>
      <c r="M581" s="1350"/>
    </row>
    <row r="582" spans="3:15" ht="14.45" customHeight="1">
      <c r="C582" s="899"/>
      <c r="E582" s="587"/>
      <c r="F582" s="507" t="s">
        <v>1360</v>
      </c>
      <c r="G582" s="380"/>
      <c r="H582" s="379"/>
      <c r="I582" s="403"/>
      <c r="J582" s="1350"/>
      <c r="K582" s="1350"/>
      <c r="L582" s="1350"/>
      <c r="M582" s="1350"/>
    </row>
    <row r="583" spans="3:15" ht="15.95" customHeight="1">
      <c r="C583" s="899"/>
      <c r="E583" s="587"/>
      <c r="F583" s="507" t="s">
        <v>1361</v>
      </c>
      <c r="G583" s="380"/>
      <c r="H583" s="379"/>
      <c r="I583" s="403"/>
      <c r="J583" s="1350"/>
      <c r="K583" s="1350"/>
      <c r="L583" s="1350"/>
      <c r="M583" s="1350"/>
    </row>
    <row r="584" spans="3:15" ht="99.75" customHeight="1">
      <c r="C584" s="899"/>
      <c r="E584" s="590"/>
      <c r="F584" s="504" t="s">
        <v>1362</v>
      </c>
      <c r="G584" s="1158"/>
      <c r="H584" s="504" t="s">
        <v>1363</v>
      </c>
      <c r="I584" s="1150"/>
      <c r="J584" s="1350"/>
      <c r="K584" s="1350"/>
      <c r="L584" s="1350"/>
      <c r="M584" s="1350"/>
    </row>
    <row r="585" spans="3:15" ht="15.95" customHeight="1">
      <c r="C585" s="899"/>
      <c r="E585" s="587"/>
      <c r="F585" s="507" t="s">
        <v>1364</v>
      </c>
      <c r="G585" s="380"/>
      <c r="H585" s="507"/>
      <c r="I585" s="403"/>
      <c r="J585" s="1350"/>
      <c r="K585" s="1350"/>
      <c r="L585" s="1350"/>
      <c r="M585" s="1350"/>
    </row>
    <row r="586" spans="3:15" ht="15" customHeight="1">
      <c r="C586" s="899"/>
      <c r="E586" s="587"/>
      <c r="F586" s="507"/>
      <c r="G586" s="1152"/>
      <c r="H586" s="1153"/>
      <c r="I586" s="1149"/>
      <c r="J586" s="1350"/>
      <c r="K586" s="1350"/>
      <c r="L586" s="1350"/>
      <c r="M586" s="1350"/>
      <c r="O586" s="612"/>
    </row>
    <row r="587" spans="3:15" ht="18" customHeight="1">
      <c r="C587" s="1337"/>
      <c r="E587" s="590"/>
      <c r="F587" s="504" t="s">
        <v>1365</v>
      </c>
      <c r="G587" s="1158"/>
      <c r="H587" s="1157" t="s">
        <v>1366</v>
      </c>
      <c r="I587" s="1150"/>
      <c r="J587" s="1350"/>
      <c r="K587" s="1350"/>
      <c r="L587" s="1350"/>
      <c r="M587" s="1350"/>
    </row>
    <row r="588" spans="3:15" ht="68.25" customHeight="1">
      <c r="C588" s="1355"/>
      <c r="E588" s="592" t="s">
        <v>1332</v>
      </c>
      <c r="F588" s="403" t="s">
        <v>1367</v>
      </c>
      <c r="G588" s="380"/>
      <c r="H588" s="379" t="s">
        <v>1368</v>
      </c>
      <c r="I588" s="1352" t="s">
        <v>1072</v>
      </c>
      <c r="J588" s="1350"/>
      <c r="K588" s="1350"/>
      <c r="L588" s="1350"/>
      <c r="M588" s="1350"/>
    </row>
    <row r="589" spans="3:15" ht="39.75" customHeight="1">
      <c r="C589" s="1355"/>
      <c r="E589" s="587"/>
      <c r="F589" s="507" t="s">
        <v>1369</v>
      </c>
      <c r="G589" s="380"/>
      <c r="H589" s="379"/>
      <c r="I589" s="1352"/>
      <c r="J589" s="1350"/>
      <c r="K589" s="1350"/>
      <c r="L589" s="1350"/>
      <c r="M589" s="1350"/>
    </row>
    <row r="590" spans="3:15" ht="14.45" customHeight="1">
      <c r="C590" s="1355"/>
      <c r="E590" s="587"/>
      <c r="F590" s="504" t="s">
        <v>1370</v>
      </c>
      <c r="G590" s="409"/>
      <c r="H590" s="489"/>
      <c r="I590" s="1352"/>
      <c r="J590" s="1350"/>
      <c r="K590" s="1350"/>
      <c r="L590" s="1350"/>
      <c r="M590" s="1350"/>
    </row>
    <row r="591" spans="3:15" ht="14.45" customHeight="1">
      <c r="C591" s="1355"/>
      <c r="E591" s="593" t="s">
        <v>1332</v>
      </c>
      <c r="F591" s="403" t="s">
        <v>1371</v>
      </c>
      <c r="G591" s="1352" t="s">
        <v>1372</v>
      </c>
      <c r="H591" s="1352" t="s">
        <v>1373</v>
      </c>
      <c r="I591" s="1358" t="s">
        <v>1072</v>
      </c>
      <c r="J591" s="1350"/>
      <c r="K591" s="1350"/>
      <c r="L591" s="1350"/>
      <c r="M591" s="1350"/>
    </row>
    <row r="592" spans="3:15" ht="33" customHeight="1">
      <c r="C592" s="1355"/>
      <c r="E592" s="587"/>
      <c r="F592" s="507" t="s">
        <v>1374</v>
      </c>
      <c r="G592" s="1352"/>
      <c r="H592" s="1352"/>
      <c r="I592" s="1352"/>
      <c r="J592" s="1350"/>
      <c r="K592" s="1350"/>
      <c r="L592" s="1350"/>
      <c r="M592" s="1350"/>
    </row>
    <row r="593" spans="3:13" ht="14.45" customHeight="1">
      <c r="C593" s="1355"/>
      <c r="E593" s="587"/>
      <c r="F593" s="507" t="s">
        <v>1375</v>
      </c>
      <c r="G593" s="380"/>
      <c r="H593" s="379"/>
      <c r="I593" s="1352"/>
      <c r="J593" s="1350"/>
      <c r="K593" s="1350"/>
      <c r="L593" s="1350"/>
      <c r="M593" s="1350"/>
    </row>
    <row r="594" spans="3:13" ht="14.45" customHeight="1">
      <c r="C594" s="1355"/>
      <c r="E594" s="587"/>
      <c r="F594" s="507" t="s">
        <v>1376</v>
      </c>
      <c r="G594" s="380"/>
      <c r="H594" s="379"/>
      <c r="I594" s="403"/>
      <c r="J594" s="1350"/>
      <c r="K594" s="1350"/>
      <c r="L594" s="1350"/>
      <c r="M594" s="1350"/>
    </row>
    <row r="595" spans="3:13" ht="132.75" customHeight="1">
      <c r="C595" s="1355"/>
      <c r="E595" s="590"/>
      <c r="F595" s="504" t="s">
        <v>1377</v>
      </c>
      <c r="G595" s="409"/>
      <c r="H595" s="489" t="s">
        <v>1378</v>
      </c>
      <c r="I595" s="403" t="s">
        <v>1379</v>
      </c>
      <c r="J595" s="1350"/>
      <c r="K595" s="1350"/>
      <c r="L595" s="1350"/>
      <c r="M595" s="1350"/>
    </row>
    <row r="596" spans="3:13" ht="35.25" customHeight="1">
      <c r="C596" s="1355"/>
      <c r="E596" s="593" t="s">
        <v>1332</v>
      </c>
      <c r="F596" s="591" t="s">
        <v>1380</v>
      </c>
      <c r="G596" s="377"/>
      <c r="H596" s="591" t="s">
        <v>1381</v>
      </c>
      <c r="I596" s="378" t="s">
        <v>1072</v>
      </c>
      <c r="J596" s="1350"/>
      <c r="K596" s="1350"/>
      <c r="L596" s="1350"/>
      <c r="M596" s="1350"/>
    </row>
    <row r="597" spans="3:13" ht="35.25" customHeight="1">
      <c r="C597" s="1355"/>
      <c r="E597" s="593" t="s">
        <v>1332</v>
      </c>
      <c r="F597" s="591" t="s">
        <v>1696</v>
      </c>
      <c r="G597" s="377"/>
      <c r="H597" s="591"/>
      <c r="I597" s="378" t="s">
        <v>1072</v>
      </c>
      <c r="J597" s="1350"/>
      <c r="K597" s="1350"/>
      <c r="L597" s="1350"/>
      <c r="M597" s="1350"/>
    </row>
    <row r="598" spans="3:13" ht="35.25" customHeight="1">
      <c r="C598" s="1355"/>
      <c r="E598" s="593" t="s">
        <v>1332</v>
      </c>
      <c r="F598" s="591" t="s">
        <v>1697</v>
      </c>
      <c r="G598" s="377"/>
      <c r="H598" s="591"/>
      <c r="I598" s="378" t="s">
        <v>1072</v>
      </c>
      <c r="J598" s="1350"/>
      <c r="K598" s="1350"/>
      <c r="L598" s="1350"/>
      <c r="M598" s="1350"/>
    </row>
    <row r="599" spans="3:13" ht="33" customHeight="1">
      <c r="C599" s="1355"/>
      <c r="E599" s="594" t="s">
        <v>1332</v>
      </c>
      <c r="F599" s="591" t="s">
        <v>1698</v>
      </c>
      <c r="G599" s="377"/>
      <c r="H599" s="591"/>
      <c r="I599" s="378" t="s">
        <v>1072</v>
      </c>
      <c r="J599" s="1351"/>
      <c r="K599" s="1351"/>
      <c r="L599" s="1351"/>
      <c r="M599" s="1351"/>
    </row>
    <row r="600" spans="3:13" ht="20.100000000000001" customHeight="1" thickBot="1">
      <c r="C600" s="1355"/>
      <c r="E600" s="595"/>
      <c r="F600" s="511"/>
      <c r="G600" s="596"/>
      <c r="H600" s="597"/>
      <c r="I600" s="598"/>
      <c r="J600" s="599">
        <f>SUM(J567:J599)</f>
        <v>13332945</v>
      </c>
      <c r="K600" s="599">
        <f>SUM(K567:K599)</f>
        <v>10929446</v>
      </c>
      <c r="L600" s="599">
        <f>SUM(L567:L599)</f>
        <v>590000</v>
      </c>
      <c r="M600" s="599">
        <f>SUM(M567:M599)</f>
        <v>24852391</v>
      </c>
    </row>
    <row r="601" spans="3:13" ht="7.5" customHeight="1" thickTop="1">
      <c r="C601" s="1355"/>
      <c r="E601" s="383"/>
      <c r="F601" s="383"/>
      <c r="G601" s="383"/>
      <c r="H601" s="383"/>
      <c r="I601" s="383"/>
      <c r="J601" s="412"/>
      <c r="K601" s="412"/>
      <c r="L601" s="412"/>
      <c r="M601" s="412"/>
    </row>
    <row r="602" spans="3:13" ht="14.45" customHeight="1">
      <c r="C602" s="1355"/>
      <c r="E602" s="383" t="s">
        <v>1044</v>
      </c>
      <c r="F602" s="383"/>
      <c r="G602" s="387" t="s">
        <v>1045</v>
      </c>
      <c r="J602" s="387"/>
      <c r="K602" s="387"/>
      <c r="L602" s="388"/>
      <c r="M602" s="388"/>
    </row>
    <row r="603" spans="3:13" ht="14.45" customHeight="1">
      <c r="C603" s="1355"/>
      <c r="E603" s="383"/>
      <c r="F603" s="383"/>
      <c r="G603" s="383"/>
      <c r="H603" s="383"/>
      <c r="J603" s="383"/>
      <c r="K603" s="383"/>
      <c r="L603" s="383"/>
      <c r="M603" s="383"/>
    </row>
    <row r="604" spans="3:13" ht="14.45" customHeight="1">
      <c r="C604" s="1355"/>
      <c r="E604" s="1361" t="s">
        <v>919</v>
      </c>
      <c r="F604" s="1361"/>
      <c r="G604" s="1333" t="s">
        <v>254</v>
      </c>
      <c r="H604" s="1333"/>
      <c r="I604" s="1338" t="s">
        <v>17</v>
      </c>
      <c r="J604" s="1338"/>
      <c r="L604" s="1333" t="s">
        <v>88</v>
      </c>
      <c r="M604" s="1333"/>
    </row>
    <row r="605" spans="3:13" ht="14.45" customHeight="1">
      <c r="C605" s="1355"/>
      <c r="E605" s="1362" t="s">
        <v>864</v>
      </c>
      <c r="F605" s="1362"/>
      <c r="G605" s="1334" t="s">
        <v>13</v>
      </c>
      <c r="H605" s="1334"/>
      <c r="I605" s="1339" t="s">
        <v>18</v>
      </c>
      <c r="J605" s="1339"/>
      <c r="L605" s="1334" t="s">
        <v>1000</v>
      </c>
      <c r="M605" s="1334"/>
    </row>
    <row r="606" spans="3:13" ht="14.45" customHeight="1">
      <c r="C606" s="1355"/>
      <c r="E606" s="389" t="s">
        <v>258</v>
      </c>
      <c r="F606" s="389"/>
      <c r="G606" s="389"/>
      <c r="H606" s="383"/>
      <c r="I606" s="383"/>
      <c r="J606" s="383"/>
      <c r="K606" s="390"/>
      <c r="L606" s="383"/>
      <c r="M606" s="383"/>
    </row>
    <row r="607" spans="3:13" ht="10.5" customHeight="1">
      <c r="C607" s="1355"/>
      <c r="E607" s="391"/>
      <c r="F607" s="391"/>
      <c r="G607" s="391"/>
      <c r="H607" s="383"/>
      <c r="I607" s="383"/>
      <c r="J607" s="383"/>
      <c r="K607" s="392"/>
      <c r="L607" s="383"/>
      <c r="M607" s="383"/>
    </row>
    <row r="608" spans="3:13" ht="14.45" customHeight="1">
      <c r="C608" s="1355"/>
      <c r="E608" s="1333" t="s">
        <v>1456</v>
      </c>
      <c r="F608" s="1333"/>
      <c r="G608" s="393"/>
      <c r="H608" s="393"/>
      <c r="I608" s="393"/>
      <c r="J608" s="394"/>
      <c r="K608" s="394"/>
      <c r="L608" s="395"/>
      <c r="M608" s="391"/>
    </row>
    <row r="609" spans="3:13" ht="15.95" customHeight="1">
      <c r="C609" s="1355"/>
      <c r="E609" s="1334" t="s">
        <v>14</v>
      </c>
      <c r="F609" s="1334"/>
    </row>
    <row r="610" spans="3:13" ht="15.95" customHeight="1">
      <c r="E610" s="516"/>
      <c r="F610" s="516"/>
    </row>
    <row r="611" spans="3:13" ht="15.95" customHeight="1">
      <c r="E611" s="516"/>
      <c r="F611" s="516"/>
    </row>
    <row r="612" spans="3:13" ht="15.95" customHeight="1">
      <c r="E612" s="516"/>
      <c r="F612" s="516"/>
    </row>
    <row r="613" spans="3:13" ht="15.95" customHeight="1">
      <c r="E613" s="516"/>
      <c r="F613" s="516"/>
    </row>
    <row r="614" spans="3:13" ht="15.95" customHeight="1">
      <c r="E614" s="516"/>
      <c r="F614" s="516"/>
    </row>
    <row r="615" spans="3:13" ht="15.95" customHeight="1">
      <c r="E615" s="516"/>
      <c r="F615" s="516"/>
    </row>
    <row r="616" spans="3:13" ht="15.95" customHeight="1"/>
    <row r="617" spans="3:13" ht="14.45" customHeight="1">
      <c r="C617" s="899"/>
      <c r="D617" s="383"/>
      <c r="F617" s="1340" t="s">
        <v>1677</v>
      </c>
      <c r="G617" s="1340"/>
      <c r="H617" s="1340"/>
      <c r="I617" s="1340"/>
      <c r="J617" s="1340"/>
      <c r="K617" s="1340"/>
      <c r="L617" s="1340"/>
      <c r="M617" s="358"/>
    </row>
    <row r="618" spans="3:13" ht="14.45" customHeight="1">
      <c r="C618" s="900"/>
      <c r="E618" s="1341" t="s">
        <v>178</v>
      </c>
      <c r="F618" s="1341"/>
      <c r="G618" s="1341"/>
      <c r="H618" s="1341"/>
      <c r="I618" s="1341"/>
      <c r="J618" s="1341"/>
      <c r="K618" s="1341"/>
      <c r="L618" s="1341"/>
      <c r="M618" s="1341"/>
    </row>
    <row r="619" spans="3:13" ht="14.45" customHeight="1">
      <c r="C619" s="900"/>
      <c r="E619" s="1151"/>
      <c r="F619" s="1151"/>
      <c r="G619" s="1151"/>
      <c r="H619" s="1151"/>
      <c r="I619" s="1151"/>
      <c r="J619" s="1151"/>
      <c r="K619" s="1151"/>
      <c r="L619" s="1151"/>
      <c r="M619" s="1151"/>
    </row>
    <row r="620" spans="3:13" ht="14.45" customHeight="1">
      <c r="C620" s="900"/>
      <c r="E620" s="356" t="s">
        <v>1005</v>
      </c>
      <c r="F620" s="360" t="s">
        <v>1382</v>
      </c>
    </row>
    <row r="621" spans="3:13" ht="14.45" customHeight="1">
      <c r="C621" s="900"/>
      <c r="E621" s="356" t="s">
        <v>1007</v>
      </c>
      <c r="F621" s="361" t="s">
        <v>1383</v>
      </c>
    </row>
    <row r="622" spans="3:13" ht="14.45" customHeight="1">
      <c r="C622" s="900"/>
      <c r="E622" s="356" t="s">
        <v>1009</v>
      </c>
      <c r="F622" s="1332" t="s">
        <v>1384</v>
      </c>
      <c r="G622" s="1332"/>
      <c r="H622" s="1332"/>
      <c r="I622" s="1332"/>
      <c r="J622" s="1332"/>
      <c r="K622" s="1332"/>
      <c r="L622" s="1332"/>
      <c r="M622" s="1332"/>
    </row>
    <row r="623" spans="3:13" ht="14.45" customHeight="1">
      <c r="C623" s="900"/>
      <c r="E623" s="356" t="s">
        <v>1011</v>
      </c>
      <c r="F623" s="1332" t="s">
        <v>1385</v>
      </c>
      <c r="G623" s="1332"/>
      <c r="H623" s="1332"/>
      <c r="I623" s="1332"/>
      <c r="J623" s="1332"/>
      <c r="K623" s="1332"/>
      <c r="L623" s="1332"/>
      <c r="M623" s="1332"/>
    </row>
    <row r="624" spans="3:13" ht="14.45" customHeight="1">
      <c r="C624" s="900"/>
      <c r="E624" s="364" t="s">
        <v>1386</v>
      </c>
      <c r="F624" s="364"/>
      <c r="G624" s="364"/>
      <c r="H624" s="364"/>
      <c r="I624" s="364"/>
      <c r="J624" s="364"/>
      <c r="K624" s="364"/>
      <c r="L624" s="364"/>
      <c r="M624" s="364"/>
    </row>
    <row r="625" spans="3:13" ht="14.45" customHeight="1">
      <c r="C625" s="900"/>
      <c r="E625" s="1343" t="s">
        <v>1014</v>
      </c>
      <c r="F625" s="365" t="s">
        <v>637</v>
      </c>
      <c r="G625" s="1345" t="s">
        <v>639</v>
      </c>
      <c r="H625" s="365" t="s">
        <v>640</v>
      </c>
      <c r="I625" s="1343" t="s">
        <v>1015</v>
      </c>
      <c r="J625" s="1347" t="s">
        <v>1678</v>
      </c>
      <c r="K625" s="1347"/>
      <c r="L625" s="1347"/>
      <c r="M625" s="1348"/>
    </row>
    <row r="626" spans="3:13" ht="14.45" customHeight="1">
      <c r="C626" s="900"/>
      <c r="E626" s="1344"/>
      <c r="F626" s="484" t="s">
        <v>638</v>
      </c>
      <c r="G626" s="1346"/>
      <c r="H626" s="484" t="s">
        <v>641</v>
      </c>
      <c r="I626" s="1344"/>
      <c r="J626" s="367" t="s">
        <v>277</v>
      </c>
      <c r="K626" s="368" t="s">
        <v>278</v>
      </c>
      <c r="L626" s="369" t="s">
        <v>279</v>
      </c>
      <c r="M626" s="370" t="s">
        <v>15</v>
      </c>
    </row>
    <row r="627" spans="3:13" ht="14.45" customHeight="1">
      <c r="C627" s="900"/>
      <c r="E627" s="371" t="s">
        <v>1387</v>
      </c>
      <c r="F627" s="1358" t="s">
        <v>1388</v>
      </c>
      <c r="G627" s="1358" t="s">
        <v>1539</v>
      </c>
      <c r="H627" s="1358" t="s">
        <v>1389</v>
      </c>
      <c r="I627" s="401" t="s">
        <v>1390</v>
      </c>
      <c r="J627" s="1349">
        <f>'LBP NO. 2'!M939</f>
        <v>1038056</v>
      </c>
      <c r="K627" s="1349">
        <f>'LBP NO. 2'!M947</f>
        <v>339000</v>
      </c>
      <c r="L627" s="1349">
        <f>'LBP NO. 2'!M952</f>
        <v>250000</v>
      </c>
      <c r="M627" s="1349">
        <f>SUM(J627:L686)</f>
        <v>1627056</v>
      </c>
    </row>
    <row r="628" spans="3:13" ht="20.25" customHeight="1">
      <c r="C628" s="900"/>
      <c r="E628" s="372"/>
      <c r="F628" s="1352"/>
      <c r="G628" s="1352"/>
      <c r="H628" s="1352"/>
      <c r="I628" s="403"/>
      <c r="J628" s="1350"/>
      <c r="K628" s="1350"/>
      <c r="L628" s="1350"/>
      <c r="M628" s="1350"/>
    </row>
    <row r="629" spans="3:13" ht="14.45" customHeight="1">
      <c r="C629" s="900"/>
      <c r="E629" s="372"/>
      <c r="F629" s="1352"/>
      <c r="G629" s="897"/>
      <c r="H629" s="1352"/>
      <c r="I629" s="403"/>
      <c r="J629" s="1350"/>
      <c r="K629" s="1350"/>
      <c r="L629" s="1350"/>
      <c r="M629" s="1350"/>
    </row>
    <row r="630" spans="3:13" ht="14.45" customHeight="1">
      <c r="C630" s="900"/>
      <c r="E630" s="372"/>
      <c r="F630" s="403" t="s">
        <v>1391</v>
      </c>
      <c r="G630" s="1352" t="s">
        <v>1541</v>
      </c>
      <c r="H630" s="897"/>
      <c r="I630" s="403" t="s">
        <v>1390</v>
      </c>
      <c r="J630" s="1350"/>
      <c r="K630" s="1350"/>
      <c r="L630" s="1350"/>
      <c r="M630" s="1350"/>
    </row>
    <row r="631" spans="3:13" ht="22.5" customHeight="1">
      <c r="C631" s="900"/>
      <c r="E631" s="372"/>
      <c r="F631" s="897"/>
      <c r="G631" s="1352"/>
      <c r="H631" s="897"/>
      <c r="I631" s="897"/>
      <c r="J631" s="1350"/>
      <c r="K631" s="1350"/>
      <c r="L631" s="1350"/>
      <c r="M631" s="1350"/>
    </row>
    <row r="632" spans="3:13" ht="22.5" customHeight="1">
      <c r="C632" s="900"/>
      <c r="E632" s="372"/>
      <c r="F632" s="897"/>
      <c r="G632" s="894"/>
      <c r="H632" s="897"/>
      <c r="I632" s="897"/>
      <c r="J632" s="1350"/>
      <c r="K632" s="1350"/>
      <c r="L632" s="1350"/>
      <c r="M632" s="1350"/>
    </row>
    <row r="633" spans="3:13" ht="15.75" customHeight="1">
      <c r="C633" s="900"/>
      <c r="E633" s="372"/>
      <c r="F633" s="897"/>
      <c r="G633" s="1352" t="s">
        <v>1540</v>
      </c>
      <c r="H633" s="1352" t="s">
        <v>1542</v>
      </c>
      <c r="I633" s="897"/>
      <c r="J633" s="1350"/>
      <c r="K633" s="1350"/>
      <c r="L633" s="1350"/>
      <c r="M633" s="1350"/>
    </row>
    <row r="634" spans="3:13" ht="17.25" customHeight="1">
      <c r="C634" s="900"/>
      <c r="E634" s="372"/>
      <c r="F634" s="897"/>
      <c r="G634" s="1352"/>
      <c r="H634" s="1352"/>
      <c r="I634" s="897"/>
      <c r="J634" s="1350"/>
      <c r="K634" s="1350"/>
      <c r="L634" s="1350"/>
      <c r="M634" s="1350"/>
    </row>
    <row r="635" spans="3:13" ht="17.25" customHeight="1">
      <c r="C635" s="900"/>
      <c r="E635" s="372"/>
      <c r="F635" s="897"/>
      <c r="G635" s="894"/>
      <c r="H635" s="1352"/>
      <c r="I635" s="897"/>
      <c r="J635" s="1350"/>
      <c r="K635" s="1350"/>
      <c r="L635" s="1350"/>
      <c r="M635" s="1350"/>
    </row>
    <row r="636" spans="3:13" ht="17.25" customHeight="1">
      <c r="C636" s="900"/>
      <c r="E636" s="372"/>
      <c r="F636" s="897" t="s">
        <v>1538</v>
      </c>
      <c r="G636" s="894"/>
      <c r="H636" s="897"/>
      <c r="I636" s="897"/>
      <c r="J636" s="1350"/>
      <c r="K636" s="1350"/>
      <c r="L636" s="1350"/>
      <c r="M636" s="1350"/>
    </row>
    <row r="637" spans="3:13" ht="8.25" customHeight="1">
      <c r="C637" s="900"/>
      <c r="E637" s="373"/>
      <c r="F637" s="381"/>
      <c r="G637" s="898"/>
      <c r="H637" s="898"/>
      <c r="I637" s="381"/>
      <c r="J637" s="1350"/>
      <c r="K637" s="1350"/>
      <c r="L637" s="1350"/>
      <c r="M637" s="1350"/>
    </row>
    <row r="638" spans="3:13" ht="14.45" customHeight="1">
      <c r="C638" s="900"/>
      <c r="E638" s="371" t="s">
        <v>1387</v>
      </c>
      <c r="F638" s="1358" t="s">
        <v>1392</v>
      </c>
      <c r="G638" s="1359" t="s">
        <v>1393</v>
      </c>
      <c r="H638" s="1359" t="s">
        <v>1394</v>
      </c>
      <c r="I638" s="401" t="s">
        <v>1395</v>
      </c>
      <c r="J638" s="1350"/>
      <c r="K638" s="1350"/>
      <c r="L638" s="1350"/>
      <c r="M638" s="1350"/>
    </row>
    <row r="639" spans="3:13" ht="26.25" customHeight="1">
      <c r="C639" s="900"/>
      <c r="E639" s="372"/>
      <c r="F639" s="1352"/>
      <c r="G639" s="1354"/>
      <c r="H639" s="1354"/>
      <c r="I639" s="403"/>
      <c r="J639" s="1350"/>
      <c r="K639" s="1350"/>
      <c r="L639" s="1350"/>
      <c r="M639" s="1350"/>
    </row>
    <row r="640" spans="3:13" ht="14.45" customHeight="1">
      <c r="C640" s="900"/>
      <c r="E640" s="372"/>
      <c r="F640" s="403"/>
      <c r="G640" s="1354"/>
      <c r="H640" s="1354"/>
      <c r="I640" s="403"/>
      <c r="J640" s="1350"/>
      <c r="K640" s="1350"/>
      <c r="L640" s="1350"/>
      <c r="M640" s="1350"/>
    </row>
    <row r="641" spans="3:13" ht="14.45" customHeight="1">
      <c r="C641" s="900"/>
      <c r="E641" s="372"/>
      <c r="F641" s="1352" t="s">
        <v>1396</v>
      </c>
      <c r="G641" s="1354"/>
      <c r="H641" s="1354"/>
      <c r="I641" s="403" t="s">
        <v>1390</v>
      </c>
      <c r="J641" s="1350"/>
      <c r="K641" s="1350"/>
      <c r="L641" s="1350"/>
      <c r="M641" s="1350"/>
    </row>
    <row r="642" spans="3:13" ht="25.5" customHeight="1">
      <c r="C642" s="900"/>
      <c r="E642" s="372"/>
      <c r="F642" s="1352"/>
      <c r="G642" s="1354"/>
      <c r="H642" s="1354"/>
      <c r="I642" s="403"/>
      <c r="J642" s="1350"/>
      <c r="K642" s="1350"/>
      <c r="L642" s="1350"/>
      <c r="M642" s="1350"/>
    </row>
    <row r="643" spans="3:13" ht="14.45" customHeight="1">
      <c r="C643" s="900"/>
      <c r="E643" s="372"/>
      <c r="F643" s="403"/>
      <c r="G643" s="1354"/>
      <c r="H643" s="1354"/>
      <c r="I643" s="403"/>
      <c r="J643" s="1350"/>
      <c r="K643" s="1350"/>
      <c r="L643" s="1350"/>
      <c r="M643" s="1350"/>
    </row>
    <row r="644" spans="3:13" ht="14.45" customHeight="1">
      <c r="C644" s="900"/>
      <c r="E644" s="372"/>
      <c r="F644" s="1352" t="s">
        <v>1397</v>
      </c>
      <c r="G644" s="1354"/>
      <c r="H644" s="1354"/>
      <c r="I644" s="1354" t="s">
        <v>1398</v>
      </c>
      <c r="J644" s="1350"/>
      <c r="K644" s="1350"/>
      <c r="L644" s="1350"/>
      <c r="M644" s="1350"/>
    </row>
    <row r="645" spans="3:13" ht="22.5" customHeight="1">
      <c r="C645" s="1355"/>
      <c r="E645" s="372"/>
      <c r="F645" s="1352"/>
      <c r="G645" s="1354"/>
      <c r="H645" s="1354"/>
      <c r="I645" s="1354"/>
      <c r="J645" s="1350"/>
      <c r="K645" s="1350"/>
      <c r="L645" s="1350"/>
      <c r="M645" s="1350"/>
    </row>
    <row r="646" spans="3:13" ht="14.45" customHeight="1">
      <c r="C646" s="1355"/>
      <c r="E646" s="372"/>
      <c r="F646" s="380"/>
      <c r="G646" s="1354"/>
      <c r="H646" s="1354"/>
      <c r="I646" s="403"/>
      <c r="J646" s="1350"/>
      <c r="K646" s="1350"/>
      <c r="L646" s="1350"/>
      <c r="M646" s="1350"/>
    </row>
    <row r="647" spans="3:13" ht="14.45" customHeight="1">
      <c r="C647" s="1355"/>
      <c r="E647" s="372"/>
      <c r="F647" s="1352" t="s">
        <v>1399</v>
      </c>
      <c r="G647" s="1354"/>
      <c r="H647" s="1354"/>
      <c r="I647" s="1354" t="s">
        <v>1400</v>
      </c>
      <c r="J647" s="1350"/>
      <c r="K647" s="1350"/>
      <c r="L647" s="1350"/>
      <c r="M647" s="1350"/>
    </row>
    <row r="648" spans="3:13" ht="22.5" customHeight="1">
      <c r="C648" s="1355"/>
      <c r="E648" s="372"/>
      <c r="F648" s="1352"/>
      <c r="G648" s="1354"/>
      <c r="H648" s="1354"/>
      <c r="I648" s="1354"/>
      <c r="J648" s="1350"/>
      <c r="K648" s="1350"/>
      <c r="L648" s="1350"/>
      <c r="M648" s="1350"/>
    </row>
    <row r="649" spans="3:13" ht="14.45" customHeight="1">
      <c r="C649" s="1355"/>
      <c r="E649" s="372"/>
      <c r="F649" s="380"/>
      <c r="G649" s="1354"/>
      <c r="H649" s="1354"/>
      <c r="I649" s="403"/>
      <c r="J649" s="1350"/>
      <c r="K649" s="1350"/>
      <c r="L649" s="1350"/>
      <c r="M649" s="1350"/>
    </row>
    <row r="650" spans="3:13" ht="14.45" customHeight="1">
      <c r="C650" s="1355"/>
      <c r="E650" s="372"/>
      <c r="F650" s="1352" t="s">
        <v>1401</v>
      </c>
      <c r="G650" s="1354"/>
      <c r="H650" s="1354"/>
      <c r="I650" s="1354" t="s">
        <v>1402</v>
      </c>
      <c r="J650" s="1350"/>
      <c r="K650" s="1350"/>
      <c r="L650" s="1350"/>
      <c r="M650" s="1350"/>
    </row>
    <row r="651" spans="3:13" ht="22.5" customHeight="1">
      <c r="C651" s="1355"/>
      <c r="E651" s="372"/>
      <c r="F651" s="1352"/>
      <c r="G651" s="1354"/>
      <c r="H651" s="1354"/>
      <c r="I651" s="1354"/>
      <c r="J651" s="1350"/>
      <c r="K651" s="1350"/>
      <c r="L651" s="1350"/>
      <c r="M651" s="1350"/>
    </row>
    <row r="652" spans="3:13" ht="22.5" customHeight="1">
      <c r="C652" s="1355"/>
      <c r="E652" s="372"/>
      <c r="F652" s="894"/>
      <c r="G652" s="607"/>
      <c r="H652" s="607"/>
      <c r="I652" s="896"/>
      <c r="J652" s="1350"/>
      <c r="K652" s="1350"/>
      <c r="L652" s="1350"/>
      <c r="M652" s="1350"/>
    </row>
    <row r="653" spans="3:13" ht="22.5" customHeight="1">
      <c r="C653" s="1355"/>
      <c r="E653" s="372"/>
      <c r="F653" s="1352" t="s">
        <v>1543</v>
      </c>
      <c r="G653" s="1354" t="s">
        <v>1544</v>
      </c>
      <c r="H653" s="607" t="s">
        <v>1545</v>
      </c>
      <c r="I653" s="896"/>
      <c r="J653" s="1350"/>
      <c r="K653" s="1350"/>
      <c r="L653" s="1350"/>
      <c r="M653" s="1350"/>
    </row>
    <row r="654" spans="3:13" ht="22.5" customHeight="1">
      <c r="C654" s="1355"/>
      <c r="E654" s="372"/>
      <c r="F654" s="1352"/>
      <c r="G654" s="1354"/>
      <c r="H654" s="607"/>
      <c r="I654" s="896"/>
      <c r="J654" s="1350"/>
      <c r="K654" s="1350"/>
      <c r="L654" s="1350"/>
      <c r="M654" s="1350"/>
    </row>
    <row r="655" spans="3:13" ht="14.45" customHeight="1">
      <c r="C655" s="1355"/>
      <c r="E655" s="373"/>
      <c r="F655" s="409"/>
      <c r="G655" s="901"/>
      <c r="H655" s="901"/>
      <c r="I655" s="381"/>
      <c r="J655" s="1350"/>
      <c r="K655" s="1350"/>
      <c r="L655" s="1350"/>
      <c r="M655" s="1350"/>
    </row>
    <row r="656" spans="3:13" ht="14.45" customHeight="1">
      <c r="C656" s="1355"/>
      <c r="E656" s="371" t="s">
        <v>1387</v>
      </c>
      <c r="F656" s="1358" t="s">
        <v>1403</v>
      </c>
      <c r="G656" s="1358" t="s">
        <v>1404</v>
      </c>
      <c r="H656" s="1358" t="s">
        <v>1405</v>
      </c>
      <c r="I656" s="1359" t="s">
        <v>1406</v>
      </c>
      <c r="J656" s="1350"/>
      <c r="K656" s="1350"/>
      <c r="L656" s="1350"/>
      <c r="M656" s="1350"/>
    </row>
    <row r="657" spans="3:13" ht="24" customHeight="1">
      <c r="C657" s="1355"/>
      <c r="E657" s="372"/>
      <c r="F657" s="1352"/>
      <c r="G657" s="1352"/>
      <c r="H657" s="1352"/>
      <c r="I657" s="1354"/>
      <c r="J657" s="1350"/>
      <c r="K657" s="1350"/>
      <c r="L657" s="1350"/>
      <c r="M657" s="1350"/>
    </row>
    <row r="658" spans="3:13" ht="14.45" customHeight="1">
      <c r="C658" s="1355"/>
      <c r="E658" s="373"/>
      <c r="F658" s="1158"/>
      <c r="G658" s="1360"/>
      <c r="H658" s="1360"/>
      <c r="I658" s="601"/>
      <c r="J658" s="1350"/>
      <c r="K658" s="1350"/>
      <c r="L658" s="1350"/>
      <c r="M658" s="1350"/>
    </row>
    <row r="659" spans="3:13" ht="14.45" customHeight="1">
      <c r="C659" s="1355"/>
      <c r="E659" s="372"/>
      <c r="F659" s="380"/>
      <c r="G659" s="1149"/>
      <c r="H659" s="1149"/>
      <c r="I659" s="600"/>
      <c r="J659" s="1350"/>
      <c r="K659" s="1350"/>
      <c r="L659" s="1350"/>
      <c r="M659" s="1350"/>
    </row>
    <row r="660" spans="3:13" ht="14.45" customHeight="1">
      <c r="C660" s="1355"/>
      <c r="E660" s="372"/>
      <c r="F660" s="894" t="s">
        <v>1546</v>
      </c>
      <c r="G660" s="894"/>
      <c r="H660" s="894"/>
      <c r="I660" s="896"/>
      <c r="J660" s="1350"/>
      <c r="K660" s="1350"/>
      <c r="L660" s="1350"/>
      <c r="M660" s="1350"/>
    </row>
    <row r="661" spans="3:13" ht="14.45" customHeight="1">
      <c r="C661" s="1355"/>
      <c r="E661" s="372"/>
      <c r="F661" s="894"/>
      <c r="G661" s="894"/>
      <c r="H661" s="894"/>
      <c r="I661" s="896"/>
      <c r="J661" s="1350"/>
      <c r="K661" s="1350"/>
      <c r="L661" s="1350"/>
      <c r="M661" s="1350"/>
    </row>
    <row r="662" spans="3:13" ht="14.45" customHeight="1">
      <c r="C662" s="1355"/>
      <c r="E662" s="372"/>
      <c r="F662" s="894" t="s">
        <v>1547</v>
      </c>
      <c r="G662" s="1352" t="s">
        <v>1548</v>
      </c>
      <c r="H662" s="1352" t="s">
        <v>1549</v>
      </c>
      <c r="I662" s="1352"/>
      <c r="J662" s="1350"/>
      <c r="K662" s="1350"/>
      <c r="L662" s="1350"/>
      <c r="M662" s="1350"/>
    </row>
    <row r="663" spans="3:13" ht="14.45" customHeight="1">
      <c r="C663" s="1355"/>
      <c r="E663" s="372"/>
      <c r="F663" s="894"/>
      <c r="G663" s="1352"/>
      <c r="H663" s="1352"/>
      <c r="I663" s="1352"/>
      <c r="J663" s="1350"/>
      <c r="K663" s="1350"/>
      <c r="L663" s="1350"/>
      <c r="M663" s="1350"/>
    </row>
    <row r="664" spans="3:13" ht="25.5" customHeight="1">
      <c r="C664" s="1355"/>
      <c r="E664" s="372"/>
      <c r="F664" s="894"/>
      <c r="G664" s="1352"/>
      <c r="H664" s="1352"/>
      <c r="I664" s="1352"/>
      <c r="J664" s="1350"/>
      <c r="K664" s="1350"/>
      <c r="L664" s="1350"/>
      <c r="M664" s="1350"/>
    </row>
    <row r="665" spans="3:13" ht="14.45" customHeight="1">
      <c r="C665" s="1355"/>
      <c r="E665" s="372"/>
      <c r="F665" s="894"/>
      <c r="G665" s="894"/>
      <c r="H665" s="894"/>
      <c r="I665" s="896"/>
      <c r="J665" s="1350"/>
      <c r="K665" s="1350"/>
      <c r="L665" s="1350"/>
      <c r="M665" s="1350"/>
    </row>
    <row r="666" spans="3:13" ht="22.5" customHeight="1">
      <c r="C666" s="1355"/>
      <c r="E666" s="372"/>
      <c r="F666" s="896" t="s">
        <v>1408</v>
      </c>
      <c r="G666" s="607" t="s">
        <v>1407</v>
      </c>
      <c r="H666" s="1352"/>
      <c r="I666" s="600"/>
      <c r="J666" s="1350"/>
      <c r="K666" s="1350"/>
      <c r="L666" s="1350"/>
      <c r="M666" s="1350"/>
    </row>
    <row r="667" spans="3:13" ht="14.45" customHeight="1">
      <c r="C667" s="1355"/>
      <c r="E667" s="372"/>
      <c r="F667" s="380" t="s">
        <v>1550</v>
      </c>
      <c r="G667" s="403" t="s">
        <v>1551</v>
      </c>
      <c r="H667" s="1352"/>
      <c r="I667" s="600"/>
      <c r="J667" s="1350"/>
      <c r="K667" s="1350"/>
      <c r="L667" s="1350"/>
      <c r="M667" s="1350"/>
    </row>
    <row r="668" spans="3:13" ht="14.45" customHeight="1">
      <c r="C668" s="1355"/>
      <c r="E668" s="373"/>
      <c r="F668" s="409"/>
      <c r="G668" s="381"/>
      <c r="H668" s="381"/>
      <c r="I668" s="381"/>
      <c r="J668" s="1350"/>
      <c r="K668" s="1350"/>
      <c r="L668" s="1350"/>
      <c r="M668" s="1350"/>
    </row>
    <row r="669" spans="3:13" ht="14.45" customHeight="1">
      <c r="C669" s="1355"/>
      <c r="E669" s="371" t="s">
        <v>1387</v>
      </c>
      <c r="F669" s="1358" t="s">
        <v>1409</v>
      </c>
      <c r="G669" s="1359" t="s">
        <v>1410</v>
      </c>
      <c r="H669" s="1358" t="s">
        <v>1411</v>
      </c>
      <c r="I669" s="401" t="s">
        <v>1390</v>
      </c>
      <c r="J669" s="1350"/>
      <c r="K669" s="1350"/>
      <c r="L669" s="1350"/>
      <c r="M669" s="1350"/>
    </row>
    <row r="670" spans="3:13" ht="14.45" customHeight="1">
      <c r="C670" s="1355"/>
      <c r="E670" s="372"/>
      <c r="F670" s="1352"/>
      <c r="G670" s="1354"/>
      <c r="H670" s="1352"/>
      <c r="I670" s="403"/>
      <c r="J670" s="1350"/>
      <c r="K670" s="1350"/>
      <c r="L670" s="1350"/>
      <c r="M670" s="1350"/>
    </row>
    <row r="671" spans="3:13" ht="14.45" customHeight="1">
      <c r="C671" s="1355"/>
      <c r="E671" s="372"/>
      <c r="F671" s="1352"/>
      <c r="G671" s="1354"/>
      <c r="H671" s="1352"/>
      <c r="I671" s="403"/>
      <c r="J671" s="1350"/>
      <c r="K671" s="1350"/>
      <c r="L671" s="1350"/>
      <c r="M671" s="1350"/>
    </row>
    <row r="672" spans="3:13" ht="14.45" customHeight="1">
      <c r="C672" s="1355"/>
      <c r="E672" s="372"/>
      <c r="F672" s="380"/>
      <c r="G672" s="1354"/>
      <c r="H672" s="1352"/>
      <c r="I672" s="403"/>
      <c r="J672" s="1350"/>
      <c r="K672" s="1350"/>
      <c r="L672" s="1350"/>
      <c r="M672" s="1350"/>
    </row>
    <row r="673" spans="3:13" ht="14.45" customHeight="1">
      <c r="C673" s="1355"/>
      <c r="E673" s="372"/>
      <c r="F673" s="380" t="s">
        <v>1412</v>
      </c>
      <c r="G673" s="1354"/>
      <c r="H673" s="1352"/>
      <c r="I673" s="403" t="s">
        <v>1413</v>
      </c>
      <c r="J673" s="1350"/>
      <c r="K673" s="1350"/>
      <c r="L673" s="1350"/>
      <c r="M673" s="1350"/>
    </row>
    <row r="674" spans="3:13" ht="15.95" customHeight="1">
      <c r="C674" s="1355"/>
      <c r="E674" s="372"/>
      <c r="F674" s="380"/>
      <c r="G674" s="1354"/>
      <c r="H674" s="1352"/>
      <c r="I674" s="403"/>
      <c r="J674" s="1350"/>
      <c r="K674" s="1350"/>
      <c r="L674" s="1350"/>
      <c r="M674" s="1350"/>
    </row>
    <row r="675" spans="3:13" ht="15.95" customHeight="1">
      <c r="C675" s="1355"/>
      <c r="E675" s="373"/>
      <c r="F675" s="409"/>
      <c r="G675" s="601"/>
      <c r="H675" s="409"/>
      <c r="I675" s="381"/>
      <c r="J675" s="1350"/>
      <c r="K675" s="1350"/>
      <c r="L675" s="1350"/>
      <c r="M675" s="1350"/>
    </row>
    <row r="676" spans="3:13" ht="14.45" customHeight="1">
      <c r="C676" s="1337"/>
      <c r="E676" s="371" t="s">
        <v>1387</v>
      </c>
      <c r="F676" s="1356" t="s">
        <v>1414</v>
      </c>
      <c r="G676" s="1358" t="s">
        <v>1415</v>
      </c>
      <c r="H676" s="1356" t="s">
        <v>1411</v>
      </c>
      <c r="I676" s="1358" t="s">
        <v>1416</v>
      </c>
      <c r="J676" s="1350"/>
      <c r="K676" s="1350"/>
      <c r="L676" s="1350"/>
      <c r="M676" s="1350"/>
    </row>
    <row r="677" spans="3:13" ht="14.45" customHeight="1">
      <c r="C677" s="1355"/>
      <c r="E677" s="374"/>
      <c r="F677" s="1357"/>
      <c r="G677" s="1352"/>
      <c r="H677" s="1357"/>
      <c r="I677" s="1352"/>
      <c r="J677" s="1350"/>
      <c r="K677" s="1350"/>
      <c r="L677" s="1350"/>
      <c r="M677" s="1350"/>
    </row>
    <row r="678" spans="3:13" ht="63" customHeight="1">
      <c r="C678" s="1355"/>
      <c r="E678" s="374"/>
      <c r="F678" s="1357"/>
      <c r="G678" s="1352"/>
      <c r="H678" s="1357"/>
      <c r="I678" s="1352"/>
      <c r="J678" s="1350"/>
      <c r="K678" s="1350"/>
      <c r="L678" s="1350"/>
      <c r="M678" s="1350"/>
    </row>
    <row r="679" spans="3:13" ht="15" customHeight="1">
      <c r="C679" s="1355"/>
      <c r="E679" s="374"/>
      <c r="F679" s="895"/>
      <c r="G679" s="894"/>
      <c r="H679" s="895"/>
      <c r="I679" s="894"/>
      <c r="J679" s="1350"/>
      <c r="K679" s="1350"/>
      <c r="L679" s="1350"/>
      <c r="M679" s="1350"/>
    </row>
    <row r="680" spans="3:13" ht="17.100000000000001" customHeight="1">
      <c r="C680" s="1355"/>
      <c r="E680" s="374"/>
      <c r="F680" s="1357" t="s">
        <v>1552</v>
      </c>
      <c r="G680" s="1352" t="s">
        <v>1553</v>
      </c>
      <c r="H680" s="1357" t="s">
        <v>1554</v>
      </c>
      <c r="I680" s="894" t="s">
        <v>1555</v>
      </c>
      <c r="J680" s="1350"/>
      <c r="K680" s="1350"/>
      <c r="L680" s="1350"/>
      <c r="M680" s="1350"/>
    </row>
    <row r="681" spans="3:13" ht="17.100000000000001" customHeight="1">
      <c r="C681" s="1355"/>
      <c r="E681" s="374"/>
      <c r="F681" s="1357"/>
      <c r="G681" s="1352"/>
      <c r="H681" s="1357"/>
      <c r="I681" s="894"/>
      <c r="J681" s="1350"/>
      <c r="K681" s="1350"/>
      <c r="L681" s="1350"/>
      <c r="M681" s="1350"/>
    </row>
    <row r="682" spans="3:13" ht="17.100000000000001" customHeight="1">
      <c r="C682" s="1355"/>
      <c r="E682" s="374"/>
      <c r="F682" s="1357"/>
      <c r="G682" s="1352"/>
      <c r="H682" s="895"/>
      <c r="I682" s="894"/>
      <c r="J682" s="1350"/>
      <c r="K682" s="1350"/>
      <c r="L682" s="1350"/>
      <c r="M682" s="1350"/>
    </row>
    <row r="683" spans="3:13" ht="15" customHeight="1">
      <c r="C683" s="1355"/>
      <c r="E683" s="374"/>
      <c r="F683" s="895"/>
      <c r="G683" s="894"/>
      <c r="H683" s="895"/>
      <c r="I683" s="894"/>
      <c r="J683" s="1350"/>
      <c r="K683" s="1350"/>
      <c r="L683" s="1350"/>
      <c r="M683" s="1350"/>
    </row>
    <row r="684" spans="3:13" ht="14.45" customHeight="1">
      <c r="C684" s="1355"/>
      <c r="E684" s="371" t="s">
        <v>1387</v>
      </c>
      <c r="F684" s="1356" t="s">
        <v>1417</v>
      </c>
      <c r="G684" s="1359" t="s">
        <v>1418</v>
      </c>
      <c r="H684" s="1359" t="s">
        <v>1419</v>
      </c>
      <c r="I684" s="401" t="s">
        <v>1420</v>
      </c>
      <c r="J684" s="1350"/>
      <c r="K684" s="1350"/>
      <c r="L684" s="1350"/>
      <c r="M684" s="1350"/>
    </row>
    <row r="685" spans="3:13" ht="30.75" customHeight="1">
      <c r="C685" s="1355"/>
      <c r="E685" s="372"/>
      <c r="F685" s="1357"/>
      <c r="G685" s="1354"/>
      <c r="H685" s="1354"/>
      <c r="I685" s="403"/>
      <c r="J685" s="1350"/>
      <c r="K685" s="1350"/>
      <c r="L685" s="1350"/>
      <c r="M685" s="1350"/>
    </row>
    <row r="686" spans="3:13" ht="14.45" customHeight="1">
      <c r="C686" s="1355"/>
      <c r="E686" s="372"/>
      <c r="F686" s="507"/>
      <c r="G686" s="1354"/>
      <c r="H686" s="1354"/>
      <c r="I686" s="1352" t="s">
        <v>1421</v>
      </c>
      <c r="J686" s="1350"/>
      <c r="K686" s="1350"/>
      <c r="L686" s="1350"/>
      <c r="M686" s="1350"/>
    </row>
    <row r="687" spans="3:13" ht="24.75" customHeight="1">
      <c r="C687" s="1355"/>
      <c r="E687" s="372"/>
      <c r="F687" s="507" t="s">
        <v>1556</v>
      </c>
      <c r="G687" s="1354"/>
      <c r="H687" s="1354"/>
      <c r="I687" s="1352"/>
      <c r="J687" s="1351"/>
      <c r="K687" s="1351"/>
      <c r="L687" s="1351"/>
      <c r="M687" s="1351"/>
    </row>
    <row r="688" spans="3:13" ht="20.100000000000001" customHeight="1" thickBot="1">
      <c r="C688" s="1355"/>
      <c r="E688" s="510"/>
      <c r="F688" s="511"/>
      <c r="G688" s="602"/>
      <c r="H688" s="602"/>
      <c r="I688" s="603"/>
      <c r="J688" s="604">
        <f>SUM(J627:J687)</f>
        <v>1038056</v>
      </c>
      <c r="K688" s="604">
        <f>SUM(K627:K687)</f>
        <v>339000</v>
      </c>
      <c r="L688" s="604">
        <f>SUM(L627:L687)</f>
        <v>250000</v>
      </c>
      <c r="M688" s="605">
        <f>SUM(M627:M687)</f>
        <v>1627056</v>
      </c>
    </row>
    <row r="689" spans="3:13" ht="9" customHeight="1" thickTop="1">
      <c r="C689" s="1355"/>
      <c r="E689" s="383"/>
      <c r="F689" s="384"/>
      <c r="G689" s="384"/>
      <c r="H689" s="384"/>
      <c r="I689" s="384"/>
      <c r="J689" s="385"/>
      <c r="K689" s="385"/>
      <c r="L689" s="385"/>
      <c r="M689" s="385"/>
    </row>
    <row r="690" spans="3:13" ht="14.45" customHeight="1">
      <c r="C690" s="1355"/>
      <c r="E690" s="383" t="s">
        <v>1044</v>
      </c>
      <c r="F690" s="383"/>
      <c r="G690" s="386" t="s">
        <v>1045</v>
      </c>
      <c r="H690" s="386"/>
      <c r="J690" s="387"/>
      <c r="K690" s="387"/>
      <c r="L690" s="388"/>
      <c r="M690" s="388"/>
    </row>
    <row r="691" spans="3:13" ht="14.45" customHeight="1">
      <c r="C691" s="1355"/>
      <c r="E691" s="383"/>
      <c r="F691" s="383"/>
      <c r="G691" s="383"/>
      <c r="H691" s="383"/>
      <c r="J691" s="383"/>
      <c r="K691" s="383"/>
      <c r="L691" s="383"/>
      <c r="M691" s="383"/>
    </row>
    <row r="692" spans="3:13" ht="14.45" customHeight="1">
      <c r="C692" s="1355"/>
      <c r="E692" s="1333" t="s">
        <v>918</v>
      </c>
      <c r="F692" s="1333"/>
      <c r="G692" s="1333" t="s">
        <v>254</v>
      </c>
      <c r="H692" s="1333"/>
      <c r="I692" s="1338" t="s">
        <v>17</v>
      </c>
      <c r="J692" s="1338"/>
      <c r="L692" s="1333" t="s">
        <v>88</v>
      </c>
      <c r="M692" s="1333"/>
    </row>
    <row r="693" spans="3:13" ht="14.45" customHeight="1">
      <c r="C693" s="1355"/>
      <c r="E693" s="1334" t="s">
        <v>916</v>
      </c>
      <c r="F693" s="1334"/>
      <c r="G693" s="1334" t="s">
        <v>13</v>
      </c>
      <c r="H693" s="1334"/>
      <c r="I693" s="1339" t="s">
        <v>18</v>
      </c>
      <c r="J693" s="1339"/>
      <c r="L693" s="1334" t="s">
        <v>1000</v>
      </c>
      <c r="M693" s="1334"/>
    </row>
    <row r="694" spans="3:13" ht="14.45" customHeight="1">
      <c r="C694" s="1355"/>
      <c r="E694" s="389" t="s">
        <v>258</v>
      </c>
      <c r="F694" s="389"/>
      <c r="G694" s="389"/>
      <c r="H694" s="383"/>
      <c r="I694" s="383"/>
      <c r="J694" s="383"/>
      <c r="K694" s="390"/>
      <c r="L694" s="383"/>
      <c r="M694" s="383"/>
    </row>
    <row r="695" spans="3:13" ht="14.45" customHeight="1">
      <c r="C695" s="1355"/>
      <c r="E695" s="391"/>
      <c r="F695" s="391"/>
      <c r="G695" s="391"/>
      <c r="H695" s="383"/>
      <c r="I695" s="383"/>
      <c r="J695" s="383"/>
      <c r="K695" s="392"/>
      <c r="L695" s="383"/>
      <c r="M695" s="383"/>
    </row>
    <row r="696" spans="3:13" ht="14.45" customHeight="1">
      <c r="C696" s="1355"/>
      <c r="E696" s="1333" t="s">
        <v>1456</v>
      </c>
      <c r="F696" s="1333"/>
      <c r="G696" s="393"/>
      <c r="H696" s="393"/>
      <c r="I696" s="393"/>
      <c r="J696" s="394"/>
      <c r="K696" s="394"/>
      <c r="L696" s="395"/>
      <c r="M696" s="391"/>
    </row>
    <row r="697" spans="3:13" ht="14.45" customHeight="1">
      <c r="C697" s="1355"/>
      <c r="E697" s="1334" t="s">
        <v>14</v>
      </c>
      <c r="F697" s="1334"/>
      <c r="G697" s="396"/>
      <c r="H697" s="396"/>
      <c r="I697" s="396"/>
      <c r="J697" s="397"/>
      <c r="K697" s="394"/>
      <c r="L697" s="395"/>
      <c r="M697" s="391"/>
    </row>
    <row r="698" spans="3:13" ht="14.45" customHeight="1">
      <c r="E698" s="516"/>
      <c r="F698" s="516"/>
      <c r="G698" s="396"/>
      <c r="H698" s="396"/>
      <c r="I698" s="396"/>
      <c r="J698" s="397"/>
      <c r="K698" s="394"/>
      <c r="L698" s="395"/>
      <c r="M698" s="391"/>
    </row>
    <row r="699" spans="3:13" ht="14.45" customHeight="1">
      <c r="E699" s="516"/>
      <c r="F699" s="516"/>
      <c r="G699" s="396"/>
      <c r="H699" s="396"/>
      <c r="I699" s="396"/>
      <c r="J699" s="397"/>
      <c r="K699" s="394"/>
      <c r="L699" s="395"/>
      <c r="M699" s="391"/>
    </row>
    <row r="700" spans="3:13" ht="14.45" customHeight="1">
      <c r="E700" s="516"/>
      <c r="F700" s="516"/>
      <c r="G700" s="396"/>
      <c r="H700" s="396"/>
      <c r="I700" s="396"/>
      <c r="J700" s="397"/>
      <c r="K700" s="394"/>
      <c r="L700" s="395"/>
      <c r="M700" s="391"/>
    </row>
    <row r="701" spans="3:13" ht="14.45" customHeight="1">
      <c r="E701" s="516"/>
      <c r="F701" s="516"/>
      <c r="G701" s="396"/>
      <c r="H701" s="396"/>
      <c r="I701" s="396"/>
      <c r="J701" s="397"/>
      <c r="K701" s="394"/>
      <c r="L701" s="395"/>
      <c r="M701" s="391"/>
    </row>
    <row r="702" spans="3:13" ht="14.45" customHeight="1">
      <c r="E702" s="516"/>
      <c r="F702" s="516"/>
      <c r="G702" s="396"/>
      <c r="H702" s="396"/>
      <c r="I702" s="396"/>
      <c r="J702" s="397"/>
      <c r="K702" s="394"/>
      <c r="L702" s="395"/>
      <c r="M702" s="391"/>
    </row>
    <row r="703" spans="3:13" ht="14.45" customHeight="1">
      <c r="E703" s="516"/>
      <c r="F703" s="516"/>
      <c r="G703" s="396"/>
      <c r="H703" s="396"/>
      <c r="I703" s="396"/>
      <c r="J703" s="397"/>
      <c r="K703" s="394"/>
      <c r="L703" s="395"/>
      <c r="M703" s="391"/>
    </row>
    <row r="704" spans="3:13" ht="14.45" customHeight="1">
      <c r="E704" s="516"/>
      <c r="F704" s="516"/>
      <c r="G704" s="396"/>
      <c r="H704" s="396"/>
      <c r="I704" s="396"/>
      <c r="J704" s="397"/>
      <c r="K704" s="394"/>
      <c r="L704" s="395"/>
      <c r="M704" s="391"/>
    </row>
    <row r="705" spans="5:13" ht="14.45" customHeight="1">
      <c r="E705" s="516"/>
      <c r="F705" s="516"/>
      <c r="G705" s="396"/>
      <c r="H705" s="396"/>
      <c r="I705" s="396"/>
      <c r="J705" s="397"/>
      <c r="K705" s="394"/>
      <c r="L705" s="395"/>
      <c r="M705" s="391"/>
    </row>
    <row r="706" spans="5:13" ht="14.45" customHeight="1">
      <c r="E706" s="516"/>
      <c r="F706" s="516"/>
      <c r="G706" s="396"/>
      <c r="H706" s="396"/>
      <c r="I706" s="396"/>
      <c r="J706" s="397"/>
      <c r="K706" s="394"/>
      <c r="L706" s="395"/>
      <c r="M706" s="391"/>
    </row>
    <row r="707" spans="5:13" ht="14.45" customHeight="1">
      <c r="E707" s="516"/>
      <c r="F707" s="516"/>
      <c r="G707" s="396"/>
      <c r="H707" s="396"/>
      <c r="I707" s="396"/>
      <c r="J707" s="397"/>
      <c r="K707" s="394"/>
      <c r="L707" s="395"/>
      <c r="M707" s="391"/>
    </row>
    <row r="708" spans="5:13" ht="14.45" customHeight="1">
      <c r="E708" s="516"/>
      <c r="F708" s="516"/>
      <c r="G708" s="396"/>
      <c r="H708" s="396"/>
      <c r="I708" s="396"/>
      <c r="J708" s="397"/>
      <c r="K708" s="394"/>
      <c r="L708" s="395"/>
      <c r="M708" s="391"/>
    </row>
    <row r="709" spans="5:13" ht="14.45" customHeight="1">
      <c r="E709" s="516"/>
      <c r="F709" s="516"/>
      <c r="G709" s="396"/>
      <c r="H709" s="396"/>
      <c r="I709" s="396"/>
      <c r="J709" s="397"/>
      <c r="K709" s="394"/>
      <c r="L709" s="395"/>
      <c r="M709" s="391"/>
    </row>
    <row r="710" spans="5:13" ht="14.45" customHeight="1">
      <c r="E710" s="516"/>
      <c r="F710" s="516"/>
      <c r="G710" s="396"/>
      <c r="H710" s="396"/>
      <c r="I710" s="396"/>
      <c r="J710" s="397"/>
      <c r="K710" s="394"/>
      <c r="L710" s="395"/>
      <c r="M710" s="391"/>
    </row>
    <row r="711" spans="5:13" ht="14.45" customHeight="1">
      <c r="E711" s="516"/>
      <c r="F711" s="516"/>
      <c r="G711" s="396"/>
      <c r="H711" s="396"/>
      <c r="I711" s="396"/>
      <c r="J711" s="397"/>
      <c r="K711" s="394"/>
      <c r="L711" s="395"/>
      <c r="M711" s="391"/>
    </row>
    <row r="712" spans="5:13" ht="14.45" customHeight="1">
      <c r="E712" s="516"/>
      <c r="F712" s="516"/>
      <c r="G712" s="396"/>
      <c r="H712" s="396"/>
      <c r="I712" s="396"/>
      <c r="J712" s="397"/>
      <c r="K712" s="394"/>
      <c r="L712" s="395"/>
      <c r="M712" s="391"/>
    </row>
    <row r="713" spans="5:13" ht="14.45" customHeight="1">
      <c r="E713" s="516"/>
      <c r="F713" s="516"/>
      <c r="G713" s="396"/>
      <c r="H713" s="396"/>
      <c r="I713" s="396"/>
      <c r="J713" s="397"/>
      <c r="K713" s="394"/>
      <c r="L713" s="395"/>
      <c r="M713" s="391"/>
    </row>
    <row r="714" spans="5:13" ht="14.45" customHeight="1">
      <c r="E714" s="516"/>
      <c r="F714" s="516"/>
      <c r="G714" s="396"/>
      <c r="H714" s="396"/>
      <c r="I714" s="396"/>
      <c r="J714" s="397"/>
      <c r="K714" s="394"/>
      <c r="L714" s="395"/>
      <c r="M714" s="391"/>
    </row>
    <row r="715" spans="5:13" ht="14.45" customHeight="1">
      <c r="E715" s="516"/>
      <c r="F715" s="516"/>
      <c r="G715" s="396"/>
      <c r="H715" s="396"/>
      <c r="I715" s="396"/>
      <c r="J715" s="397"/>
      <c r="K715" s="394"/>
      <c r="L715" s="395"/>
      <c r="M715" s="391"/>
    </row>
    <row r="716" spans="5:13" ht="14.45" customHeight="1">
      <c r="E716" s="516"/>
      <c r="F716" s="516"/>
      <c r="G716" s="396"/>
      <c r="H716" s="396"/>
      <c r="I716" s="396"/>
      <c r="J716" s="397"/>
      <c r="K716" s="394"/>
      <c r="L716" s="395"/>
      <c r="M716" s="391"/>
    </row>
    <row r="717" spans="5:13" ht="14.45" customHeight="1">
      <c r="E717" s="516"/>
      <c r="F717" s="516"/>
      <c r="G717" s="396"/>
      <c r="H717" s="396"/>
      <c r="I717" s="396"/>
      <c r="J717" s="397"/>
      <c r="K717" s="394"/>
      <c r="L717" s="395"/>
      <c r="M717" s="391"/>
    </row>
    <row r="718" spans="5:13" ht="14.45" customHeight="1">
      <c r="E718" s="516"/>
      <c r="F718" s="516"/>
      <c r="G718" s="396"/>
      <c r="H718" s="396"/>
      <c r="I718" s="396"/>
      <c r="J718" s="397"/>
      <c r="K718" s="394"/>
      <c r="L718" s="395"/>
      <c r="M718" s="391"/>
    </row>
    <row r="719" spans="5:13" ht="14.45" customHeight="1">
      <c r="E719" s="516"/>
      <c r="F719" s="516"/>
      <c r="G719" s="396"/>
      <c r="H719" s="396"/>
      <c r="I719" s="396"/>
      <c r="J719" s="397"/>
      <c r="K719" s="394"/>
      <c r="L719" s="395"/>
      <c r="M719" s="391"/>
    </row>
    <row r="720" spans="5:13" ht="14.45" customHeight="1">
      <c r="E720" s="516"/>
      <c r="F720" s="516"/>
      <c r="G720" s="396"/>
      <c r="H720" s="396"/>
      <c r="I720" s="396"/>
      <c r="J720" s="397"/>
      <c r="K720" s="394"/>
      <c r="L720" s="395"/>
      <c r="M720" s="391"/>
    </row>
    <row r="721" spans="3:13" ht="15.95" customHeight="1"/>
    <row r="722" spans="3:13" ht="14.45" customHeight="1">
      <c r="C722" s="899"/>
      <c r="D722" s="383"/>
      <c r="F722" s="1340" t="s">
        <v>1677</v>
      </c>
      <c r="G722" s="1340"/>
      <c r="H722" s="1340"/>
      <c r="I722" s="1340"/>
      <c r="J722" s="1340"/>
      <c r="K722" s="1340"/>
      <c r="L722" s="1340"/>
      <c r="M722" s="358"/>
    </row>
    <row r="723" spans="3:13" ht="14.45" customHeight="1">
      <c r="C723" s="899"/>
      <c r="E723" s="1341" t="s">
        <v>178</v>
      </c>
      <c r="F723" s="1341"/>
      <c r="G723" s="1341"/>
      <c r="H723" s="1341"/>
      <c r="I723" s="1341"/>
      <c r="J723" s="1341"/>
      <c r="K723" s="1341"/>
      <c r="L723" s="1341"/>
      <c r="M723" s="1341"/>
    </row>
    <row r="724" spans="3:13" ht="14.45" customHeight="1">
      <c r="C724" s="899"/>
      <c r="E724" s="1151"/>
      <c r="F724" s="1151"/>
      <c r="G724" s="1151"/>
      <c r="H724" s="1151"/>
      <c r="I724" s="1151"/>
      <c r="J724" s="1151"/>
      <c r="K724" s="1151"/>
      <c r="L724" s="1151"/>
      <c r="M724" s="1151"/>
    </row>
    <row r="725" spans="3:13" ht="14.45" customHeight="1">
      <c r="C725" s="899"/>
      <c r="E725" s="606" t="s">
        <v>1005</v>
      </c>
      <c r="F725" s="360" t="s">
        <v>1422</v>
      </c>
    </row>
    <row r="726" spans="3:13" ht="14.45" customHeight="1">
      <c r="C726" s="899"/>
      <c r="E726" s="606" t="s">
        <v>1007</v>
      </c>
      <c r="F726" s="361" t="s">
        <v>1423</v>
      </c>
    </row>
    <row r="727" spans="3:13" ht="14.45" customHeight="1">
      <c r="C727" s="899"/>
      <c r="E727" s="606" t="s">
        <v>1009</v>
      </c>
      <c r="F727" s="1342" t="s">
        <v>1424</v>
      </c>
      <c r="G727" s="1342"/>
      <c r="H727" s="1342"/>
      <c r="I727" s="1342"/>
      <c r="J727" s="1342"/>
      <c r="K727" s="1342"/>
      <c r="L727" s="1342"/>
      <c r="M727" s="1342"/>
    </row>
    <row r="728" spans="3:13" ht="20.25" customHeight="1">
      <c r="C728" s="899"/>
      <c r="F728" s="1342"/>
      <c r="G728" s="1342"/>
      <c r="H728" s="1342"/>
      <c r="I728" s="1342"/>
      <c r="J728" s="1342"/>
      <c r="K728" s="1342"/>
      <c r="L728" s="1342"/>
      <c r="M728" s="1342"/>
    </row>
    <row r="729" spans="3:13" ht="35.25" customHeight="1">
      <c r="C729" s="899"/>
      <c r="E729" s="606" t="s">
        <v>1011</v>
      </c>
      <c r="F729" s="1332" t="s">
        <v>1425</v>
      </c>
      <c r="G729" s="1332"/>
      <c r="H729" s="1332"/>
      <c r="I729" s="1332"/>
      <c r="J729" s="1332"/>
      <c r="K729" s="1332"/>
      <c r="L729" s="1332"/>
      <c r="M729" s="1332"/>
    </row>
    <row r="730" spans="3:13" ht="14.45" customHeight="1">
      <c r="C730" s="899"/>
      <c r="E730" s="606" t="s">
        <v>1426</v>
      </c>
      <c r="F730" s="364"/>
      <c r="G730" s="364"/>
      <c r="H730" s="364"/>
      <c r="I730" s="364"/>
      <c r="J730" s="364"/>
      <c r="K730" s="364"/>
      <c r="L730" s="364"/>
      <c r="M730" s="364"/>
    </row>
    <row r="731" spans="3:13" ht="14.45" customHeight="1">
      <c r="C731" s="899"/>
      <c r="E731" s="1343" t="s">
        <v>1014</v>
      </c>
      <c r="F731" s="365" t="s">
        <v>637</v>
      </c>
      <c r="G731" s="1345" t="s">
        <v>639</v>
      </c>
      <c r="H731" s="365" t="s">
        <v>640</v>
      </c>
      <c r="I731" s="1343" t="s">
        <v>1015</v>
      </c>
      <c r="J731" s="1347" t="s">
        <v>1678</v>
      </c>
      <c r="K731" s="1347"/>
      <c r="L731" s="1347"/>
      <c r="M731" s="1348"/>
    </row>
    <row r="732" spans="3:13" ht="14.45" customHeight="1">
      <c r="C732" s="899"/>
      <c r="E732" s="1344"/>
      <c r="F732" s="484" t="s">
        <v>638</v>
      </c>
      <c r="G732" s="1346"/>
      <c r="H732" s="484" t="s">
        <v>641</v>
      </c>
      <c r="I732" s="1344"/>
      <c r="J732" s="367" t="s">
        <v>277</v>
      </c>
      <c r="K732" s="368" t="s">
        <v>278</v>
      </c>
      <c r="L732" s="369" t="s">
        <v>279</v>
      </c>
      <c r="M732" s="370" t="s">
        <v>15</v>
      </c>
    </row>
    <row r="733" spans="3:13" ht="50.1" customHeight="1">
      <c r="C733" s="899"/>
      <c r="E733" s="1224" t="s">
        <v>1427</v>
      </c>
      <c r="F733" s="1154" t="s">
        <v>1428</v>
      </c>
      <c r="G733" s="1154" t="s">
        <v>1429</v>
      </c>
      <c r="H733" s="1154" t="s">
        <v>1430</v>
      </c>
      <c r="I733" s="1154" t="s">
        <v>1431</v>
      </c>
      <c r="J733" s="1349">
        <f>'LBP NO. 2'!M1012</f>
        <v>7209000</v>
      </c>
      <c r="K733" s="1349">
        <f>'LBP NO. 2'!M1024</f>
        <v>1156000</v>
      </c>
      <c r="L733" s="1349">
        <f>'LBP NO. 2'!M1031</f>
        <v>260000</v>
      </c>
      <c r="M733" s="1349">
        <f>SUM(J733:L754)</f>
        <v>8625000</v>
      </c>
    </row>
    <row r="734" spans="3:13" ht="14.45" customHeight="1">
      <c r="C734" s="899"/>
      <c r="E734" s="372"/>
      <c r="F734" s="403"/>
      <c r="G734" s="403"/>
      <c r="H734" s="607"/>
      <c r="I734" s="403"/>
      <c r="J734" s="1350"/>
      <c r="K734" s="1350"/>
      <c r="L734" s="1350"/>
      <c r="M734" s="1350"/>
    </row>
    <row r="735" spans="3:13" ht="50.1" customHeight="1">
      <c r="C735" s="899"/>
      <c r="E735" s="1225" t="s">
        <v>1427</v>
      </c>
      <c r="F735" s="1155" t="s">
        <v>1432</v>
      </c>
      <c r="G735" s="1155" t="s">
        <v>1269</v>
      </c>
      <c r="H735" s="1155" t="s">
        <v>1430</v>
      </c>
      <c r="I735" s="1155" t="s">
        <v>1431</v>
      </c>
      <c r="J735" s="1350"/>
      <c r="K735" s="1350"/>
      <c r="L735" s="1350"/>
      <c r="M735" s="1350"/>
    </row>
    <row r="736" spans="3:13" ht="14.45" customHeight="1">
      <c r="C736" s="899"/>
      <c r="E736" s="372"/>
      <c r="F736" s="403"/>
      <c r="G736" s="403"/>
      <c r="H736" s="403"/>
      <c r="I736" s="403"/>
      <c r="J736" s="1350"/>
      <c r="K736" s="1350"/>
      <c r="L736" s="1350"/>
      <c r="M736" s="1350"/>
    </row>
    <row r="737" spans="3:17" ht="14.45" customHeight="1">
      <c r="C737" s="899"/>
      <c r="E737" s="1353" t="s">
        <v>1427</v>
      </c>
      <c r="F737" s="1335" t="s">
        <v>1433</v>
      </c>
      <c r="G737" s="1354" t="s">
        <v>1269</v>
      </c>
      <c r="H737" s="1354" t="s">
        <v>1430</v>
      </c>
      <c r="I737" s="1354" t="s">
        <v>1434</v>
      </c>
      <c r="J737" s="1350"/>
      <c r="K737" s="1350"/>
      <c r="L737" s="1350"/>
      <c r="M737" s="1350"/>
    </row>
    <row r="738" spans="3:17" ht="27" customHeight="1">
      <c r="C738" s="899"/>
      <c r="E738" s="1353"/>
      <c r="F738" s="1335"/>
      <c r="G738" s="1354"/>
      <c r="H738" s="1354"/>
      <c r="I738" s="1354"/>
      <c r="J738" s="1350"/>
      <c r="K738" s="1350"/>
      <c r="L738" s="1350"/>
      <c r="M738" s="1350"/>
    </row>
    <row r="739" spans="3:17" ht="14.45" customHeight="1">
      <c r="C739" s="899"/>
      <c r="E739" s="372"/>
      <c r="F739" s="403"/>
      <c r="G739" s="607"/>
      <c r="H739" s="607"/>
      <c r="I739" s="403"/>
      <c r="J739" s="1350"/>
      <c r="K739" s="1350"/>
      <c r="L739" s="1350"/>
      <c r="M739" s="1350"/>
    </row>
    <row r="740" spans="3:17" ht="14.45" customHeight="1">
      <c r="C740" s="899"/>
      <c r="E740" s="372" t="s">
        <v>1427</v>
      </c>
      <c r="F740" s="1352" t="s">
        <v>1435</v>
      </c>
      <c r="G740" s="607" t="s">
        <v>1269</v>
      </c>
      <c r="H740" s="380" t="s">
        <v>1430</v>
      </c>
      <c r="I740" s="380" t="s">
        <v>1434</v>
      </c>
      <c r="J740" s="1350"/>
      <c r="K740" s="1350"/>
      <c r="L740" s="1350"/>
      <c r="M740" s="1350"/>
    </row>
    <row r="741" spans="3:17" ht="20.100000000000001" customHeight="1">
      <c r="C741" s="899"/>
      <c r="E741" s="372"/>
      <c r="F741" s="1352"/>
      <c r="G741" s="607"/>
      <c r="H741" s="607"/>
      <c r="I741" s="403"/>
      <c r="J741" s="1350"/>
      <c r="K741" s="1350"/>
      <c r="L741" s="1350"/>
      <c r="M741" s="1350"/>
    </row>
    <row r="742" spans="3:17" ht="14.45" customHeight="1">
      <c r="C742" s="899"/>
      <c r="E742" s="372" t="s">
        <v>1427</v>
      </c>
      <c r="F742" s="1352" t="s">
        <v>1436</v>
      </c>
      <c r="G742" s="607" t="s">
        <v>1269</v>
      </c>
      <c r="H742" s="380" t="s">
        <v>1430</v>
      </c>
      <c r="I742" s="380" t="s">
        <v>1434</v>
      </c>
      <c r="J742" s="1350"/>
      <c r="K742" s="1350"/>
      <c r="L742" s="1350"/>
      <c r="M742" s="1350"/>
    </row>
    <row r="743" spans="3:17" ht="20.100000000000001" customHeight="1">
      <c r="C743" s="899"/>
      <c r="E743" s="372"/>
      <c r="F743" s="1352"/>
      <c r="G743" s="607"/>
      <c r="H743" s="607"/>
      <c r="I743" s="403"/>
      <c r="J743" s="1350"/>
      <c r="K743" s="1350"/>
      <c r="L743" s="1350"/>
      <c r="M743" s="1350"/>
    </row>
    <row r="744" spans="3:17" ht="14.45" customHeight="1">
      <c r="C744" s="899"/>
      <c r="E744" s="372" t="s">
        <v>1427</v>
      </c>
      <c r="F744" s="1352" t="s">
        <v>1437</v>
      </c>
      <c r="G744" s="607" t="s">
        <v>1269</v>
      </c>
      <c r="H744" s="380" t="s">
        <v>1430</v>
      </c>
      <c r="I744" s="380" t="s">
        <v>1434</v>
      </c>
      <c r="J744" s="1350"/>
      <c r="K744" s="1350"/>
      <c r="L744" s="1350"/>
      <c r="M744" s="1350"/>
    </row>
    <row r="745" spans="3:17" ht="21.75" customHeight="1">
      <c r="C745" s="899"/>
      <c r="E745" s="372"/>
      <c r="F745" s="1352"/>
      <c r="G745" s="607"/>
      <c r="H745" s="607"/>
      <c r="I745" s="403"/>
      <c r="J745" s="1350"/>
      <c r="K745" s="1350"/>
      <c r="L745" s="1350"/>
      <c r="M745" s="1350"/>
    </row>
    <row r="746" spans="3:17" ht="20.100000000000001" customHeight="1">
      <c r="C746" s="899"/>
      <c r="E746" s="372"/>
      <c r="F746" s="380"/>
      <c r="G746" s="607"/>
      <c r="H746" s="607"/>
      <c r="I746" s="600"/>
      <c r="J746" s="1350"/>
      <c r="K746" s="1350"/>
      <c r="L746" s="1350"/>
      <c r="M746" s="1350"/>
    </row>
    <row r="747" spans="3:17" ht="50.1" customHeight="1">
      <c r="C747" s="899"/>
      <c r="E747" s="506" t="s">
        <v>1427</v>
      </c>
      <c r="F747" s="380" t="s">
        <v>1438</v>
      </c>
      <c r="G747" s="380" t="s">
        <v>1269</v>
      </c>
      <c r="H747" s="380" t="s">
        <v>1439</v>
      </c>
      <c r="I747" s="380" t="s">
        <v>1440</v>
      </c>
      <c r="J747" s="1350"/>
      <c r="K747" s="1350"/>
      <c r="L747" s="1350"/>
      <c r="M747" s="1350"/>
    </row>
    <row r="748" spans="3:17" ht="14.45" customHeight="1">
      <c r="C748" s="899"/>
      <c r="E748" s="372"/>
      <c r="F748" s="380"/>
      <c r="G748" s="607"/>
      <c r="H748" s="607"/>
      <c r="I748" s="600"/>
      <c r="J748" s="1350"/>
      <c r="K748" s="1350"/>
      <c r="L748" s="1350"/>
      <c r="M748" s="1350"/>
    </row>
    <row r="749" spans="3:17" ht="50.1" customHeight="1">
      <c r="C749" s="899"/>
      <c r="E749" s="506" t="s">
        <v>1427</v>
      </c>
      <c r="F749" s="403" t="s">
        <v>1441</v>
      </c>
      <c r="G749" s="403" t="s">
        <v>1269</v>
      </c>
      <c r="H749" s="403" t="s">
        <v>1439</v>
      </c>
      <c r="I749" s="403" t="s">
        <v>1440</v>
      </c>
      <c r="J749" s="1350"/>
      <c r="K749" s="1350"/>
      <c r="L749" s="1350"/>
      <c r="M749" s="1350"/>
    </row>
    <row r="750" spans="3:17" ht="14.45" customHeight="1">
      <c r="C750" s="899"/>
      <c r="E750" s="373"/>
      <c r="F750" s="1158"/>
      <c r="G750" s="901"/>
      <c r="H750" s="901"/>
      <c r="I750" s="601"/>
      <c r="J750" s="1350"/>
      <c r="K750" s="1350"/>
      <c r="L750" s="1350"/>
      <c r="M750" s="1350"/>
    </row>
    <row r="751" spans="3:17" ht="50.1" customHeight="1">
      <c r="C751" s="899"/>
      <c r="E751" s="506" t="s">
        <v>1427</v>
      </c>
      <c r="F751" s="403" t="s">
        <v>1442</v>
      </c>
      <c r="G751" s="403" t="s">
        <v>1269</v>
      </c>
      <c r="H751" s="403" t="s">
        <v>1430</v>
      </c>
      <c r="I751" s="403" t="s">
        <v>1443</v>
      </c>
      <c r="J751" s="1350"/>
      <c r="K751" s="1350"/>
      <c r="L751" s="1350"/>
      <c r="M751" s="1350"/>
    </row>
    <row r="752" spans="3:17" ht="14.45" customHeight="1">
      <c r="C752" s="899"/>
      <c r="E752" s="372"/>
      <c r="F752" s="1152"/>
      <c r="G752" s="607"/>
      <c r="H752" s="607"/>
      <c r="I752" s="1149"/>
      <c r="J752" s="1350"/>
      <c r="K752" s="1350"/>
      <c r="L752" s="1350"/>
      <c r="M752" s="1350"/>
      <c r="Q752" s="608"/>
    </row>
    <row r="753" spans="1:13" ht="50.1" customHeight="1">
      <c r="C753" s="899"/>
      <c r="E753" s="372" t="s">
        <v>1427</v>
      </c>
      <c r="F753" s="1335" t="s">
        <v>1444</v>
      </c>
      <c r="G753" s="403" t="s">
        <v>1269</v>
      </c>
      <c r="H753" s="403" t="s">
        <v>1445</v>
      </c>
      <c r="I753" s="1335" t="s">
        <v>1446</v>
      </c>
      <c r="J753" s="1350"/>
      <c r="K753" s="1350"/>
      <c r="L753" s="1350"/>
      <c r="M753" s="1350"/>
    </row>
    <row r="754" spans="1:13" ht="17.25" customHeight="1">
      <c r="C754" s="899"/>
      <c r="E754" s="373"/>
      <c r="F754" s="1336"/>
      <c r="G754" s="381"/>
      <c r="H754" s="381"/>
      <c r="I754" s="1336"/>
      <c r="J754" s="1351"/>
      <c r="K754" s="1351"/>
      <c r="L754" s="1351"/>
      <c r="M754" s="1351"/>
    </row>
    <row r="755" spans="1:13" ht="20.100000000000001" customHeight="1" thickBot="1">
      <c r="C755" s="899"/>
      <c r="E755" s="510"/>
      <c r="F755" s="596"/>
      <c r="G755" s="609"/>
      <c r="H755" s="609"/>
      <c r="I755" s="598"/>
      <c r="J755" s="515">
        <f>SUM(J733:J754)</f>
        <v>7209000</v>
      </c>
      <c r="K755" s="515">
        <f t="shared" ref="K755:M755" si="0">SUM(K733:K754)</f>
        <v>1156000</v>
      </c>
      <c r="L755" s="515">
        <f t="shared" si="0"/>
        <v>260000</v>
      </c>
      <c r="M755" s="515">
        <f t="shared" si="0"/>
        <v>8625000</v>
      </c>
    </row>
    <row r="756" spans="1:13" ht="15.95" customHeight="1" thickTop="1">
      <c r="E756" s="383"/>
      <c r="F756" s="384"/>
      <c r="G756" s="384"/>
      <c r="H756" s="384"/>
      <c r="I756" s="384"/>
      <c r="J756" s="385"/>
      <c r="K756" s="385"/>
      <c r="L756" s="385"/>
      <c r="M756" s="385"/>
    </row>
    <row r="757" spans="1:13" ht="15.95" customHeight="1">
      <c r="E757" s="383"/>
      <c r="F757" s="384"/>
      <c r="G757" s="384"/>
      <c r="H757" s="384"/>
      <c r="I757" s="384"/>
      <c r="J757" s="385"/>
      <c r="K757" s="385"/>
      <c r="L757" s="385"/>
      <c r="M757" s="385"/>
    </row>
    <row r="758" spans="1:13" ht="15.95" customHeight="1">
      <c r="E758" s="383"/>
      <c r="F758" s="384"/>
      <c r="G758" s="384"/>
      <c r="H758" s="384"/>
      <c r="I758" s="384"/>
      <c r="J758" s="385"/>
      <c r="K758" s="385"/>
      <c r="L758" s="385"/>
      <c r="M758" s="385"/>
    </row>
    <row r="759" spans="1:13" ht="14.45" customHeight="1">
      <c r="C759" s="1337"/>
      <c r="E759" s="383" t="s">
        <v>1044</v>
      </c>
      <c r="F759" s="383"/>
      <c r="G759" s="386" t="s">
        <v>1045</v>
      </c>
      <c r="H759" s="386"/>
      <c r="J759" s="387"/>
      <c r="K759" s="387"/>
      <c r="L759" s="388"/>
      <c r="M759" s="388"/>
    </row>
    <row r="760" spans="1:13" ht="14.45" customHeight="1">
      <c r="A760" s="610"/>
      <c r="C760" s="1337"/>
      <c r="E760" s="383"/>
      <c r="F760" s="383"/>
      <c r="G760" s="383"/>
      <c r="H760" s="383"/>
      <c r="J760" s="383"/>
      <c r="K760" s="383"/>
      <c r="L760" s="383"/>
      <c r="M760" s="383"/>
    </row>
    <row r="761" spans="1:13" ht="14.45" customHeight="1">
      <c r="C761" s="1337"/>
      <c r="E761" s="1333" t="s">
        <v>161</v>
      </c>
      <c r="F761" s="1333"/>
      <c r="G761" s="1333" t="s">
        <v>254</v>
      </c>
      <c r="H761" s="1333"/>
      <c r="I761" s="1338" t="s">
        <v>17</v>
      </c>
      <c r="J761" s="1338"/>
      <c r="L761" s="1333" t="s">
        <v>88</v>
      </c>
      <c r="M761" s="1333"/>
    </row>
    <row r="762" spans="1:13" ht="14.45" customHeight="1">
      <c r="C762" s="1337"/>
      <c r="E762" s="1334" t="s">
        <v>160</v>
      </c>
      <c r="F762" s="1334"/>
      <c r="G762" s="1334" t="s">
        <v>13</v>
      </c>
      <c r="H762" s="1334"/>
      <c r="I762" s="1339" t="s">
        <v>18</v>
      </c>
      <c r="J762" s="1339"/>
      <c r="L762" s="1334" t="s">
        <v>1000</v>
      </c>
      <c r="M762" s="1334"/>
    </row>
    <row r="763" spans="1:13" ht="14.45" customHeight="1">
      <c r="C763" s="1337"/>
      <c r="E763" s="389" t="s">
        <v>258</v>
      </c>
      <c r="F763" s="389"/>
      <c r="G763" s="389"/>
      <c r="H763" s="383"/>
      <c r="I763" s="383"/>
      <c r="J763" s="383"/>
      <c r="K763" s="390"/>
      <c r="L763" s="383"/>
      <c r="M763" s="383"/>
    </row>
    <row r="764" spans="1:13" ht="14.45" customHeight="1">
      <c r="C764" s="1337"/>
      <c r="E764" s="391"/>
      <c r="F764" s="391"/>
      <c r="G764" s="391"/>
      <c r="H764" s="383"/>
      <c r="I764" s="383"/>
      <c r="J764" s="383"/>
      <c r="K764" s="392"/>
      <c r="L764" s="383"/>
      <c r="M764" s="383"/>
    </row>
    <row r="765" spans="1:13" ht="14.45" customHeight="1">
      <c r="C765" s="1337"/>
      <c r="E765" s="1333" t="s">
        <v>1456</v>
      </c>
      <c r="F765" s="1333"/>
      <c r="G765" s="393"/>
      <c r="H765" s="393"/>
      <c r="I765" s="393"/>
      <c r="J765" s="394"/>
      <c r="K765" s="394"/>
      <c r="L765" s="395"/>
      <c r="M765" s="391"/>
    </row>
    <row r="766" spans="1:13" ht="14.45" customHeight="1">
      <c r="C766" s="1337"/>
      <c r="E766" s="1334" t="s">
        <v>14</v>
      </c>
      <c r="F766" s="1334"/>
      <c r="G766" s="396"/>
      <c r="H766" s="396"/>
      <c r="I766" s="396"/>
      <c r="J766" s="397"/>
      <c r="K766" s="394"/>
      <c r="L766" s="395"/>
      <c r="M766" s="391"/>
    </row>
    <row r="767" spans="1:13" ht="14.45" customHeight="1">
      <c r="C767" s="1337"/>
    </row>
    <row r="768" spans="1:13" ht="14.45" customHeight="1">
      <c r="C768" s="1337"/>
    </row>
    <row r="769" spans="3:16" ht="14.45" customHeight="1">
      <c r="C769" s="1337"/>
    </row>
    <row r="770" spans="3:16" ht="14.45" customHeight="1">
      <c r="C770" s="1337"/>
    </row>
    <row r="771" spans="3:16" ht="14.45" customHeight="1">
      <c r="C771" s="1337"/>
    </row>
    <row r="772" spans="3:16" ht="14.45" customHeight="1">
      <c r="C772" s="1337"/>
    </row>
    <row r="773" spans="3:16" ht="14.45" customHeight="1">
      <c r="C773" s="1337"/>
      <c r="M773" s="356" t="s">
        <v>1580</v>
      </c>
      <c r="O773" s="612">
        <f>SUM(M755+M688+M600+M509+M424+M356+M312+M270+M224+M192+M129+M106+M52+M12)</f>
        <v>137859355</v>
      </c>
    </row>
    <row r="774" spans="3:16" ht="14.45" customHeight="1">
      <c r="C774" s="1337"/>
      <c r="M774" s="356" t="s">
        <v>1515</v>
      </c>
      <c r="O774" s="613">
        <f>'LBP NO. 2a'!K52+'LBP NO. 2a'!K199</f>
        <v>8450651</v>
      </c>
    </row>
    <row r="775" spans="3:16" ht="14.45" customHeight="1">
      <c r="C775" s="1337"/>
      <c r="O775" s="612">
        <f>O774+O773</f>
        <v>146310006</v>
      </c>
    </row>
    <row r="776" spans="3:16" ht="14.45" customHeight="1">
      <c r="M776" s="356" t="s">
        <v>1447</v>
      </c>
      <c r="O776" s="614">
        <f>'[1]LBP NO. 2'!M1013</f>
        <v>0</v>
      </c>
    </row>
    <row r="777" spans="3:16" ht="14.45" customHeight="1" thickBot="1">
      <c r="O777" s="615">
        <f>O776+O775</f>
        <v>146310006</v>
      </c>
      <c r="P777" s="608"/>
    </row>
    <row r="778" spans="3:16" ht="14.45" customHeight="1" thickTop="1"/>
    <row r="779" spans="3:16" ht="14.45" customHeight="1">
      <c r="O779" s="608">
        <f>O777-'LBP NO. 2a'!K234</f>
        <v>0</v>
      </c>
    </row>
    <row r="807" ht="15.95" customHeight="1"/>
  </sheetData>
  <mergeCells count="539">
    <mergeCell ref="L36:M36"/>
    <mergeCell ref="M12:M31"/>
    <mergeCell ref="H662:H664"/>
    <mergeCell ref="I662:I664"/>
    <mergeCell ref="G662:G664"/>
    <mergeCell ref="I656:I657"/>
    <mergeCell ref="G12:G15"/>
    <mergeCell ref="H12:H15"/>
    <mergeCell ref="I12:I15"/>
    <mergeCell ref="J12:J31"/>
    <mergeCell ref="K12:K31"/>
    <mergeCell ref="I52:I55"/>
    <mergeCell ref="J52:J65"/>
    <mergeCell ref="K52:K65"/>
    <mergeCell ref="G102:G104"/>
    <mergeCell ref="H102:H104"/>
    <mergeCell ref="I102:I104"/>
    <mergeCell ref="I95:I96"/>
    <mergeCell ref="E154:M154"/>
    <mergeCell ref="E295:F295"/>
    <mergeCell ref="I354:I355"/>
    <mergeCell ref="L12:L31"/>
    <mergeCell ref="F16:F19"/>
    <mergeCell ref="G16:G19"/>
    <mergeCell ref="E74:F74"/>
    <mergeCell ref="G110:H110"/>
    <mergeCell ref="I110:J110"/>
    <mergeCell ref="E145:F145"/>
    <mergeCell ref="G145:H145"/>
    <mergeCell ref="I145:J145"/>
    <mergeCell ref="E291:F291"/>
    <mergeCell ref="G291:H291"/>
    <mergeCell ref="I291:J291"/>
    <mergeCell ref="E111:F111"/>
    <mergeCell ref="G111:H111"/>
    <mergeCell ref="I111:J111"/>
    <mergeCell ref="J105:M105"/>
    <mergeCell ref="F170:F171"/>
    <mergeCell ref="G170:G171"/>
    <mergeCell ref="H170:H171"/>
    <mergeCell ref="G164:G167"/>
    <mergeCell ref="H164:H167"/>
    <mergeCell ref="J164:J191"/>
    <mergeCell ref="F164:F167"/>
    <mergeCell ref="E114:F114"/>
    <mergeCell ref="E115:F115"/>
    <mergeCell ref="L111:M111"/>
    <mergeCell ref="F153:L153"/>
    <mergeCell ref="H16:H19"/>
    <mergeCell ref="I16:I19"/>
    <mergeCell ref="F20:F22"/>
    <mergeCell ref="G20:G22"/>
    <mergeCell ref="H20:H22"/>
    <mergeCell ref="I20:I22"/>
    <mergeCell ref="F12:F15"/>
    <mergeCell ref="F23:F25"/>
    <mergeCell ref="G23:G25"/>
    <mergeCell ref="H23:H25"/>
    <mergeCell ref="I23:I25"/>
    <mergeCell ref="L35:M35"/>
    <mergeCell ref="E36:F36"/>
    <mergeCell ref="E40:F40"/>
    <mergeCell ref="I62:I65"/>
    <mergeCell ref="E69:F69"/>
    <mergeCell ref="G69:H69"/>
    <mergeCell ref="I69:J69"/>
    <mergeCell ref="L110:M110"/>
    <mergeCell ref="A41:A86"/>
    <mergeCell ref="C41:C74"/>
    <mergeCell ref="F41:L41"/>
    <mergeCell ref="E42:M42"/>
    <mergeCell ref="F46:M46"/>
    <mergeCell ref="F47:M48"/>
    <mergeCell ref="E50:E51"/>
    <mergeCell ref="G50:G51"/>
    <mergeCell ref="I50:I51"/>
    <mergeCell ref="J50:M50"/>
    <mergeCell ref="F52:F55"/>
    <mergeCell ref="L52:L65"/>
    <mergeCell ref="M52:M65"/>
    <mergeCell ref="G56:G58"/>
    <mergeCell ref="L69:M69"/>
    <mergeCell ref="E70:F70"/>
    <mergeCell ref="G70:H70"/>
    <mergeCell ref="I70:J70"/>
    <mergeCell ref="L70:M70"/>
    <mergeCell ref="E73:F73"/>
    <mergeCell ref="I56:I58"/>
    <mergeCell ref="F62:F65"/>
    <mergeCell ref="G62:G65"/>
    <mergeCell ref="H62:H65"/>
    <mergeCell ref="A1:A40"/>
    <mergeCell ref="C1:C40"/>
    <mergeCell ref="F1:L1"/>
    <mergeCell ref="E2:M2"/>
    <mergeCell ref="F6:M6"/>
    <mergeCell ref="F7:M8"/>
    <mergeCell ref="E10:E11"/>
    <mergeCell ref="G10:G11"/>
    <mergeCell ref="I10:I11"/>
    <mergeCell ref="J10:M10"/>
    <mergeCell ref="E39:F39"/>
    <mergeCell ref="F28:F31"/>
    <mergeCell ref="G28:G31"/>
    <mergeCell ref="H28:H31"/>
    <mergeCell ref="I28:I31"/>
    <mergeCell ref="E35:F35"/>
    <mergeCell ref="G35:H35"/>
    <mergeCell ref="I35:J35"/>
    <mergeCell ref="G52:G55"/>
    <mergeCell ref="H52:H55"/>
    <mergeCell ref="G36:H36"/>
    <mergeCell ref="I36:J36"/>
    <mergeCell ref="C87:C115"/>
    <mergeCell ref="F87:L87"/>
    <mergeCell ref="E88:M88"/>
    <mergeCell ref="F92:M92"/>
    <mergeCell ref="F93:M93"/>
    <mergeCell ref="E95:E96"/>
    <mergeCell ref="F95:F96"/>
    <mergeCell ref="G95:G96"/>
    <mergeCell ref="H95:H96"/>
    <mergeCell ref="J95:M95"/>
    <mergeCell ref="F97:F98"/>
    <mergeCell ref="G97:G98"/>
    <mergeCell ref="H97:H98"/>
    <mergeCell ref="I97:I98"/>
    <mergeCell ref="J97:J104"/>
    <mergeCell ref="K97:K104"/>
    <mergeCell ref="L97:L104"/>
    <mergeCell ref="M97:M104"/>
    <mergeCell ref="F99:F101"/>
    <mergeCell ref="G99:G101"/>
    <mergeCell ref="H99:H101"/>
    <mergeCell ref="I99:I101"/>
    <mergeCell ref="F102:F104"/>
    <mergeCell ref="E110:F110"/>
    <mergeCell ref="C117:C150"/>
    <mergeCell ref="F117:M117"/>
    <mergeCell ref="F118:M118"/>
    <mergeCell ref="E125:L125"/>
    <mergeCell ref="E127:E128"/>
    <mergeCell ref="H127:H128"/>
    <mergeCell ref="I127:I128"/>
    <mergeCell ref="J127:M127"/>
    <mergeCell ref="E146:F146"/>
    <mergeCell ref="G146:H146"/>
    <mergeCell ref="I146:J146"/>
    <mergeCell ref="L146:M146"/>
    <mergeCell ref="E149:F149"/>
    <mergeCell ref="E150:F150"/>
    <mergeCell ref="J129:J141"/>
    <mergeCell ref="K129:K141"/>
    <mergeCell ref="L129:L141"/>
    <mergeCell ref="M129:M141"/>
    <mergeCell ref="L145:M145"/>
    <mergeCell ref="F159:I159"/>
    <mergeCell ref="F160:I160"/>
    <mergeCell ref="E162:E163"/>
    <mergeCell ref="G162:G163"/>
    <mergeCell ref="I162:I163"/>
    <mergeCell ref="J162:M162"/>
    <mergeCell ref="K164:K191"/>
    <mergeCell ref="L164:L191"/>
    <mergeCell ref="M164:M191"/>
    <mergeCell ref="F168:F169"/>
    <mergeCell ref="G168:G169"/>
    <mergeCell ref="H168:H169"/>
    <mergeCell ref="C184:C201"/>
    <mergeCell ref="E196:F196"/>
    <mergeCell ref="G196:H196"/>
    <mergeCell ref="E200:F200"/>
    <mergeCell ref="E201:F201"/>
    <mergeCell ref="F172:F174"/>
    <mergeCell ref="G172:G174"/>
    <mergeCell ref="H172:H173"/>
    <mergeCell ref="I172:I173"/>
    <mergeCell ref="F177:F178"/>
    <mergeCell ref="H177:H178"/>
    <mergeCell ref="I196:J196"/>
    <mergeCell ref="F181:F182"/>
    <mergeCell ref="G181:G182"/>
    <mergeCell ref="H181:H182"/>
    <mergeCell ref="L196:M196"/>
    <mergeCell ref="E197:F197"/>
    <mergeCell ref="G197:H197"/>
    <mergeCell ref="F232:F234"/>
    <mergeCell ref="G232:G234"/>
    <mergeCell ref="H232:H234"/>
    <mergeCell ref="I232:I234"/>
    <mergeCell ref="F224:F227"/>
    <mergeCell ref="I197:J197"/>
    <mergeCell ref="L197:M197"/>
    <mergeCell ref="G224:G227"/>
    <mergeCell ref="H224:H227"/>
    <mergeCell ref="I224:I227"/>
    <mergeCell ref="J224:J240"/>
    <mergeCell ref="K224:K240"/>
    <mergeCell ref="F235:F236"/>
    <mergeCell ref="G235:G236"/>
    <mergeCell ref="H235:H236"/>
    <mergeCell ref="I235:I236"/>
    <mergeCell ref="J222:M222"/>
    <mergeCell ref="F237:F240"/>
    <mergeCell ref="G237:G240"/>
    <mergeCell ref="H237:H240"/>
    <mergeCell ref="I237:I240"/>
    <mergeCell ref="L291:M291"/>
    <mergeCell ref="M270:M285"/>
    <mergeCell ref="E249:F249"/>
    <mergeCell ref="H276:H278"/>
    <mergeCell ref="I276:I278"/>
    <mergeCell ref="F270:F272"/>
    <mergeCell ref="K270:K285"/>
    <mergeCell ref="F279:F281"/>
    <mergeCell ref="G279:G281"/>
    <mergeCell ref="H279:H281"/>
    <mergeCell ref="I279:I281"/>
    <mergeCell ref="L290:M290"/>
    <mergeCell ref="G270:G272"/>
    <mergeCell ref="H270:H272"/>
    <mergeCell ref="I270:I272"/>
    <mergeCell ref="J270:J285"/>
    <mergeCell ref="C258:C295"/>
    <mergeCell ref="F258:L258"/>
    <mergeCell ref="E259:M259"/>
    <mergeCell ref="F263:M264"/>
    <mergeCell ref="F265:M266"/>
    <mergeCell ref="E268:E269"/>
    <mergeCell ref="G268:G269"/>
    <mergeCell ref="I268:I269"/>
    <mergeCell ref="J268:M268"/>
    <mergeCell ref="E294:F294"/>
    <mergeCell ref="F282:F285"/>
    <mergeCell ref="G282:G285"/>
    <mergeCell ref="H282:H285"/>
    <mergeCell ref="I282:I285"/>
    <mergeCell ref="E290:F290"/>
    <mergeCell ref="G290:H290"/>
    <mergeCell ref="I290:J290"/>
    <mergeCell ref="L270:L285"/>
    <mergeCell ref="F273:F275"/>
    <mergeCell ref="G273:G275"/>
    <mergeCell ref="H273:H275"/>
    <mergeCell ref="I273:I275"/>
    <mergeCell ref="F276:F278"/>
    <mergeCell ref="G276:G278"/>
    <mergeCell ref="C214:C249"/>
    <mergeCell ref="F214:L214"/>
    <mergeCell ref="E215:M215"/>
    <mergeCell ref="F219:M219"/>
    <mergeCell ref="F220:M220"/>
    <mergeCell ref="E221:M221"/>
    <mergeCell ref="E222:E223"/>
    <mergeCell ref="G222:G223"/>
    <mergeCell ref="I222:I223"/>
    <mergeCell ref="L224:L240"/>
    <mergeCell ref="M224:M240"/>
    <mergeCell ref="F228:F231"/>
    <mergeCell ref="G228:G231"/>
    <mergeCell ref="H228:H231"/>
    <mergeCell ref="I228:I231"/>
    <mergeCell ref="L244:M244"/>
    <mergeCell ref="E245:F245"/>
    <mergeCell ref="G245:H245"/>
    <mergeCell ref="I245:J245"/>
    <mergeCell ref="L245:M245"/>
    <mergeCell ref="E248:F248"/>
    <mergeCell ref="E244:F244"/>
    <mergeCell ref="G244:H244"/>
    <mergeCell ref="I244:J244"/>
    <mergeCell ref="C299:C337"/>
    <mergeCell ref="F299:L299"/>
    <mergeCell ref="E300:M300"/>
    <mergeCell ref="E308:M309"/>
    <mergeCell ref="E310:E311"/>
    <mergeCell ref="G310:G311"/>
    <mergeCell ref="I310:I311"/>
    <mergeCell ref="G316:G319"/>
    <mergeCell ref="H316:H319"/>
    <mergeCell ref="I316:I319"/>
    <mergeCell ref="F320:F321"/>
    <mergeCell ref="G320:G321"/>
    <mergeCell ref="H320:H321"/>
    <mergeCell ref="I320:I321"/>
    <mergeCell ref="J310:M310"/>
    <mergeCell ref="F312:F315"/>
    <mergeCell ref="G312:G315"/>
    <mergeCell ref="H312:H315"/>
    <mergeCell ref="I312:I315"/>
    <mergeCell ref="J312:J328"/>
    <mergeCell ref="K312:K328"/>
    <mergeCell ref="L312:L328"/>
    <mergeCell ref="M312:M328"/>
    <mergeCell ref="F316:F319"/>
    <mergeCell ref="E332:F332"/>
    <mergeCell ref="G332:H332"/>
    <mergeCell ref="I332:J332"/>
    <mergeCell ref="L332:M332"/>
    <mergeCell ref="E333:F333"/>
    <mergeCell ref="G333:H333"/>
    <mergeCell ref="I333:J333"/>
    <mergeCell ref="L333:M333"/>
    <mergeCell ref="F322:F324"/>
    <mergeCell ref="G322:G324"/>
    <mergeCell ref="H322:H324"/>
    <mergeCell ref="I322:I324"/>
    <mergeCell ref="F325:F328"/>
    <mergeCell ref="G325:G328"/>
    <mergeCell ref="H325:H328"/>
    <mergeCell ref="I325:I328"/>
    <mergeCell ref="C346:C379"/>
    <mergeCell ref="F346:L346"/>
    <mergeCell ref="E347:M347"/>
    <mergeCell ref="F350:L350"/>
    <mergeCell ref="F351:M351"/>
    <mergeCell ref="F352:M352"/>
    <mergeCell ref="E354:E355"/>
    <mergeCell ref="G354:G355"/>
    <mergeCell ref="J354:M354"/>
    <mergeCell ref="F356:F357"/>
    <mergeCell ref="G356:G357"/>
    <mergeCell ref="H356:H357"/>
    <mergeCell ref="I356:I357"/>
    <mergeCell ref="J356:J370"/>
    <mergeCell ref="K356:K370"/>
    <mergeCell ref="L356:L370"/>
    <mergeCell ref="M356:M370"/>
    <mergeCell ref="F358:F359"/>
    <mergeCell ref="G358:G359"/>
    <mergeCell ref="H358:H359"/>
    <mergeCell ref="I358:I359"/>
    <mergeCell ref="F360:F362"/>
    <mergeCell ref="G360:G362"/>
    <mergeCell ref="H360:H362"/>
    <mergeCell ref="F363:F366"/>
    <mergeCell ref="G363:G366"/>
    <mergeCell ref="H363:H366"/>
    <mergeCell ref="I363:I366"/>
    <mergeCell ref="F367:F369"/>
    <mergeCell ref="G367:G369"/>
    <mergeCell ref="H367:H369"/>
    <mergeCell ref="I367:I369"/>
    <mergeCell ref="E336:F336"/>
    <mergeCell ref="E337:F337"/>
    <mergeCell ref="I360:I362"/>
    <mergeCell ref="E374:F374"/>
    <mergeCell ref="G374:H374"/>
    <mergeCell ref="I374:J374"/>
    <mergeCell ref="L374:M374"/>
    <mergeCell ref="E375:F375"/>
    <mergeCell ref="G375:H375"/>
    <mergeCell ref="I375:J375"/>
    <mergeCell ref="L375:M375"/>
    <mergeCell ref="J411:J423"/>
    <mergeCell ref="K411:K423"/>
    <mergeCell ref="L411:L423"/>
    <mergeCell ref="M411:M423"/>
    <mergeCell ref="F411:F413"/>
    <mergeCell ref="G411:G413"/>
    <mergeCell ref="F473:N474"/>
    <mergeCell ref="E378:F378"/>
    <mergeCell ref="E379:F379"/>
    <mergeCell ref="D391:M391"/>
    <mergeCell ref="D392:M392"/>
    <mergeCell ref="F395:M396"/>
    <mergeCell ref="F397:M398"/>
    <mergeCell ref="E399:E401"/>
    <mergeCell ref="F399:M400"/>
    <mergeCell ref="E404:E405"/>
    <mergeCell ref="F404:F405"/>
    <mergeCell ref="G404:G405"/>
    <mergeCell ref="H404:H405"/>
    <mergeCell ref="I404:I405"/>
    <mergeCell ref="J404:M404"/>
    <mergeCell ref="D466:N466"/>
    <mergeCell ref="D467:N467"/>
    <mergeCell ref="F471:N472"/>
    <mergeCell ref="F406:F410"/>
    <mergeCell ref="E436:F436"/>
    <mergeCell ref="C424:C436"/>
    <mergeCell ref="E430:F430"/>
    <mergeCell ref="G430:H430"/>
    <mergeCell ref="I430:J430"/>
    <mergeCell ref="L430:M430"/>
    <mergeCell ref="E431:F431"/>
    <mergeCell ref="G431:H431"/>
    <mergeCell ref="I431:J431"/>
    <mergeCell ref="L431:M431"/>
    <mergeCell ref="E435:F435"/>
    <mergeCell ref="C495:C511"/>
    <mergeCell ref="H478:H479"/>
    <mergeCell ref="I478:I479"/>
    <mergeCell ref="J478:M478"/>
    <mergeCell ref="J480:J508"/>
    <mergeCell ref="K480:K508"/>
    <mergeCell ref="L480:L508"/>
    <mergeCell ref="M480:M508"/>
    <mergeCell ref="C512:C519"/>
    <mergeCell ref="E514:F514"/>
    <mergeCell ref="G514:H514"/>
    <mergeCell ref="I514:J514"/>
    <mergeCell ref="L514:M514"/>
    <mergeCell ref="E515:F515"/>
    <mergeCell ref="G515:H515"/>
    <mergeCell ref="I515:J515"/>
    <mergeCell ref="L515:M515"/>
    <mergeCell ref="E518:F518"/>
    <mergeCell ref="E519:F519"/>
    <mergeCell ref="D478:D479"/>
    <mergeCell ref="E478:E479"/>
    <mergeCell ref="F478:F479"/>
    <mergeCell ref="G478:G479"/>
    <mergeCell ref="I605:J605"/>
    <mergeCell ref="L605:M605"/>
    <mergeCell ref="E608:F608"/>
    <mergeCell ref="I604:J604"/>
    <mergeCell ref="E609:F609"/>
    <mergeCell ref="F557:L557"/>
    <mergeCell ref="E558:M558"/>
    <mergeCell ref="F562:M562"/>
    <mergeCell ref="F563:M563"/>
    <mergeCell ref="E565:E566"/>
    <mergeCell ref="G565:G566"/>
    <mergeCell ref="I565:I566"/>
    <mergeCell ref="J565:M565"/>
    <mergeCell ref="I567:I571"/>
    <mergeCell ref="J567:J599"/>
    <mergeCell ref="K567:K599"/>
    <mergeCell ref="L567:L599"/>
    <mergeCell ref="M567:M599"/>
    <mergeCell ref="G572:G574"/>
    <mergeCell ref="I572:I574"/>
    <mergeCell ref="C587:C609"/>
    <mergeCell ref="I588:I590"/>
    <mergeCell ref="G591:G592"/>
    <mergeCell ref="H591:H592"/>
    <mergeCell ref="I591:I593"/>
    <mergeCell ref="E604:F604"/>
    <mergeCell ref="G604:H604"/>
    <mergeCell ref="I647:I648"/>
    <mergeCell ref="F650:F651"/>
    <mergeCell ref="I650:I651"/>
    <mergeCell ref="F617:L617"/>
    <mergeCell ref="E618:M618"/>
    <mergeCell ref="F622:M622"/>
    <mergeCell ref="F623:M623"/>
    <mergeCell ref="E625:E626"/>
    <mergeCell ref="G625:G626"/>
    <mergeCell ref="I625:I626"/>
    <mergeCell ref="J625:M625"/>
    <mergeCell ref="F627:F629"/>
    <mergeCell ref="H627:H629"/>
    <mergeCell ref="J627:J687"/>
    <mergeCell ref="L604:M604"/>
    <mergeCell ref="E605:F605"/>
    <mergeCell ref="G605:H605"/>
    <mergeCell ref="K627:K687"/>
    <mergeCell ref="L627:L687"/>
    <mergeCell ref="M627:M687"/>
    <mergeCell ref="F669:F671"/>
    <mergeCell ref="G669:G674"/>
    <mergeCell ref="H669:H674"/>
    <mergeCell ref="F656:F657"/>
    <mergeCell ref="G627:G628"/>
    <mergeCell ref="G630:G631"/>
    <mergeCell ref="G638:G651"/>
    <mergeCell ref="G653:G654"/>
    <mergeCell ref="H638:H651"/>
    <mergeCell ref="F638:F639"/>
    <mergeCell ref="F641:F642"/>
    <mergeCell ref="F644:F645"/>
    <mergeCell ref="I644:I645"/>
    <mergeCell ref="G633:G634"/>
    <mergeCell ref="H633:H635"/>
    <mergeCell ref="F653:F654"/>
    <mergeCell ref="C674:C675"/>
    <mergeCell ref="C676:C697"/>
    <mergeCell ref="F676:F678"/>
    <mergeCell ref="G676:G678"/>
    <mergeCell ref="H676:H678"/>
    <mergeCell ref="C645:C673"/>
    <mergeCell ref="F647:F648"/>
    <mergeCell ref="I676:I678"/>
    <mergeCell ref="H684:H687"/>
    <mergeCell ref="I686:I687"/>
    <mergeCell ref="F684:F685"/>
    <mergeCell ref="G684:G687"/>
    <mergeCell ref="F680:F682"/>
    <mergeCell ref="G680:G682"/>
    <mergeCell ref="H680:H681"/>
    <mergeCell ref="H666:H667"/>
    <mergeCell ref="G656:G658"/>
    <mergeCell ref="H656:H658"/>
    <mergeCell ref="L692:M692"/>
    <mergeCell ref="E693:F693"/>
    <mergeCell ref="G693:H693"/>
    <mergeCell ref="I693:J693"/>
    <mergeCell ref="L693:M693"/>
    <mergeCell ref="K733:K754"/>
    <mergeCell ref="L733:L754"/>
    <mergeCell ref="E692:F692"/>
    <mergeCell ref="G692:H692"/>
    <mergeCell ref="E696:F696"/>
    <mergeCell ref="E697:F697"/>
    <mergeCell ref="F737:F738"/>
    <mergeCell ref="F740:F741"/>
    <mergeCell ref="F742:F743"/>
    <mergeCell ref="F744:F745"/>
    <mergeCell ref="F753:F754"/>
    <mergeCell ref="I692:J692"/>
    <mergeCell ref="E737:E738"/>
    <mergeCell ref="G737:G738"/>
    <mergeCell ref="H737:H738"/>
    <mergeCell ref="I737:I738"/>
    <mergeCell ref="F304:M305"/>
    <mergeCell ref="F306:M307"/>
    <mergeCell ref="E765:F765"/>
    <mergeCell ref="E766:F766"/>
    <mergeCell ref="I753:I754"/>
    <mergeCell ref="C759:C775"/>
    <mergeCell ref="E761:F761"/>
    <mergeCell ref="G761:H761"/>
    <mergeCell ref="I761:J761"/>
    <mergeCell ref="L761:M761"/>
    <mergeCell ref="E762:F762"/>
    <mergeCell ref="G762:H762"/>
    <mergeCell ref="I762:J762"/>
    <mergeCell ref="L762:M762"/>
    <mergeCell ref="F722:L722"/>
    <mergeCell ref="E723:M723"/>
    <mergeCell ref="F727:M728"/>
    <mergeCell ref="F729:M729"/>
    <mergeCell ref="E731:E732"/>
    <mergeCell ref="G731:G732"/>
    <mergeCell ref="I731:I732"/>
    <mergeCell ref="J731:M731"/>
    <mergeCell ref="J733:J754"/>
    <mergeCell ref="M733:M754"/>
  </mergeCells>
  <printOptions horizontalCentered="1"/>
  <pageMargins left="0" right="0" top="1" bottom="0.5" header="0" footer="0"/>
  <pageSetup paperSize="14"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AO</vt:lpstr>
      <vt:lpstr>LBP NO. 1</vt:lpstr>
      <vt:lpstr>LBP NO. 1 (Market)</vt:lpstr>
      <vt:lpstr>LBP NO. 2</vt:lpstr>
      <vt:lpstr>LBP NO. 2a</vt:lpstr>
      <vt:lpstr>Summary</vt:lpstr>
      <vt:lpstr>Summary (2)</vt:lpstr>
      <vt:lpstr>LBP NO. 3a per office</vt:lpstr>
      <vt:lpstr>LBP No. 4</vt:lpstr>
      <vt:lpstr>LBP NO. 5</vt:lpstr>
      <vt:lpstr>LBP NO. 6</vt:lpstr>
      <vt:lpstr>LBP NO. 7</vt:lpstr>
      <vt:lpstr>PROPOSED BUDGET</vt:lpstr>
      <vt:lpstr>2022 Annual Budget</vt:lpstr>
      <vt:lpstr>'2022 Annual Budget'!Print_Area</vt:lpstr>
      <vt:lpstr>AO!Print_Area</vt:lpstr>
      <vt:lpstr>'LBP NO. 1'!Print_Area</vt:lpstr>
      <vt:lpstr>'LBP NO. 1 (Market)'!Print_Area</vt:lpstr>
      <vt:lpstr>'LBP NO. 2'!Print_Area</vt:lpstr>
      <vt:lpstr>'LBP NO. 2a'!Print_Area</vt:lpstr>
      <vt:lpstr>'LBP NO. 3a per office'!Print_Area</vt:lpstr>
      <vt:lpstr>'LBP No. 4'!Print_Area</vt:lpstr>
      <vt:lpstr>'LBP NO. 5'!Print_Area</vt:lpstr>
      <vt:lpstr>'LBP NO. 6'!Print_Area</vt:lpstr>
      <vt:lpstr>'LBP NO. 7'!Print_Area</vt:lpstr>
      <vt:lpstr>'PROPOSED BUDGET'!Print_Area</vt:lpstr>
      <vt:lpstr>Summary!Print_Area</vt:lpstr>
      <vt:lpstr>'Summary (2)'!Print_Area</vt:lpstr>
      <vt:lpstr>'LBP NO. 1'!Print_Titles</vt:lpstr>
      <vt:lpstr>'LBP No. 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MTO Asingan</cp:lastModifiedBy>
  <cp:lastPrinted>2021-11-23T00:23:22Z</cp:lastPrinted>
  <dcterms:created xsi:type="dcterms:W3CDTF">2006-05-18T08:42:29Z</dcterms:created>
  <dcterms:modified xsi:type="dcterms:W3CDTF">2022-01-18T05:41:44Z</dcterms:modified>
</cp:coreProperties>
</file>